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LIPINV\Desktop\ТЗ первичное дробление\"/>
    </mc:Choice>
  </mc:AlternateContent>
  <xr:revisionPtr revIDLastSave="0" documentId="13_ncr:1_{15459A65-0873-4F39-AA65-60DD8FD5A617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Смета 12 гр. по ФЕР" sheetId="6" r:id="rId1"/>
    <sheet name="Source" sheetId="1" r:id="rId2"/>
    <sheet name="SourceObSm" sheetId="2" r:id="rId3"/>
    <sheet name="SmtRes" sheetId="3" r:id="rId4"/>
    <sheet name="EtalonRes" sheetId="4" r:id="rId5"/>
    <sheet name="SrcKA" sheetId="5" r:id="rId6"/>
  </sheets>
  <definedNames>
    <definedName name="_xlnm.Print_Titles" localSheetId="0">'Смета 12 гр. по ФЕР'!$35:$35</definedName>
    <definedName name="_xlnm.Print_Area" localSheetId="0">'Смета 12 гр. по ФЕР'!$A$1:$L$803</definedName>
  </definedNames>
  <calcPr calcId="191029" iterate="1"/>
</workbook>
</file>

<file path=xl/calcChain.xml><?xml version="1.0" encoding="utf-8"?>
<calcChain xmlns="http://schemas.openxmlformats.org/spreadsheetml/2006/main">
  <c r="J800" i="6" l="1"/>
  <c r="AC651" i="6" l="1"/>
  <c r="C802" i="6"/>
  <c r="C801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Z776" i="6"/>
  <c r="Y776" i="6"/>
  <c r="X776" i="6"/>
  <c r="J775" i="6"/>
  <c r="G775" i="6"/>
  <c r="F775" i="6"/>
  <c r="D775" i="6"/>
  <c r="I775" i="6"/>
  <c r="B775" i="6"/>
  <c r="Z774" i="6"/>
  <c r="Y774" i="6"/>
  <c r="X774" i="6"/>
  <c r="J772" i="6"/>
  <c r="G772" i="6"/>
  <c r="F772" i="6"/>
  <c r="D772" i="6"/>
  <c r="I772" i="6"/>
  <c r="C772" i="6"/>
  <c r="B772" i="6"/>
  <c r="Z771" i="6"/>
  <c r="Y771" i="6"/>
  <c r="X771" i="6"/>
  <c r="J770" i="6"/>
  <c r="G770" i="6"/>
  <c r="F770" i="6"/>
  <c r="D770" i="6"/>
  <c r="I770" i="6"/>
  <c r="C770" i="6"/>
  <c r="B770" i="6"/>
  <c r="Z769" i="6"/>
  <c r="Y769" i="6"/>
  <c r="X769" i="6"/>
  <c r="J768" i="6"/>
  <c r="G768" i="6"/>
  <c r="F768" i="6"/>
  <c r="D768" i="6"/>
  <c r="I768" i="6"/>
  <c r="C768" i="6"/>
  <c r="B768" i="6"/>
  <c r="B767" i="6"/>
  <c r="Z765" i="6"/>
  <c r="Y765" i="6"/>
  <c r="X765" i="6"/>
  <c r="J764" i="6"/>
  <c r="G764" i="6"/>
  <c r="F764" i="6"/>
  <c r="E764" i="6"/>
  <c r="D764" i="6"/>
  <c r="I764" i="6"/>
  <c r="B764" i="6"/>
  <c r="Z763" i="6"/>
  <c r="Y763" i="6"/>
  <c r="X763" i="6"/>
  <c r="J761" i="6"/>
  <c r="G761" i="6"/>
  <c r="F761" i="6"/>
  <c r="D761" i="6"/>
  <c r="I761" i="6"/>
  <c r="B761" i="6"/>
  <c r="Z760" i="6"/>
  <c r="Y760" i="6"/>
  <c r="X760" i="6"/>
  <c r="G759" i="6"/>
  <c r="E759" i="6"/>
  <c r="J758" i="6"/>
  <c r="F758" i="6"/>
  <c r="E758" i="6"/>
  <c r="J757" i="6"/>
  <c r="E757" i="6"/>
  <c r="J756" i="6"/>
  <c r="G756" i="6"/>
  <c r="F756" i="6"/>
  <c r="J755" i="6"/>
  <c r="G755" i="6"/>
  <c r="F755" i="6"/>
  <c r="J754" i="6"/>
  <c r="G754" i="6"/>
  <c r="F754" i="6"/>
  <c r="J753" i="6"/>
  <c r="G753" i="6"/>
  <c r="F753" i="6"/>
  <c r="F752" i="6"/>
  <c r="D752" i="6"/>
  <c r="I752" i="6"/>
  <c r="C752" i="6"/>
  <c r="B752" i="6"/>
  <c r="Z751" i="6"/>
  <c r="Y751" i="6"/>
  <c r="X751" i="6"/>
  <c r="J750" i="6"/>
  <c r="G750" i="6"/>
  <c r="F750" i="6"/>
  <c r="E750" i="6"/>
  <c r="D750" i="6"/>
  <c r="I750" i="6"/>
  <c r="B750" i="6"/>
  <c r="Z749" i="6"/>
  <c r="Y749" i="6"/>
  <c r="X749" i="6"/>
  <c r="J748" i="6"/>
  <c r="Z748" i="6"/>
  <c r="Y748" i="6"/>
  <c r="X748" i="6"/>
  <c r="F748" i="6"/>
  <c r="D748" i="6"/>
  <c r="C748" i="6"/>
  <c r="B748" i="6"/>
  <c r="G747" i="6"/>
  <c r="E747" i="6"/>
  <c r="J746" i="6"/>
  <c r="E746" i="6"/>
  <c r="J745" i="6"/>
  <c r="E745" i="6"/>
  <c r="J744" i="6"/>
  <c r="G744" i="6"/>
  <c r="F744" i="6"/>
  <c r="J743" i="6"/>
  <c r="G743" i="6"/>
  <c r="F743" i="6"/>
  <c r="J742" i="6"/>
  <c r="G742" i="6"/>
  <c r="F742" i="6"/>
  <c r="J741" i="6"/>
  <c r="G741" i="6"/>
  <c r="F741" i="6"/>
  <c r="F739" i="6"/>
  <c r="D739" i="6"/>
  <c r="I739" i="6"/>
  <c r="C739" i="6"/>
  <c r="B739" i="6"/>
  <c r="Z738" i="6"/>
  <c r="Y738" i="6"/>
  <c r="X738" i="6"/>
  <c r="G737" i="6"/>
  <c r="E737" i="6"/>
  <c r="J736" i="6"/>
  <c r="E736" i="6"/>
  <c r="J735" i="6"/>
  <c r="E735" i="6"/>
  <c r="J734" i="6"/>
  <c r="G734" i="6"/>
  <c r="F734" i="6"/>
  <c r="J733" i="6"/>
  <c r="G733" i="6"/>
  <c r="F733" i="6"/>
  <c r="J732" i="6"/>
  <c r="G732" i="6"/>
  <c r="F732" i="6"/>
  <c r="J731" i="6"/>
  <c r="G731" i="6"/>
  <c r="F731" i="6"/>
  <c r="F729" i="6"/>
  <c r="D729" i="6"/>
  <c r="I729" i="6"/>
  <c r="C729" i="6"/>
  <c r="B729" i="6"/>
  <c r="Z728" i="6"/>
  <c r="Y728" i="6"/>
  <c r="X728" i="6"/>
  <c r="G727" i="6"/>
  <c r="E727" i="6"/>
  <c r="J726" i="6"/>
  <c r="E726" i="6"/>
  <c r="J725" i="6"/>
  <c r="E725" i="6"/>
  <c r="J724" i="6"/>
  <c r="G724" i="6"/>
  <c r="F724" i="6"/>
  <c r="J723" i="6"/>
  <c r="G723" i="6"/>
  <c r="F723" i="6"/>
  <c r="F722" i="6"/>
  <c r="E722" i="6"/>
  <c r="D722" i="6"/>
  <c r="I722" i="6"/>
  <c r="C722" i="6"/>
  <c r="B722" i="6"/>
  <c r="Z721" i="6"/>
  <c r="Y721" i="6"/>
  <c r="X721" i="6"/>
  <c r="J720" i="6"/>
  <c r="G720" i="6"/>
  <c r="F720" i="6"/>
  <c r="E720" i="6"/>
  <c r="D720" i="6"/>
  <c r="I720" i="6"/>
  <c r="B720" i="6"/>
  <c r="Z719" i="6"/>
  <c r="Y719" i="6"/>
  <c r="X719" i="6"/>
  <c r="G718" i="6"/>
  <c r="E718" i="6"/>
  <c r="J717" i="6"/>
  <c r="F717" i="6"/>
  <c r="E717" i="6"/>
  <c r="J716" i="6"/>
  <c r="E716" i="6"/>
  <c r="J715" i="6"/>
  <c r="G715" i="6"/>
  <c r="F715" i="6"/>
  <c r="J714" i="6"/>
  <c r="G714" i="6"/>
  <c r="F714" i="6"/>
  <c r="J713" i="6"/>
  <c r="G713" i="6"/>
  <c r="F713" i="6"/>
  <c r="J712" i="6"/>
  <c r="G712" i="6"/>
  <c r="F712" i="6"/>
  <c r="F711" i="6"/>
  <c r="E711" i="6"/>
  <c r="D711" i="6"/>
  <c r="I711" i="6"/>
  <c r="C711" i="6"/>
  <c r="B711" i="6"/>
  <c r="Z710" i="6"/>
  <c r="Y710" i="6"/>
  <c r="W710" i="6"/>
  <c r="G709" i="6"/>
  <c r="E709" i="6"/>
  <c r="J708" i="6"/>
  <c r="E708" i="6"/>
  <c r="J707" i="6"/>
  <c r="E707" i="6"/>
  <c r="J706" i="6"/>
  <c r="G706" i="6"/>
  <c r="F706" i="6"/>
  <c r="J705" i="6"/>
  <c r="G705" i="6"/>
  <c r="F705" i="6"/>
  <c r="J704" i="6"/>
  <c r="G704" i="6"/>
  <c r="F704" i="6"/>
  <c r="J703" i="6"/>
  <c r="G703" i="6"/>
  <c r="F703" i="6"/>
  <c r="F702" i="6"/>
  <c r="E702" i="6"/>
  <c r="D702" i="6"/>
  <c r="I702" i="6"/>
  <c r="C702" i="6"/>
  <c r="B702" i="6"/>
  <c r="Z701" i="6"/>
  <c r="Y701" i="6"/>
  <c r="X701" i="6"/>
  <c r="G700" i="6"/>
  <c r="E700" i="6"/>
  <c r="J699" i="6"/>
  <c r="E699" i="6"/>
  <c r="J698" i="6"/>
  <c r="E698" i="6"/>
  <c r="J697" i="6"/>
  <c r="G697" i="6"/>
  <c r="F697" i="6"/>
  <c r="J696" i="6"/>
  <c r="G696" i="6"/>
  <c r="F696" i="6"/>
  <c r="J695" i="6"/>
  <c r="G695" i="6"/>
  <c r="F695" i="6"/>
  <c r="F694" i="6"/>
  <c r="D694" i="6"/>
  <c r="I694" i="6"/>
  <c r="C694" i="6"/>
  <c r="B694" i="6"/>
  <c r="B693" i="6"/>
  <c r="Z691" i="6"/>
  <c r="Y691" i="6"/>
  <c r="X691" i="6"/>
  <c r="J690" i="6"/>
  <c r="G690" i="6"/>
  <c r="F690" i="6"/>
  <c r="J689" i="6"/>
  <c r="G689" i="6"/>
  <c r="F689" i="6"/>
  <c r="F688" i="6"/>
  <c r="E688" i="6"/>
  <c r="D688" i="6"/>
  <c r="I688" i="6"/>
  <c r="C688" i="6"/>
  <c r="B688" i="6"/>
  <c r="Z687" i="6"/>
  <c r="Y687" i="6"/>
  <c r="X687" i="6"/>
  <c r="J686" i="6"/>
  <c r="G686" i="6"/>
  <c r="F686" i="6"/>
  <c r="E686" i="6"/>
  <c r="D686" i="6"/>
  <c r="I686" i="6"/>
  <c r="B686" i="6"/>
  <c r="Z685" i="6"/>
  <c r="Y685" i="6"/>
  <c r="X685" i="6"/>
  <c r="J684" i="6"/>
  <c r="Z684" i="6"/>
  <c r="Y684" i="6"/>
  <c r="X684" i="6"/>
  <c r="F684" i="6"/>
  <c r="D684" i="6"/>
  <c r="C684" i="6"/>
  <c r="B684" i="6"/>
  <c r="G683" i="6"/>
  <c r="E683" i="6"/>
  <c r="J682" i="6"/>
  <c r="F682" i="6"/>
  <c r="E682" i="6"/>
  <c r="J681" i="6"/>
  <c r="E681" i="6"/>
  <c r="J680" i="6"/>
  <c r="G680" i="6"/>
  <c r="F680" i="6"/>
  <c r="J679" i="6"/>
  <c r="G679" i="6"/>
  <c r="F679" i="6"/>
  <c r="J678" i="6"/>
  <c r="G678" i="6"/>
  <c r="F678" i="6"/>
  <c r="J677" i="6"/>
  <c r="G677" i="6"/>
  <c r="F677" i="6"/>
  <c r="F675" i="6"/>
  <c r="D675" i="6"/>
  <c r="I675" i="6"/>
  <c r="C675" i="6"/>
  <c r="B675" i="6"/>
  <c r="Z674" i="6"/>
  <c r="Y674" i="6"/>
  <c r="X674" i="6"/>
  <c r="G673" i="6"/>
  <c r="E673" i="6"/>
  <c r="J672" i="6"/>
  <c r="F672" i="6"/>
  <c r="E672" i="6"/>
  <c r="J671" i="6"/>
  <c r="E671" i="6"/>
  <c r="J670" i="6"/>
  <c r="G670" i="6"/>
  <c r="F670" i="6"/>
  <c r="J669" i="6"/>
  <c r="G669" i="6"/>
  <c r="F669" i="6"/>
  <c r="J668" i="6"/>
  <c r="G668" i="6"/>
  <c r="F668" i="6"/>
  <c r="J667" i="6"/>
  <c r="G667" i="6"/>
  <c r="F667" i="6"/>
  <c r="F665" i="6"/>
  <c r="D665" i="6"/>
  <c r="I665" i="6"/>
  <c r="C665" i="6"/>
  <c r="B665" i="6"/>
  <c r="Z664" i="6"/>
  <c r="Y664" i="6"/>
  <c r="X664" i="6"/>
  <c r="G663" i="6"/>
  <c r="E663" i="6"/>
  <c r="J662" i="6"/>
  <c r="F662" i="6"/>
  <c r="E662" i="6"/>
  <c r="J661" i="6"/>
  <c r="E661" i="6"/>
  <c r="J660" i="6"/>
  <c r="G660" i="6"/>
  <c r="F660" i="6"/>
  <c r="J659" i="6"/>
  <c r="G659" i="6"/>
  <c r="F659" i="6"/>
  <c r="F658" i="6"/>
  <c r="E658" i="6"/>
  <c r="D658" i="6"/>
  <c r="I658" i="6"/>
  <c r="C658" i="6"/>
  <c r="B658" i="6"/>
  <c r="Z657" i="6"/>
  <c r="Y657" i="6"/>
  <c r="X657" i="6"/>
  <c r="G656" i="6"/>
  <c r="E656" i="6"/>
  <c r="J655" i="6"/>
  <c r="E655" i="6"/>
  <c r="J654" i="6"/>
  <c r="E654" i="6"/>
  <c r="J653" i="6"/>
  <c r="G653" i="6"/>
  <c r="F653" i="6"/>
  <c r="F652" i="6"/>
  <c r="E652" i="6"/>
  <c r="D652" i="6"/>
  <c r="I652" i="6"/>
  <c r="C652" i="6"/>
  <c r="B652" i="6"/>
  <c r="B651" i="6"/>
  <c r="Z649" i="6"/>
  <c r="Y649" i="6"/>
  <c r="X649" i="6"/>
  <c r="J648" i="6"/>
  <c r="G648" i="6"/>
  <c r="F648" i="6"/>
  <c r="E648" i="6"/>
  <c r="D648" i="6"/>
  <c r="I648" i="6"/>
  <c r="B648" i="6"/>
  <c r="Z647" i="6"/>
  <c r="Y647" i="6"/>
  <c r="X647" i="6"/>
  <c r="J646" i="6"/>
  <c r="G646" i="6"/>
  <c r="F646" i="6"/>
  <c r="E646" i="6"/>
  <c r="D646" i="6"/>
  <c r="I646" i="6"/>
  <c r="B646" i="6"/>
  <c r="Z645" i="6"/>
  <c r="Y645" i="6"/>
  <c r="X645" i="6"/>
  <c r="J643" i="6"/>
  <c r="G643" i="6"/>
  <c r="F643" i="6"/>
  <c r="D643" i="6"/>
  <c r="I643" i="6"/>
  <c r="B643" i="6"/>
  <c r="Z642" i="6"/>
  <c r="Y642" i="6"/>
  <c r="X642" i="6"/>
  <c r="G641" i="6"/>
  <c r="E641" i="6"/>
  <c r="J640" i="6"/>
  <c r="F640" i="6"/>
  <c r="E640" i="6"/>
  <c r="J639" i="6"/>
  <c r="E639" i="6"/>
  <c r="J638" i="6"/>
  <c r="G638" i="6"/>
  <c r="F638" i="6"/>
  <c r="J637" i="6"/>
  <c r="G637" i="6"/>
  <c r="F637" i="6"/>
  <c r="J636" i="6"/>
  <c r="G636" i="6"/>
  <c r="F636" i="6"/>
  <c r="J635" i="6"/>
  <c r="G635" i="6"/>
  <c r="F635" i="6"/>
  <c r="F634" i="6"/>
  <c r="D634" i="6"/>
  <c r="I634" i="6"/>
  <c r="C634" i="6"/>
  <c r="B634" i="6"/>
  <c r="Z633" i="6"/>
  <c r="Y633" i="6"/>
  <c r="X633" i="6"/>
  <c r="J632" i="6"/>
  <c r="G632" i="6"/>
  <c r="F632" i="6"/>
  <c r="D632" i="6"/>
  <c r="I632" i="6"/>
  <c r="B632" i="6"/>
  <c r="Z631" i="6"/>
  <c r="Y631" i="6"/>
  <c r="X631" i="6"/>
  <c r="G630" i="6"/>
  <c r="E630" i="6"/>
  <c r="J629" i="6"/>
  <c r="F629" i="6"/>
  <c r="E629" i="6"/>
  <c r="J628" i="6"/>
  <c r="E628" i="6"/>
  <c r="J627" i="6"/>
  <c r="G627" i="6"/>
  <c r="F627" i="6"/>
  <c r="J626" i="6"/>
  <c r="G626" i="6"/>
  <c r="F626" i="6"/>
  <c r="J625" i="6"/>
  <c r="G625" i="6"/>
  <c r="F625" i="6"/>
  <c r="J624" i="6"/>
  <c r="G624" i="6"/>
  <c r="F624" i="6"/>
  <c r="F623" i="6"/>
  <c r="D623" i="6"/>
  <c r="I623" i="6"/>
  <c r="C623" i="6"/>
  <c r="B623" i="6"/>
  <c r="Z622" i="6"/>
  <c r="Y622" i="6"/>
  <c r="X622" i="6"/>
  <c r="J621" i="6"/>
  <c r="G621" i="6"/>
  <c r="F621" i="6"/>
  <c r="D621" i="6"/>
  <c r="I621" i="6"/>
  <c r="B621" i="6"/>
  <c r="Z620" i="6"/>
  <c r="Y620" i="6"/>
  <c r="X620" i="6"/>
  <c r="G619" i="6"/>
  <c r="E619" i="6"/>
  <c r="J618" i="6"/>
  <c r="F618" i="6"/>
  <c r="E618" i="6"/>
  <c r="J617" i="6"/>
  <c r="E617" i="6"/>
  <c r="J616" i="6"/>
  <c r="G616" i="6"/>
  <c r="F616" i="6"/>
  <c r="J615" i="6"/>
  <c r="G615" i="6"/>
  <c r="F615" i="6"/>
  <c r="J614" i="6"/>
  <c r="G614" i="6"/>
  <c r="F614" i="6"/>
  <c r="J613" i="6"/>
  <c r="G613" i="6"/>
  <c r="F613" i="6"/>
  <c r="F612" i="6"/>
  <c r="D612" i="6"/>
  <c r="I612" i="6"/>
  <c r="C612" i="6"/>
  <c r="B612" i="6"/>
  <c r="Z611" i="6"/>
  <c r="Y611" i="6"/>
  <c r="X611" i="6"/>
  <c r="J610" i="6"/>
  <c r="G610" i="6"/>
  <c r="F610" i="6"/>
  <c r="D610" i="6"/>
  <c r="I610" i="6"/>
  <c r="B610" i="6"/>
  <c r="Z609" i="6"/>
  <c r="Y609" i="6"/>
  <c r="X609" i="6"/>
  <c r="G608" i="6"/>
  <c r="E608" i="6"/>
  <c r="J607" i="6"/>
  <c r="F607" i="6"/>
  <c r="E607" i="6"/>
  <c r="J606" i="6"/>
  <c r="E606" i="6"/>
  <c r="J605" i="6"/>
  <c r="G605" i="6"/>
  <c r="F605" i="6"/>
  <c r="J604" i="6"/>
  <c r="G604" i="6"/>
  <c r="F604" i="6"/>
  <c r="J603" i="6"/>
  <c r="G603" i="6"/>
  <c r="F603" i="6"/>
  <c r="J602" i="6"/>
  <c r="G602" i="6"/>
  <c r="F602" i="6"/>
  <c r="F601" i="6"/>
  <c r="D601" i="6"/>
  <c r="I601" i="6"/>
  <c r="C601" i="6"/>
  <c r="B601" i="6"/>
  <c r="Z600" i="6"/>
  <c r="Y600" i="6"/>
  <c r="X600" i="6"/>
  <c r="G599" i="6"/>
  <c r="E599" i="6"/>
  <c r="J598" i="6"/>
  <c r="E598" i="6"/>
  <c r="J597" i="6"/>
  <c r="E597" i="6"/>
  <c r="J596" i="6"/>
  <c r="G596" i="6"/>
  <c r="F596" i="6"/>
  <c r="J595" i="6"/>
  <c r="G595" i="6"/>
  <c r="F595" i="6"/>
  <c r="J594" i="6"/>
  <c r="G594" i="6"/>
  <c r="F594" i="6"/>
  <c r="J593" i="6"/>
  <c r="G593" i="6"/>
  <c r="F593" i="6"/>
  <c r="F592" i="6"/>
  <c r="D592" i="6"/>
  <c r="I592" i="6"/>
  <c r="C592" i="6"/>
  <c r="B592" i="6"/>
  <c r="Z591" i="6"/>
  <c r="Y591" i="6"/>
  <c r="X591" i="6"/>
  <c r="J590" i="6"/>
  <c r="G590" i="6"/>
  <c r="F590" i="6"/>
  <c r="D590" i="6"/>
  <c r="I590" i="6"/>
  <c r="C590" i="6"/>
  <c r="B590" i="6"/>
  <c r="Z589" i="6"/>
  <c r="Y589" i="6"/>
  <c r="X589" i="6"/>
  <c r="G588" i="6"/>
  <c r="E588" i="6"/>
  <c r="J587" i="6"/>
  <c r="E587" i="6"/>
  <c r="J586" i="6"/>
  <c r="E586" i="6"/>
  <c r="J585" i="6"/>
  <c r="G585" i="6"/>
  <c r="F585" i="6"/>
  <c r="F584" i="6"/>
  <c r="D584" i="6"/>
  <c r="I584" i="6"/>
  <c r="C584" i="6"/>
  <c r="B584" i="6"/>
  <c r="Z583" i="6"/>
  <c r="Y583" i="6"/>
  <c r="X583" i="6"/>
  <c r="G582" i="6"/>
  <c r="E582" i="6"/>
  <c r="J581" i="6"/>
  <c r="F581" i="6"/>
  <c r="E581" i="6"/>
  <c r="J580" i="6"/>
  <c r="E580" i="6"/>
  <c r="J579" i="6"/>
  <c r="G579" i="6"/>
  <c r="F579" i="6"/>
  <c r="F578" i="6"/>
  <c r="D578" i="6"/>
  <c r="I578" i="6"/>
  <c r="C578" i="6"/>
  <c r="B578" i="6"/>
  <c r="Z577" i="6"/>
  <c r="Y577" i="6"/>
  <c r="X577" i="6"/>
  <c r="G576" i="6"/>
  <c r="E576" i="6"/>
  <c r="J575" i="6"/>
  <c r="F575" i="6"/>
  <c r="E575" i="6"/>
  <c r="J574" i="6"/>
  <c r="E574" i="6"/>
  <c r="J573" i="6"/>
  <c r="G573" i="6"/>
  <c r="F573" i="6"/>
  <c r="J572" i="6"/>
  <c r="G572" i="6"/>
  <c r="F572" i="6"/>
  <c r="J571" i="6"/>
  <c r="G571" i="6"/>
  <c r="F571" i="6"/>
  <c r="J570" i="6"/>
  <c r="G570" i="6"/>
  <c r="F570" i="6"/>
  <c r="F569" i="6"/>
  <c r="D569" i="6"/>
  <c r="I569" i="6"/>
  <c r="C569" i="6"/>
  <c r="B569" i="6"/>
  <c r="B568" i="6"/>
  <c r="Z566" i="6"/>
  <c r="Y566" i="6"/>
  <c r="X566" i="6"/>
  <c r="G565" i="6"/>
  <c r="E565" i="6"/>
  <c r="J564" i="6"/>
  <c r="E564" i="6"/>
  <c r="J563" i="6"/>
  <c r="E563" i="6"/>
  <c r="J562" i="6"/>
  <c r="G562" i="6"/>
  <c r="F562" i="6"/>
  <c r="J561" i="6"/>
  <c r="G561" i="6"/>
  <c r="F561" i="6"/>
  <c r="J560" i="6"/>
  <c r="G560" i="6"/>
  <c r="F560" i="6"/>
  <c r="J559" i="6"/>
  <c r="G559" i="6"/>
  <c r="F559" i="6"/>
  <c r="F557" i="6"/>
  <c r="D557" i="6"/>
  <c r="I557" i="6"/>
  <c r="C557" i="6"/>
  <c r="B557" i="6"/>
  <c r="Z556" i="6"/>
  <c r="Y556" i="6"/>
  <c r="X556" i="6"/>
  <c r="J555" i="6"/>
  <c r="G555" i="6"/>
  <c r="F555" i="6"/>
  <c r="D555" i="6"/>
  <c r="I555" i="6"/>
  <c r="C555" i="6"/>
  <c r="B555" i="6"/>
  <c r="Z554" i="6"/>
  <c r="Y554" i="6"/>
  <c r="X554" i="6"/>
  <c r="G553" i="6"/>
  <c r="E553" i="6"/>
  <c r="J552" i="6"/>
  <c r="F552" i="6"/>
  <c r="E552" i="6"/>
  <c r="J551" i="6"/>
  <c r="E551" i="6"/>
  <c r="J550" i="6"/>
  <c r="G550" i="6"/>
  <c r="F550" i="6"/>
  <c r="J549" i="6"/>
  <c r="G549" i="6"/>
  <c r="F549" i="6"/>
  <c r="J548" i="6"/>
  <c r="G548" i="6"/>
  <c r="F548" i="6"/>
  <c r="J547" i="6"/>
  <c r="G547" i="6"/>
  <c r="F547" i="6"/>
  <c r="F545" i="6"/>
  <c r="D545" i="6"/>
  <c r="I545" i="6"/>
  <c r="C545" i="6"/>
  <c r="B545" i="6"/>
  <c r="B544" i="6"/>
  <c r="Z542" i="6"/>
  <c r="Y542" i="6"/>
  <c r="X542" i="6"/>
  <c r="G541" i="6"/>
  <c r="E541" i="6"/>
  <c r="J540" i="6"/>
  <c r="F540" i="6"/>
  <c r="E540" i="6"/>
  <c r="J539" i="6"/>
  <c r="E539" i="6"/>
  <c r="J538" i="6"/>
  <c r="G538" i="6"/>
  <c r="F538" i="6"/>
  <c r="J537" i="6"/>
  <c r="G537" i="6"/>
  <c r="F537" i="6"/>
  <c r="J536" i="6"/>
  <c r="G536" i="6"/>
  <c r="F536" i="6"/>
  <c r="J535" i="6"/>
  <c r="G535" i="6"/>
  <c r="F535" i="6"/>
  <c r="F534" i="6"/>
  <c r="D534" i="6"/>
  <c r="I534" i="6"/>
  <c r="C534" i="6"/>
  <c r="B534" i="6"/>
  <c r="Z533" i="6"/>
  <c r="Y533" i="6"/>
  <c r="X533" i="6"/>
  <c r="J532" i="6"/>
  <c r="G532" i="6"/>
  <c r="F532" i="6"/>
  <c r="D532" i="6"/>
  <c r="I532" i="6"/>
  <c r="B532" i="6"/>
  <c r="Z531" i="6"/>
  <c r="Y531" i="6"/>
  <c r="X531" i="6"/>
  <c r="J530" i="6"/>
  <c r="G530" i="6"/>
  <c r="F530" i="6"/>
  <c r="D530" i="6"/>
  <c r="I530" i="6"/>
  <c r="B530" i="6"/>
  <c r="Z529" i="6"/>
  <c r="Y529" i="6"/>
  <c r="W529" i="6"/>
  <c r="G528" i="6"/>
  <c r="E528" i="6"/>
  <c r="J527" i="6"/>
  <c r="E527" i="6"/>
  <c r="J526" i="6"/>
  <c r="E526" i="6"/>
  <c r="J525" i="6"/>
  <c r="G525" i="6"/>
  <c r="F525" i="6"/>
  <c r="J524" i="6"/>
  <c r="G524" i="6"/>
  <c r="F524" i="6"/>
  <c r="J523" i="6"/>
  <c r="G523" i="6"/>
  <c r="F523" i="6"/>
  <c r="J522" i="6"/>
  <c r="G522" i="6"/>
  <c r="F522" i="6"/>
  <c r="F521" i="6"/>
  <c r="D521" i="6"/>
  <c r="I521" i="6"/>
  <c r="C521" i="6"/>
  <c r="B521" i="6"/>
  <c r="Z520" i="6"/>
  <c r="Y520" i="6"/>
  <c r="X520" i="6"/>
  <c r="J519" i="6"/>
  <c r="G519" i="6"/>
  <c r="F519" i="6"/>
  <c r="D519" i="6"/>
  <c r="I519" i="6"/>
  <c r="B519" i="6"/>
  <c r="Z518" i="6"/>
  <c r="Y518" i="6"/>
  <c r="X518" i="6"/>
  <c r="J516" i="6"/>
  <c r="G516" i="6"/>
  <c r="F516" i="6"/>
  <c r="D516" i="6"/>
  <c r="I516" i="6"/>
  <c r="B516" i="6"/>
  <c r="Z515" i="6"/>
  <c r="Y515" i="6"/>
  <c r="X515" i="6"/>
  <c r="J514" i="6"/>
  <c r="Z514" i="6"/>
  <c r="Y514" i="6"/>
  <c r="X514" i="6"/>
  <c r="F514" i="6"/>
  <c r="D514" i="6"/>
  <c r="C514" i="6"/>
  <c r="B514" i="6"/>
  <c r="G513" i="6"/>
  <c r="E513" i="6"/>
  <c r="J512" i="6"/>
  <c r="E512" i="6"/>
  <c r="J511" i="6"/>
  <c r="E511" i="6"/>
  <c r="J510" i="6"/>
  <c r="G510" i="6"/>
  <c r="F510" i="6"/>
  <c r="J509" i="6"/>
  <c r="G509" i="6"/>
  <c r="F509" i="6"/>
  <c r="J508" i="6"/>
  <c r="G508" i="6"/>
  <c r="F508" i="6"/>
  <c r="J507" i="6"/>
  <c r="G507" i="6"/>
  <c r="F507" i="6"/>
  <c r="F506" i="6"/>
  <c r="D506" i="6"/>
  <c r="I506" i="6"/>
  <c r="C506" i="6"/>
  <c r="B506" i="6"/>
  <c r="Z505" i="6"/>
  <c r="Y505" i="6"/>
  <c r="X505" i="6"/>
  <c r="G504" i="6"/>
  <c r="E504" i="6"/>
  <c r="J503" i="6"/>
  <c r="E503" i="6"/>
  <c r="J502" i="6"/>
  <c r="E502" i="6"/>
  <c r="J501" i="6"/>
  <c r="G501" i="6"/>
  <c r="F501" i="6"/>
  <c r="J500" i="6"/>
  <c r="G500" i="6"/>
  <c r="F500" i="6"/>
  <c r="J499" i="6"/>
  <c r="G499" i="6"/>
  <c r="F499" i="6"/>
  <c r="F498" i="6"/>
  <c r="E498" i="6"/>
  <c r="D498" i="6"/>
  <c r="I498" i="6"/>
  <c r="C498" i="6"/>
  <c r="B498" i="6"/>
  <c r="Z497" i="6"/>
  <c r="Y497" i="6"/>
  <c r="X497" i="6"/>
  <c r="G496" i="6"/>
  <c r="E496" i="6"/>
  <c r="J495" i="6"/>
  <c r="E495" i="6"/>
  <c r="J494" i="6"/>
  <c r="E494" i="6"/>
  <c r="J493" i="6"/>
  <c r="G493" i="6"/>
  <c r="F493" i="6"/>
  <c r="F492" i="6"/>
  <c r="E492" i="6"/>
  <c r="D492" i="6"/>
  <c r="I492" i="6"/>
  <c r="C492" i="6"/>
  <c r="B492" i="6"/>
  <c r="Z491" i="6"/>
  <c r="Y491" i="6"/>
  <c r="X491" i="6"/>
  <c r="J490" i="6"/>
  <c r="G490" i="6"/>
  <c r="F490" i="6"/>
  <c r="E490" i="6"/>
  <c r="D490" i="6"/>
  <c r="I490" i="6"/>
  <c r="B490" i="6"/>
  <c r="Z489" i="6"/>
  <c r="Y489" i="6"/>
  <c r="X489" i="6"/>
  <c r="J488" i="6"/>
  <c r="G488" i="6"/>
  <c r="F488" i="6"/>
  <c r="D488" i="6"/>
  <c r="I488" i="6"/>
  <c r="B488" i="6"/>
  <c r="Z487" i="6"/>
  <c r="Y487" i="6"/>
  <c r="X487" i="6"/>
  <c r="J486" i="6"/>
  <c r="G486" i="6"/>
  <c r="F486" i="6"/>
  <c r="E486" i="6"/>
  <c r="D486" i="6"/>
  <c r="I486" i="6"/>
  <c r="B486" i="6"/>
  <c r="Z485" i="6"/>
  <c r="Y485" i="6"/>
  <c r="X485" i="6"/>
  <c r="J484" i="6"/>
  <c r="G484" i="6"/>
  <c r="F484" i="6"/>
  <c r="D484" i="6"/>
  <c r="I484" i="6"/>
  <c r="B484" i="6"/>
  <c r="Z483" i="6"/>
  <c r="Y483" i="6"/>
  <c r="X483" i="6"/>
  <c r="J482" i="6"/>
  <c r="Z482" i="6"/>
  <c r="Y482" i="6"/>
  <c r="X482" i="6"/>
  <c r="F482" i="6"/>
  <c r="D482" i="6"/>
  <c r="C482" i="6"/>
  <c r="B482" i="6"/>
  <c r="J481" i="6"/>
  <c r="Z481" i="6"/>
  <c r="Y481" i="6"/>
  <c r="X481" i="6"/>
  <c r="F481" i="6"/>
  <c r="D481" i="6"/>
  <c r="C481" i="6"/>
  <c r="B481" i="6"/>
  <c r="G480" i="6"/>
  <c r="E480" i="6"/>
  <c r="J479" i="6"/>
  <c r="E479" i="6"/>
  <c r="J478" i="6"/>
  <c r="E478" i="6"/>
  <c r="J477" i="6"/>
  <c r="G477" i="6"/>
  <c r="F477" i="6"/>
  <c r="J476" i="6"/>
  <c r="G476" i="6"/>
  <c r="F476" i="6"/>
  <c r="J475" i="6"/>
  <c r="G475" i="6"/>
  <c r="F475" i="6"/>
  <c r="J474" i="6"/>
  <c r="G474" i="6"/>
  <c r="F474" i="6"/>
  <c r="F473" i="6"/>
  <c r="D473" i="6"/>
  <c r="I473" i="6"/>
  <c r="C473" i="6"/>
  <c r="B473" i="6"/>
  <c r="Z472" i="6"/>
  <c r="Y472" i="6"/>
  <c r="X472" i="6"/>
  <c r="J471" i="6"/>
  <c r="G471" i="6"/>
  <c r="F471" i="6"/>
  <c r="D471" i="6"/>
  <c r="I471" i="6"/>
  <c r="B471" i="6"/>
  <c r="Z470" i="6"/>
  <c r="Y470" i="6"/>
  <c r="X470" i="6"/>
  <c r="J469" i="6"/>
  <c r="Z469" i="6"/>
  <c r="Y469" i="6"/>
  <c r="X469" i="6"/>
  <c r="F469" i="6"/>
  <c r="D469" i="6"/>
  <c r="C469" i="6"/>
  <c r="B469" i="6"/>
  <c r="G468" i="6"/>
  <c r="E468" i="6"/>
  <c r="J467" i="6"/>
  <c r="F467" i="6"/>
  <c r="E467" i="6"/>
  <c r="J466" i="6"/>
  <c r="E466" i="6"/>
  <c r="J465" i="6"/>
  <c r="G465" i="6"/>
  <c r="F465" i="6"/>
  <c r="J464" i="6"/>
  <c r="G464" i="6"/>
  <c r="F464" i="6"/>
  <c r="J463" i="6"/>
  <c r="G463" i="6"/>
  <c r="F463" i="6"/>
  <c r="J462" i="6"/>
  <c r="G462" i="6"/>
  <c r="F462" i="6"/>
  <c r="F461" i="6"/>
  <c r="D461" i="6"/>
  <c r="I461" i="6"/>
  <c r="C461" i="6"/>
  <c r="B461" i="6"/>
  <c r="Z460" i="6"/>
  <c r="Y460" i="6"/>
  <c r="X460" i="6"/>
  <c r="J458" i="6"/>
  <c r="G458" i="6"/>
  <c r="F458" i="6"/>
  <c r="D458" i="6"/>
  <c r="I458" i="6"/>
  <c r="B458" i="6"/>
  <c r="Z457" i="6"/>
  <c r="Y457" i="6"/>
  <c r="X457" i="6"/>
  <c r="J455" i="6"/>
  <c r="G455" i="6"/>
  <c r="F455" i="6"/>
  <c r="D455" i="6"/>
  <c r="I455" i="6"/>
  <c r="B455" i="6"/>
  <c r="Z454" i="6"/>
  <c r="Y454" i="6"/>
  <c r="X454" i="6"/>
  <c r="G453" i="6"/>
  <c r="E453" i="6"/>
  <c r="J452" i="6"/>
  <c r="F452" i="6"/>
  <c r="E452" i="6"/>
  <c r="J451" i="6"/>
  <c r="E451" i="6"/>
  <c r="J450" i="6"/>
  <c r="G450" i="6"/>
  <c r="F450" i="6"/>
  <c r="J449" i="6"/>
  <c r="G449" i="6"/>
  <c r="F449" i="6"/>
  <c r="J448" i="6"/>
  <c r="G448" i="6"/>
  <c r="F448" i="6"/>
  <c r="J447" i="6"/>
  <c r="G447" i="6"/>
  <c r="F447" i="6"/>
  <c r="F446" i="6"/>
  <c r="D446" i="6"/>
  <c r="I446" i="6"/>
  <c r="C446" i="6"/>
  <c r="B446" i="6"/>
  <c r="Z445" i="6"/>
  <c r="Y445" i="6"/>
  <c r="X445" i="6"/>
  <c r="G444" i="6"/>
  <c r="E444" i="6"/>
  <c r="J443" i="6"/>
  <c r="F443" i="6"/>
  <c r="E443" i="6"/>
  <c r="J442" i="6"/>
  <c r="E442" i="6"/>
  <c r="J441" i="6"/>
  <c r="G441" i="6"/>
  <c r="F441" i="6"/>
  <c r="J440" i="6"/>
  <c r="G440" i="6"/>
  <c r="F440" i="6"/>
  <c r="J439" i="6"/>
  <c r="G439" i="6"/>
  <c r="F439" i="6"/>
  <c r="J438" i="6"/>
  <c r="G438" i="6"/>
  <c r="F438" i="6"/>
  <c r="F437" i="6"/>
  <c r="D437" i="6"/>
  <c r="I437" i="6"/>
  <c r="C437" i="6"/>
  <c r="B437" i="6"/>
  <c r="Z436" i="6"/>
  <c r="Y436" i="6"/>
  <c r="X436" i="6"/>
  <c r="G435" i="6"/>
  <c r="E435" i="6"/>
  <c r="J434" i="6"/>
  <c r="E434" i="6"/>
  <c r="J433" i="6"/>
  <c r="E433" i="6"/>
  <c r="J432" i="6"/>
  <c r="G432" i="6"/>
  <c r="F432" i="6"/>
  <c r="F431" i="6"/>
  <c r="E431" i="6"/>
  <c r="D431" i="6"/>
  <c r="I431" i="6"/>
  <c r="C431" i="6"/>
  <c r="B431" i="6"/>
  <c r="Z430" i="6"/>
  <c r="Y430" i="6"/>
  <c r="X430" i="6"/>
  <c r="J429" i="6"/>
  <c r="G429" i="6"/>
  <c r="F429" i="6"/>
  <c r="E429" i="6"/>
  <c r="D429" i="6"/>
  <c r="I429" i="6"/>
  <c r="B429" i="6"/>
  <c r="Z428" i="6"/>
  <c r="Y428" i="6"/>
  <c r="X428" i="6"/>
  <c r="G427" i="6"/>
  <c r="E427" i="6"/>
  <c r="J426" i="6"/>
  <c r="F426" i="6"/>
  <c r="E426" i="6"/>
  <c r="J425" i="6"/>
  <c r="E425" i="6"/>
  <c r="J424" i="6"/>
  <c r="G424" i="6"/>
  <c r="F424" i="6"/>
  <c r="J423" i="6"/>
  <c r="G423" i="6"/>
  <c r="F423" i="6"/>
  <c r="J422" i="6"/>
  <c r="G422" i="6"/>
  <c r="F422" i="6"/>
  <c r="J421" i="6"/>
  <c r="G421" i="6"/>
  <c r="F421" i="6"/>
  <c r="F420" i="6"/>
  <c r="D420" i="6"/>
  <c r="I420" i="6"/>
  <c r="C420" i="6"/>
  <c r="B420" i="6"/>
  <c r="Z419" i="6"/>
  <c r="Y419" i="6"/>
  <c r="X419" i="6"/>
  <c r="J418" i="6"/>
  <c r="G418" i="6"/>
  <c r="F418" i="6"/>
  <c r="E418" i="6"/>
  <c r="D418" i="6"/>
  <c r="I418" i="6"/>
  <c r="B418" i="6"/>
  <c r="Z417" i="6"/>
  <c r="Y417" i="6"/>
  <c r="X417" i="6"/>
  <c r="G416" i="6"/>
  <c r="E416" i="6"/>
  <c r="J415" i="6"/>
  <c r="F415" i="6"/>
  <c r="E415" i="6"/>
  <c r="J414" i="6"/>
  <c r="E414" i="6"/>
  <c r="J413" i="6"/>
  <c r="G413" i="6"/>
  <c r="F413" i="6"/>
  <c r="J412" i="6"/>
  <c r="G412" i="6"/>
  <c r="F412" i="6"/>
  <c r="J411" i="6"/>
  <c r="G411" i="6"/>
  <c r="F411" i="6"/>
  <c r="J410" i="6"/>
  <c r="G410" i="6"/>
  <c r="F410" i="6"/>
  <c r="F409" i="6"/>
  <c r="D409" i="6"/>
  <c r="I409" i="6"/>
  <c r="C409" i="6"/>
  <c r="B409" i="6"/>
  <c r="Z408" i="6"/>
  <c r="Y408" i="6"/>
  <c r="X408" i="6"/>
  <c r="J406" i="6"/>
  <c r="G406" i="6"/>
  <c r="F406" i="6"/>
  <c r="D406" i="6"/>
  <c r="I406" i="6"/>
  <c r="B406" i="6"/>
  <c r="Z405" i="6"/>
  <c r="Y405" i="6"/>
  <c r="X405" i="6"/>
  <c r="J404" i="6"/>
  <c r="G404" i="6"/>
  <c r="F404" i="6"/>
  <c r="D404" i="6"/>
  <c r="I404" i="6"/>
  <c r="B404" i="6"/>
  <c r="Z403" i="6"/>
  <c r="Y403" i="6"/>
  <c r="X403" i="6"/>
  <c r="J402" i="6"/>
  <c r="Z402" i="6"/>
  <c r="Y402" i="6"/>
  <c r="X402" i="6"/>
  <c r="F402" i="6"/>
  <c r="D402" i="6"/>
  <c r="C402" i="6"/>
  <c r="B402" i="6"/>
  <c r="G401" i="6"/>
  <c r="E401" i="6"/>
  <c r="J400" i="6"/>
  <c r="E400" i="6"/>
  <c r="J399" i="6"/>
  <c r="E399" i="6"/>
  <c r="J398" i="6"/>
  <c r="G398" i="6"/>
  <c r="F398" i="6"/>
  <c r="J397" i="6"/>
  <c r="G397" i="6"/>
  <c r="F397" i="6"/>
  <c r="J396" i="6"/>
  <c r="G396" i="6"/>
  <c r="F396" i="6"/>
  <c r="F395" i="6"/>
  <c r="E395" i="6"/>
  <c r="D395" i="6"/>
  <c r="I395" i="6"/>
  <c r="C395" i="6"/>
  <c r="B395" i="6"/>
  <c r="Z394" i="6"/>
  <c r="Y394" i="6"/>
  <c r="X394" i="6"/>
  <c r="J393" i="6"/>
  <c r="G393" i="6"/>
  <c r="F393" i="6"/>
  <c r="D393" i="6"/>
  <c r="I393" i="6"/>
  <c r="B393" i="6"/>
  <c r="Z392" i="6"/>
  <c r="Y392" i="6"/>
  <c r="X392" i="6"/>
  <c r="G391" i="6"/>
  <c r="E391" i="6"/>
  <c r="J390" i="6"/>
  <c r="E390" i="6"/>
  <c r="J389" i="6"/>
  <c r="E389" i="6"/>
  <c r="J388" i="6"/>
  <c r="G388" i="6"/>
  <c r="F388" i="6"/>
  <c r="F386" i="6"/>
  <c r="D386" i="6"/>
  <c r="I386" i="6"/>
  <c r="C386" i="6"/>
  <c r="B386" i="6"/>
  <c r="Z385" i="6"/>
  <c r="Y385" i="6"/>
  <c r="X385" i="6"/>
  <c r="J383" i="6"/>
  <c r="G383" i="6"/>
  <c r="F383" i="6"/>
  <c r="D383" i="6"/>
  <c r="I383" i="6"/>
  <c r="B383" i="6"/>
  <c r="Z382" i="6"/>
  <c r="Y382" i="6"/>
  <c r="X382" i="6"/>
  <c r="J381" i="6"/>
  <c r="G381" i="6"/>
  <c r="F381" i="6"/>
  <c r="D381" i="6"/>
  <c r="I381" i="6"/>
  <c r="B381" i="6"/>
  <c r="Z380" i="6"/>
  <c r="Y380" i="6"/>
  <c r="X380" i="6"/>
  <c r="J379" i="6"/>
  <c r="Z379" i="6"/>
  <c r="Y379" i="6"/>
  <c r="X379" i="6"/>
  <c r="F379" i="6"/>
  <c r="D379" i="6"/>
  <c r="C379" i="6"/>
  <c r="B379" i="6"/>
  <c r="G378" i="6"/>
  <c r="E378" i="6"/>
  <c r="J377" i="6"/>
  <c r="E377" i="6"/>
  <c r="J376" i="6"/>
  <c r="E376" i="6"/>
  <c r="J375" i="6"/>
  <c r="G375" i="6"/>
  <c r="F375" i="6"/>
  <c r="J374" i="6"/>
  <c r="G374" i="6"/>
  <c r="F374" i="6"/>
  <c r="J373" i="6"/>
  <c r="G373" i="6"/>
  <c r="F373" i="6"/>
  <c r="F372" i="6"/>
  <c r="E372" i="6"/>
  <c r="D372" i="6"/>
  <c r="I372" i="6"/>
  <c r="C372" i="6"/>
  <c r="B372" i="6"/>
  <c r="Z371" i="6"/>
  <c r="Y371" i="6"/>
  <c r="X371" i="6"/>
  <c r="G370" i="6"/>
  <c r="E370" i="6"/>
  <c r="J369" i="6"/>
  <c r="E369" i="6"/>
  <c r="J368" i="6"/>
  <c r="E368" i="6"/>
  <c r="J367" i="6"/>
  <c r="G367" i="6"/>
  <c r="F367" i="6"/>
  <c r="J366" i="6"/>
  <c r="G366" i="6"/>
  <c r="F366" i="6"/>
  <c r="F365" i="6"/>
  <c r="E365" i="6"/>
  <c r="D365" i="6"/>
  <c r="I365" i="6"/>
  <c r="C365" i="6"/>
  <c r="B365" i="6"/>
  <c r="Z364" i="6"/>
  <c r="Y364" i="6"/>
  <c r="X364" i="6"/>
  <c r="G363" i="6"/>
  <c r="E363" i="6"/>
  <c r="J362" i="6"/>
  <c r="E362" i="6"/>
  <c r="J361" i="6"/>
  <c r="E361" i="6"/>
  <c r="J360" i="6"/>
  <c r="G360" i="6"/>
  <c r="F360" i="6"/>
  <c r="J359" i="6"/>
  <c r="G359" i="6"/>
  <c r="F359" i="6"/>
  <c r="J358" i="6"/>
  <c r="G358" i="6"/>
  <c r="F358" i="6"/>
  <c r="F357" i="6"/>
  <c r="D357" i="6"/>
  <c r="I357" i="6"/>
  <c r="C357" i="6"/>
  <c r="B357" i="6"/>
  <c r="B356" i="6"/>
  <c r="Z354" i="6"/>
  <c r="Y354" i="6"/>
  <c r="X354" i="6"/>
  <c r="J353" i="6"/>
  <c r="G353" i="6"/>
  <c r="F353" i="6"/>
  <c r="J352" i="6"/>
  <c r="G352" i="6"/>
  <c r="F352" i="6"/>
  <c r="F351" i="6"/>
  <c r="E351" i="6"/>
  <c r="D351" i="6"/>
  <c r="I351" i="6"/>
  <c r="C351" i="6"/>
  <c r="B351" i="6"/>
  <c r="Z350" i="6"/>
  <c r="Y350" i="6"/>
  <c r="X350" i="6"/>
  <c r="J349" i="6"/>
  <c r="G349" i="6"/>
  <c r="F349" i="6"/>
  <c r="D349" i="6"/>
  <c r="I349" i="6"/>
  <c r="B349" i="6"/>
  <c r="Z348" i="6"/>
  <c r="Y348" i="6"/>
  <c r="X348" i="6"/>
  <c r="G347" i="6"/>
  <c r="E347" i="6"/>
  <c r="J346" i="6"/>
  <c r="E346" i="6"/>
  <c r="J345" i="6"/>
  <c r="E345" i="6"/>
  <c r="J344" i="6"/>
  <c r="G344" i="6"/>
  <c r="F344" i="6"/>
  <c r="J343" i="6"/>
  <c r="G343" i="6"/>
  <c r="F343" i="6"/>
  <c r="J342" i="6"/>
  <c r="G342" i="6"/>
  <c r="F342" i="6"/>
  <c r="F341" i="6"/>
  <c r="D341" i="6"/>
  <c r="I341" i="6"/>
  <c r="C341" i="6"/>
  <c r="B341" i="6"/>
  <c r="Z340" i="6"/>
  <c r="Y340" i="6"/>
  <c r="X340" i="6"/>
  <c r="G339" i="6"/>
  <c r="E339" i="6"/>
  <c r="J338" i="6"/>
  <c r="E338" i="6"/>
  <c r="J337" i="6"/>
  <c r="E337" i="6"/>
  <c r="J336" i="6"/>
  <c r="G336" i="6"/>
  <c r="F336" i="6"/>
  <c r="J335" i="6"/>
  <c r="G335" i="6"/>
  <c r="F335" i="6"/>
  <c r="J334" i="6"/>
  <c r="G334" i="6"/>
  <c r="F334" i="6"/>
  <c r="F333" i="6"/>
  <c r="D333" i="6"/>
  <c r="I333" i="6"/>
  <c r="C333" i="6"/>
  <c r="B333" i="6"/>
  <c r="Z332" i="6"/>
  <c r="Y332" i="6"/>
  <c r="X332" i="6"/>
  <c r="G331" i="6"/>
  <c r="E331" i="6"/>
  <c r="J330" i="6"/>
  <c r="E330" i="6"/>
  <c r="J329" i="6"/>
  <c r="E329" i="6"/>
  <c r="J328" i="6"/>
  <c r="G328" i="6"/>
  <c r="F328" i="6"/>
  <c r="J327" i="6"/>
  <c r="G327" i="6"/>
  <c r="F327" i="6"/>
  <c r="J326" i="6"/>
  <c r="G326" i="6"/>
  <c r="F326" i="6"/>
  <c r="F325" i="6"/>
  <c r="D325" i="6"/>
  <c r="I325" i="6"/>
  <c r="C325" i="6"/>
  <c r="B325" i="6"/>
  <c r="Z324" i="6"/>
  <c r="Y324" i="6"/>
  <c r="X324" i="6"/>
  <c r="J323" i="6"/>
  <c r="G323" i="6"/>
  <c r="F323" i="6"/>
  <c r="D323" i="6"/>
  <c r="I323" i="6"/>
  <c r="B323" i="6"/>
  <c r="Z322" i="6"/>
  <c r="Y322" i="6"/>
  <c r="X322" i="6"/>
  <c r="J321" i="6"/>
  <c r="Z321" i="6"/>
  <c r="Y321" i="6"/>
  <c r="X321" i="6"/>
  <c r="F321" i="6"/>
  <c r="D321" i="6"/>
  <c r="C321" i="6"/>
  <c r="B321" i="6"/>
  <c r="G320" i="6"/>
  <c r="E320" i="6"/>
  <c r="J319" i="6"/>
  <c r="E319" i="6"/>
  <c r="J318" i="6"/>
  <c r="E318" i="6"/>
  <c r="J317" i="6"/>
  <c r="G317" i="6"/>
  <c r="F317" i="6"/>
  <c r="J316" i="6"/>
  <c r="G316" i="6"/>
  <c r="F316" i="6"/>
  <c r="J315" i="6"/>
  <c r="G315" i="6"/>
  <c r="F315" i="6"/>
  <c r="J314" i="6"/>
  <c r="G314" i="6"/>
  <c r="F314" i="6"/>
  <c r="F313" i="6"/>
  <c r="D313" i="6"/>
  <c r="I313" i="6"/>
  <c r="C313" i="6"/>
  <c r="B313" i="6"/>
  <c r="Z312" i="6"/>
  <c r="Y312" i="6"/>
  <c r="X312" i="6"/>
  <c r="G311" i="6"/>
  <c r="E311" i="6"/>
  <c r="J310" i="6"/>
  <c r="E310" i="6"/>
  <c r="J309" i="6"/>
  <c r="E309" i="6"/>
  <c r="J308" i="6"/>
  <c r="G308" i="6"/>
  <c r="F308" i="6"/>
  <c r="F307" i="6"/>
  <c r="D307" i="6"/>
  <c r="I307" i="6"/>
  <c r="C307" i="6"/>
  <c r="B307" i="6"/>
  <c r="B306" i="6"/>
  <c r="Z304" i="6"/>
  <c r="Y304" i="6"/>
  <c r="X304" i="6"/>
  <c r="J303" i="6"/>
  <c r="G303" i="6"/>
  <c r="F303" i="6"/>
  <c r="J302" i="6"/>
  <c r="G302" i="6"/>
  <c r="F302" i="6"/>
  <c r="F301" i="6"/>
  <c r="E301" i="6"/>
  <c r="D301" i="6"/>
  <c r="I301" i="6"/>
  <c r="C301" i="6"/>
  <c r="B301" i="6"/>
  <c r="Z300" i="6"/>
  <c r="Y300" i="6"/>
  <c r="X300" i="6"/>
  <c r="J299" i="6"/>
  <c r="G299" i="6"/>
  <c r="F299" i="6"/>
  <c r="D299" i="6"/>
  <c r="I299" i="6"/>
  <c r="B299" i="6"/>
  <c r="Z298" i="6"/>
  <c r="Y298" i="6"/>
  <c r="X298" i="6"/>
  <c r="J297" i="6"/>
  <c r="Z297" i="6"/>
  <c r="Y297" i="6"/>
  <c r="X297" i="6"/>
  <c r="F297" i="6"/>
  <c r="D297" i="6"/>
  <c r="C297" i="6"/>
  <c r="B297" i="6"/>
  <c r="G296" i="6"/>
  <c r="E296" i="6"/>
  <c r="J295" i="6"/>
  <c r="E295" i="6"/>
  <c r="J294" i="6"/>
  <c r="E294" i="6"/>
  <c r="J293" i="6"/>
  <c r="G293" i="6"/>
  <c r="F293" i="6"/>
  <c r="J292" i="6"/>
  <c r="G292" i="6"/>
  <c r="F292" i="6"/>
  <c r="F290" i="6"/>
  <c r="D290" i="6"/>
  <c r="I290" i="6"/>
  <c r="C290" i="6"/>
  <c r="B290" i="6"/>
  <c r="Z289" i="6"/>
  <c r="Y289" i="6"/>
  <c r="X289" i="6"/>
  <c r="G288" i="6"/>
  <c r="E288" i="6"/>
  <c r="J287" i="6"/>
  <c r="E287" i="6"/>
  <c r="J286" i="6"/>
  <c r="E286" i="6"/>
  <c r="J285" i="6"/>
  <c r="G285" i="6"/>
  <c r="F285" i="6"/>
  <c r="J284" i="6"/>
  <c r="G284" i="6"/>
  <c r="F284" i="6"/>
  <c r="J283" i="6"/>
  <c r="G283" i="6"/>
  <c r="F283" i="6"/>
  <c r="F282" i="6"/>
  <c r="D282" i="6"/>
  <c r="I282" i="6"/>
  <c r="C282" i="6"/>
  <c r="B282" i="6"/>
  <c r="Z281" i="6"/>
  <c r="Y281" i="6"/>
  <c r="X281" i="6"/>
  <c r="J280" i="6"/>
  <c r="G280" i="6"/>
  <c r="F280" i="6"/>
  <c r="D280" i="6"/>
  <c r="I280" i="6"/>
  <c r="B280" i="6"/>
  <c r="Z279" i="6"/>
  <c r="Y279" i="6"/>
  <c r="X279" i="6"/>
  <c r="G278" i="6"/>
  <c r="E278" i="6"/>
  <c r="J277" i="6"/>
  <c r="E277" i="6"/>
  <c r="J276" i="6"/>
  <c r="E276" i="6"/>
  <c r="J275" i="6"/>
  <c r="G275" i="6"/>
  <c r="F275" i="6"/>
  <c r="J274" i="6"/>
  <c r="G274" i="6"/>
  <c r="F274" i="6"/>
  <c r="J273" i="6"/>
  <c r="G273" i="6"/>
  <c r="F273" i="6"/>
  <c r="F272" i="6"/>
  <c r="D272" i="6"/>
  <c r="I272" i="6"/>
  <c r="C272" i="6"/>
  <c r="B272" i="6"/>
  <c r="Z271" i="6"/>
  <c r="Y271" i="6"/>
  <c r="X271" i="6"/>
  <c r="G270" i="6"/>
  <c r="E270" i="6"/>
  <c r="J269" i="6"/>
  <c r="E269" i="6"/>
  <c r="J268" i="6"/>
  <c r="E268" i="6"/>
  <c r="J267" i="6"/>
  <c r="G267" i="6"/>
  <c r="F267" i="6"/>
  <c r="J266" i="6"/>
  <c r="G266" i="6"/>
  <c r="F266" i="6"/>
  <c r="J265" i="6"/>
  <c r="G265" i="6"/>
  <c r="F265" i="6"/>
  <c r="F264" i="6"/>
  <c r="D264" i="6"/>
  <c r="I264" i="6"/>
  <c r="C264" i="6"/>
  <c r="B264" i="6"/>
  <c r="Z263" i="6"/>
  <c r="Y263" i="6"/>
  <c r="X263" i="6"/>
  <c r="G262" i="6"/>
  <c r="E262" i="6"/>
  <c r="J261" i="6"/>
  <c r="E261" i="6"/>
  <c r="J260" i="6"/>
  <c r="E260" i="6"/>
  <c r="J259" i="6"/>
  <c r="G259" i="6"/>
  <c r="F259" i="6"/>
  <c r="J258" i="6"/>
  <c r="G258" i="6"/>
  <c r="F258" i="6"/>
  <c r="J257" i="6"/>
  <c r="G257" i="6"/>
  <c r="F257" i="6"/>
  <c r="F256" i="6"/>
  <c r="D256" i="6"/>
  <c r="I256" i="6"/>
  <c r="C256" i="6"/>
  <c r="B256" i="6"/>
  <c r="Z255" i="6"/>
  <c r="Y255" i="6"/>
  <c r="X255" i="6"/>
  <c r="J254" i="6"/>
  <c r="G254" i="6"/>
  <c r="F254" i="6"/>
  <c r="D254" i="6"/>
  <c r="I254" i="6"/>
  <c r="B254" i="6"/>
  <c r="Z253" i="6"/>
  <c r="Y253" i="6"/>
  <c r="X253" i="6"/>
  <c r="J252" i="6"/>
  <c r="Z252" i="6"/>
  <c r="Y252" i="6"/>
  <c r="X252" i="6"/>
  <c r="F252" i="6"/>
  <c r="D252" i="6"/>
  <c r="C252" i="6"/>
  <c r="B252" i="6"/>
  <c r="G251" i="6"/>
  <c r="E251" i="6"/>
  <c r="J250" i="6"/>
  <c r="E250" i="6"/>
  <c r="J249" i="6"/>
  <c r="E249" i="6"/>
  <c r="J248" i="6"/>
  <c r="G248" i="6"/>
  <c r="F248" i="6"/>
  <c r="J247" i="6"/>
  <c r="G247" i="6"/>
  <c r="F247" i="6"/>
  <c r="J246" i="6"/>
  <c r="G246" i="6"/>
  <c r="F246" i="6"/>
  <c r="J245" i="6"/>
  <c r="G245" i="6"/>
  <c r="F245" i="6"/>
  <c r="F244" i="6"/>
  <c r="D244" i="6"/>
  <c r="I244" i="6"/>
  <c r="C244" i="6"/>
  <c r="B244" i="6"/>
  <c r="Z243" i="6"/>
  <c r="Y243" i="6"/>
  <c r="X243" i="6"/>
  <c r="G242" i="6"/>
  <c r="E242" i="6"/>
  <c r="J241" i="6"/>
  <c r="E241" i="6"/>
  <c r="J240" i="6"/>
  <c r="E240" i="6"/>
  <c r="J239" i="6"/>
  <c r="G239" i="6"/>
  <c r="F239" i="6"/>
  <c r="F238" i="6"/>
  <c r="D238" i="6"/>
  <c r="I238" i="6"/>
  <c r="C238" i="6"/>
  <c r="B238" i="6"/>
  <c r="B237" i="6"/>
  <c r="Z235" i="6"/>
  <c r="Y235" i="6"/>
  <c r="X235" i="6"/>
  <c r="J234" i="6"/>
  <c r="G234" i="6"/>
  <c r="F234" i="6"/>
  <c r="E234" i="6"/>
  <c r="D234" i="6"/>
  <c r="I234" i="6"/>
  <c r="B234" i="6"/>
  <c r="Z233" i="6"/>
  <c r="Y233" i="6"/>
  <c r="X233" i="6"/>
  <c r="J232" i="6"/>
  <c r="G232" i="6"/>
  <c r="F232" i="6"/>
  <c r="E232" i="6"/>
  <c r="D232" i="6"/>
  <c r="I232" i="6"/>
  <c r="B232" i="6"/>
  <c r="Z231" i="6"/>
  <c r="Y231" i="6"/>
  <c r="X231" i="6"/>
  <c r="G230" i="6"/>
  <c r="E230" i="6"/>
  <c r="J229" i="6"/>
  <c r="E229" i="6"/>
  <c r="J228" i="6"/>
  <c r="E228" i="6"/>
  <c r="J227" i="6"/>
  <c r="G227" i="6"/>
  <c r="F227" i="6"/>
  <c r="F226" i="6"/>
  <c r="E226" i="6"/>
  <c r="D226" i="6"/>
  <c r="I226" i="6"/>
  <c r="C226" i="6"/>
  <c r="B226" i="6"/>
  <c r="Z225" i="6"/>
  <c r="Y225" i="6"/>
  <c r="X225" i="6"/>
  <c r="J224" i="6"/>
  <c r="G224" i="6"/>
  <c r="F224" i="6"/>
  <c r="E224" i="6"/>
  <c r="D224" i="6"/>
  <c r="I224" i="6"/>
  <c r="B224" i="6"/>
  <c r="Z223" i="6"/>
  <c r="Y223" i="6"/>
  <c r="X223" i="6"/>
  <c r="G222" i="6"/>
  <c r="E222" i="6"/>
  <c r="J221" i="6"/>
  <c r="E221" i="6"/>
  <c r="J220" i="6"/>
  <c r="E220" i="6"/>
  <c r="J219" i="6"/>
  <c r="G219" i="6"/>
  <c r="F219" i="6"/>
  <c r="J218" i="6"/>
  <c r="G218" i="6"/>
  <c r="F218" i="6"/>
  <c r="F217" i="6"/>
  <c r="E217" i="6"/>
  <c r="D217" i="6"/>
  <c r="I217" i="6"/>
  <c r="C217" i="6"/>
  <c r="B217" i="6"/>
  <c r="B216" i="6"/>
  <c r="Z214" i="6"/>
  <c r="Y214" i="6"/>
  <c r="X214" i="6"/>
  <c r="J213" i="6"/>
  <c r="G213" i="6"/>
  <c r="F213" i="6"/>
  <c r="E213" i="6"/>
  <c r="D213" i="6"/>
  <c r="I213" i="6"/>
  <c r="B213" i="6"/>
  <c r="Z212" i="6"/>
  <c r="Y212" i="6"/>
  <c r="X212" i="6"/>
  <c r="J211" i="6"/>
  <c r="G211" i="6"/>
  <c r="F211" i="6"/>
  <c r="E211" i="6"/>
  <c r="D211" i="6"/>
  <c r="I211" i="6"/>
  <c r="B211" i="6"/>
  <c r="Z210" i="6"/>
  <c r="Y210" i="6"/>
  <c r="X210" i="6"/>
  <c r="J209" i="6"/>
  <c r="Z209" i="6"/>
  <c r="Y209" i="6"/>
  <c r="X209" i="6"/>
  <c r="F209" i="6"/>
  <c r="D209" i="6"/>
  <c r="C209" i="6"/>
  <c r="B209" i="6"/>
  <c r="G208" i="6"/>
  <c r="E208" i="6"/>
  <c r="J207" i="6"/>
  <c r="E207" i="6"/>
  <c r="J206" i="6"/>
  <c r="E206" i="6"/>
  <c r="J205" i="6"/>
  <c r="G205" i="6"/>
  <c r="F205" i="6"/>
  <c r="J204" i="6"/>
  <c r="G204" i="6"/>
  <c r="F204" i="6"/>
  <c r="J203" i="6"/>
  <c r="G203" i="6"/>
  <c r="F203" i="6"/>
  <c r="J202" i="6"/>
  <c r="G202" i="6"/>
  <c r="F202" i="6"/>
  <c r="F200" i="6"/>
  <c r="D200" i="6"/>
  <c r="I200" i="6"/>
  <c r="C200" i="6"/>
  <c r="B200" i="6"/>
  <c r="Z199" i="6"/>
  <c r="Y199" i="6"/>
  <c r="X199" i="6"/>
  <c r="J198" i="6"/>
  <c r="G198" i="6"/>
  <c r="F198" i="6"/>
  <c r="E198" i="6"/>
  <c r="D198" i="6"/>
  <c r="I198" i="6"/>
  <c r="B198" i="6"/>
  <c r="Z197" i="6"/>
  <c r="Y197" i="6"/>
  <c r="X197" i="6"/>
  <c r="G196" i="6"/>
  <c r="E196" i="6"/>
  <c r="J195" i="6"/>
  <c r="E195" i="6"/>
  <c r="J194" i="6"/>
  <c r="E194" i="6"/>
  <c r="J193" i="6"/>
  <c r="G193" i="6"/>
  <c r="F193" i="6"/>
  <c r="F191" i="6"/>
  <c r="D191" i="6"/>
  <c r="I191" i="6"/>
  <c r="C191" i="6"/>
  <c r="B191" i="6"/>
  <c r="Z190" i="6"/>
  <c r="Y190" i="6"/>
  <c r="X190" i="6"/>
  <c r="G189" i="6"/>
  <c r="E189" i="6"/>
  <c r="J188" i="6"/>
  <c r="E188" i="6"/>
  <c r="J187" i="6"/>
  <c r="E187" i="6"/>
  <c r="J186" i="6"/>
  <c r="G186" i="6"/>
  <c r="F186" i="6"/>
  <c r="J185" i="6"/>
  <c r="G185" i="6"/>
  <c r="F185" i="6"/>
  <c r="J184" i="6"/>
  <c r="G184" i="6"/>
  <c r="F184" i="6"/>
  <c r="F182" i="6"/>
  <c r="D182" i="6"/>
  <c r="I182" i="6"/>
  <c r="C182" i="6"/>
  <c r="B182" i="6"/>
  <c r="Z181" i="6"/>
  <c r="Y181" i="6"/>
  <c r="X181" i="6"/>
  <c r="G180" i="6"/>
  <c r="E180" i="6"/>
  <c r="J179" i="6"/>
  <c r="E179" i="6"/>
  <c r="J178" i="6"/>
  <c r="E178" i="6"/>
  <c r="J177" i="6"/>
  <c r="G177" i="6"/>
  <c r="F177" i="6"/>
  <c r="J176" i="6"/>
  <c r="G176" i="6"/>
  <c r="F176" i="6"/>
  <c r="J175" i="6"/>
  <c r="G175" i="6"/>
  <c r="F175" i="6"/>
  <c r="F173" i="6"/>
  <c r="D173" i="6"/>
  <c r="I173" i="6"/>
  <c r="C173" i="6"/>
  <c r="B173" i="6"/>
  <c r="B172" i="6"/>
  <c r="Z170" i="6"/>
  <c r="Y170" i="6"/>
  <c r="X170" i="6"/>
  <c r="J168" i="6"/>
  <c r="G168" i="6"/>
  <c r="F168" i="6"/>
  <c r="D168" i="6"/>
  <c r="I168" i="6"/>
  <c r="B168" i="6"/>
  <c r="Z167" i="6"/>
  <c r="Y167" i="6"/>
  <c r="X167" i="6"/>
  <c r="G166" i="6"/>
  <c r="E166" i="6"/>
  <c r="J165" i="6"/>
  <c r="E165" i="6"/>
  <c r="J164" i="6"/>
  <c r="E164" i="6"/>
  <c r="J163" i="6"/>
  <c r="G163" i="6"/>
  <c r="F163" i="6"/>
  <c r="J162" i="6"/>
  <c r="G162" i="6"/>
  <c r="F162" i="6"/>
  <c r="J161" i="6"/>
  <c r="G161" i="6"/>
  <c r="F161" i="6"/>
  <c r="J160" i="6"/>
  <c r="G160" i="6"/>
  <c r="F160" i="6"/>
  <c r="F158" i="6"/>
  <c r="D158" i="6"/>
  <c r="I158" i="6"/>
  <c r="C158" i="6"/>
  <c r="B158" i="6"/>
  <c r="Z157" i="6"/>
  <c r="Y157" i="6"/>
  <c r="X157" i="6"/>
  <c r="J155" i="6"/>
  <c r="G155" i="6"/>
  <c r="F155" i="6"/>
  <c r="D155" i="6"/>
  <c r="I155" i="6"/>
  <c r="B155" i="6"/>
  <c r="Z154" i="6"/>
  <c r="Y154" i="6"/>
  <c r="X154" i="6"/>
  <c r="J152" i="6"/>
  <c r="G152" i="6"/>
  <c r="F152" i="6"/>
  <c r="D152" i="6"/>
  <c r="I152" i="6"/>
  <c r="B152" i="6"/>
  <c r="Z151" i="6"/>
  <c r="Y151" i="6"/>
  <c r="X151" i="6"/>
  <c r="G150" i="6"/>
  <c r="E150" i="6"/>
  <c r="J149" i="6"/>
  <c r="F149" i="6"/>
  <c r="E149" i="6"/>
  <c r="J148" i="6"/>
  <c r="E148" i="6"/>
  <c r="J147" i="6"/>
  <c r="G147" i="6"/>
  <c r="F147" i="6"/>
  <c r="J146" i="6"/>
  <c r="G146" i="6"/>
  <c r="F146" i="6"/>
  <c r="J145" i="6"/>
  <c r="G145" i="6"/>
  <c r="F145" i="6"/>
  <c r="F143" i="6"/>
  <c r="D143" i="6"/>
  <c r="I143" i="6"/>
  <c r="C143" i="6"/>
  <c r="B143" i="6"/>
  <c r="Z142" i="6"/>
  <c r="Y142" i="6"/>
  <c r="X142" i="6"/>
  <c r="J140" i="6"/>
  <c r="G140" i="6"/>
  <c r="F140" i="6"/>
  <c r="D140" i="6"/>
  <c r="I140" i="6"/>
  <c r="B140" i="6"/>
  <c r="Z139" i="6"/>
  <c r="Y139" i="6"/>
  <c r="X139" i="6"/>
  <c r="G138" i="6"/>
  <c r="E138" i="6"/>
  <c r="J137" i="6"/>
  <c r="F137" i="6"/>
  <c r="E137" i="6"/>
  <c r="J136" i="6"/>
  <c r="E136" i="6"/>
  <c r="J135" i="6"/>
  <c r="G135" i="6"/>
  <c r="F135" i="6"/>
  <c r="J134" i="6"/>
  <c r="G134" i="6"/>
  <c r="F134" i="6"/>
  <c r="J133" i="6"/>
  <c r="G133" i="6"/>
  <c r="F133" i="6"/>
  <c r="J132" i="6"/>
  <c r="G132" i="6"/>
  <c r="F132" i="6"/>
  <c r="F130" i="6"/>
  <c r="D130" i="6"/>
  <c r="I130" i="6"/>
  <c r="C130" i="6"/>
  <c r="B130" i="6"/>
  <c r="Z129" i="6"/>
  <c r="Y129" i="6"/>
  <c r="X129" i="6"/>
  <c r="G128" i="6"/>
  <c r="E128" i="6"/>
  <c r="J127" i="6"/>
  <c r="E127" i="6"/>
  <c r="J126" i="6"/>
  <c r="E126" i="6"/>
  <c r="J125" i="6"/>
  <c r="G125" i="6"/>
  <c r="F125" i="6"/>
  <c r="F124" i="6"/>
  <c r="E124" i="6"/>
  <c r="D124" i="6"/>
  <c r="I124" i="6"/>
  <c r="C124" i="6"/>
  <c r="B124" i="6"/>
  <c r="Z123" i="6"/>
  <c r="Y123" i="6"/>
  <c r="X123" i="6"/>
  <c r="G122" i="6"/>
  <c r="E122" i="6"/>
  <c r="J121" i="6"/>
  <c r="F121" i="6"/>
  <c r="E121" i="6"/>
  <c r="J120" i="6"/>
  <c r="E120" i="6"/>
  <c r="J119" i="6"/>
  <c r="G119" i="6"/>
  <c r="F119" i="6"/>
  <c r="J118" i="6"/>
  <c r="G118" i="6"/>
  <c r="F118" i="6"/>
  <c r="J117" i="6"/>
  <c r="G117" i="6"/>
  <c r="F117" i="6"/>
  <c r="J116" i="6"/>
  <c r="G116" i="6"/>
  <c r="F116" i="6"/>
  <c r="F114" i="6"/>
  <c r="D114" i="6"/>
  <c r="I114" i="6"/>
  <c r="C114" i="6"/>
  <c r="B114" i="6"/>
  <c r="B113" i="6"/>
  <c r="Z111" i="6"/>
  <c r="Y111" i="6"/>
  <c r="X111" i="6"/>
  <c r="J110" i="6"/>
  <c r="G110" i="6"/>
  <c r="F110" i="6"/>
  <c r="D110" i="6"/>
  <c r="I110" i="6"/>
  <c r="B110" i="6"/>
  <c r="Z109" i="6"/>
  <c r="Y109" i="6"/>
  <c r="X109" i="6"/>
  <c r="J108" i="6"/>
  <c r="G108" i="6"/>
  <c r="F108" i="6"/>
  <c r="D108" i="6"/>
  <c r="I108" i="6"/>
  <c r="B108" i="6"/>
  <c r="Z107" i="6"/>
  <c r="Y107" i="6"/>
  <c r="W107" i="6"/>
  <c r="G106" i="6"/>
  <c r="E106" i="6"/>
  <c r="J105" i="6"/>
  <c r="E105" i="6"/>
  <c r="J104" i="6"/>
  <c r="E104" i="6"/>
  <c r="J103" i="6"/>
  <c r="G103" i="6"/>
  <c r="F103" i="6"/>
  <c r="J102" i="6"/>
  <c r="G102" i="6"/>
  <c r="F102" i="6"/>
  <c r="J101" i="6"/>
  <c r="G101" i="6"/>
  <c r="F101" i="6"/>
  <c r="J100" i="6"/>
  <c r="G100" i="6"/>
  <c r="F100" i="6"/>
  <c r="F99" i="6"/>
  <c r="E99" i="6"/>
  <c r="D99" i="6"/>
  <c r="I99" i="6"/>
  <c r="C99" i="6"/>
  <c r="B99" i="6"/>
  <c r="Z98" i="6"/>
  <c r="Y98" i="6"/>
  <c r="X98" i="6"/>
  <c r="J96" i="6"/>
  <c r="G96" i="6"/>
  <c r="F96" i="6"/>
  <c r="D96" i="6"/>
  <c r="I96" i="6"/>
  <c r="B96" i="6"/>
  <c r="Z95" i="6"/>
  <c r="Y95" i="6"/>
  <c r="X95" i="6"/>
  <c r="G94" i="6"/>
  <c r="E94" i="6"/>
  <c r="J93" i="6"/>
  <c r="F93" i="6"/>
  <c r="E93" i="6"/>
  <c r="J92" i="6"/>
  <c r="E92" i="6"/>
  <c r="J91" i="6"/>
  <c r="G91" i="6"/>
  <c r="F91" i="6"/>
  <c r="J90" i="6"/>
  <c r="G90" i="6"/>
  <c r="F90" i="6"/>
  <c r="J89" i="6"/>
  <c r="G89" i="6"/>
  <c r="F89" i="6"/>
  <c r="J88" i="6"/>
  <c r="G88" i="6"/>
  <c r="F88" i="6"/>
  <c r="F86" i="6"/>
  <c r="D86" i="6"/>
  <c r="I86" i="6"/>
  <c r="C86" i="6"/>
  <c r="B86" i="6"/>
  <c r="B85" i="6"/>
  <c r="Z83" i="6"/>
  <c r="Y83" i="6"/>
  <c r="X83" i="6"/>
  <c r="J82" i="6"/>
  <c r="G82" i="6"/>
  <c r="F82" i="6"/>
  <c r="J81" i="6"/>
  <c r="G81" i="6"/>
  <c r="F81" i="6"/>
  <c r="F80" i="6"/>
  <c r="E80" i="6"/>
  <c r="D80" i="6"/>
  <c r="I80" i="6"/>
  <c r="C80" i="6"/>
  <c r="B80" i="6"/>
  <c r="Z79" i="6"/>
  <c r="Y79" i="6"/>
  <c r="X79" i="6"/>
  <c r="J77" i="6"/>
  <c r="G77" i="6"/>
  <c r="F77" i="6"/>
  <c r="D77" i="6"/>
  <c r="I77" i="6"/>
  <c r="B77" i="6"/>
  <c r="Z76" i="6"/>
  <c r="Y76" i="6"/>
  <c r="X76" i="6"/>
  <c r="G75" i="6"/>
  <c r="E75" i="6"/>
  <c r="J74" i="6"/>
  <c r="E74" i="6"/>
  <c r="J73" i="6"/>
  <c r="E73" i="6"/>
  <c r="J72" i="6"/>
  <c r="G72" i="6"/>
  <c r="F72" i="6"/>
  <c r="F71" i="6"/>
  <c r="D71" i="6"/>
  <c r="I71" i="6"/>
  <c r="C71" i="6"/>
  <c r="B71" i="6"/>
  <c r="Z70" i="6"/>
  <c r="Y70" i="6"/>
  <c r="X70" i="6"/>
  <c r="G69" i="6"/>
  <c r="E69" i="6"/>
  <c r="J68" i="6"/>
  <c r="E68" i="6"/>
  <c r="J67" i="6"/>
  <c r="E67" i="6"/>
  <c r="J66" i="6"/>
  <c r="G66" i="6"/>
  <c r="F66" i="6"/>
  <c r="J65" i="6"/>
  <c r="G65" i="6"/>
  <c r="F65" i="6"/>
  <c r="J64" i="6"/>
  <c r="G64" i="6"/>
  <c r="F64" i="6"/>
  <c r="F63" i="6"/>
  <c r="D63" i="6"/>
  <c r="I63" i="6"/>
  <c r="C63" i="6"/>
  <c r="B63" i="6"/>
  <c r="Z62" i="6"/>
  <c r="Y62" i="6"/>
  <c r="X62" i="6"/>
  <c r="G61" i="6"/>
  <c r="E61" i="6"/>
  <c r="J60" i="6"/>
  <c r="E60" i="6"/>
  <c r="J59" i="6"/>
  <c r="E59" i="6"/>
  <c r="J58" i="6"/>
  <c r="G58" i="6"/>
  <c r="F58" i="6"/>
  <c r="J57" i="6"/>
  <c r="G57" i="6"/>
  <c r="F57" i="6"/>
  <c r="J56" i="6"/>
  <c r="G56" i="6"/>
  <c r="F56" i="6"/>
  <c r="F55" i="6"/>
  <c r="D55" i="6"/>
  <c r="I55" i="6"/>
  <c r="C55" i="6"/>
  <c r="B55" i="6"/>
  <c r="Z54" i="6"/>
  <c r="Y54" i="6"/>
  <c r="X54" i="6"/>
  <c r="J53" i="6"/>
  <c r="G53" i="6"/>
  <c r="F53" i="6"/>
  <c r="D53" i="6"/>
  <c r="I53" i="6"/>
  <c r="B53" i="6"/>
  <c r="Z52" i="6"/>
  <c r="Y52" i="6"/>
  <c r="X52" i="6"/>
  <c r="J51" i="6"/>
  <c r="Z51" i="6"/>
  <c r="Y51" i="6"/>
  <c r="X51" i="6"/>
  <c r="F51" i="6"/>
  <c r="D51" i="6"/>
  <c r="C51" i="6"/>
  <c r="B51" i="6"/>
  <c r="G50" i="6"/>
  <c r="E50" i="6"/>
  <c r="J49" i="6"/>
  <c r="E49" i="6"/>
  <c r="J48" i="6"/>
  <c r="E48" i="6"/>
  <c r="J47" i="6"/>
  <c r="G47" i="6"/>
  <c r="F47" i="6"/>
  <c r="J46" i="6"/>
  <c r="G46" i="6"/>
  <c r="F46" i="6"/>
  <c r="J45" i="6"/>
  <c r="G45" i="6"/>
  <c r="F45" i="6"/>
  <c r="J44" i="6"/>
  <c r="G44" i="6"/>
  <c r="F44" i="6"/>
  <c r="F43" i="6"/>
  <c r="D43" i="6"/>
  <c r="I43" i="6"/>
  <c r="C43" i="6"/>
  <c r="B43" i="6"/>
  <c r="Z42" i="6"/>
  <c r="Y42" i="6"/>
  <c r="X42" i="6"/>
  <c r="G41" i="6"/>
  <c r="E41" i="6"/>
  <c r="J40" i="6"/>
  <c r="E40" i="6"/>
  <c r="J39" i="6"/>
  <c r="E39" i="6"/>
  <c r="J38" i="6"/>
  <c r="G38" i="6"/>
  <c r="F38" i="6"/>
  <c r="F37" i="6"/>
  <c r="D37" i="6"/>
  <c r="I37" i="6"/>
  <c r="C37" i="6"/>
  <c r="B37" i="6"/>
  <c r="B36" i="6"/>
  <c r="A23" i="6"/>
  <c r="B20" i="6"/>
  <c r="A1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1" i="3"/>
  <c r="Y1" i="3"/>
  <c r="CY1" i="3"/>
  <c r="CZ1" i="3"/>
  <c r="DA1" i="3"/>
  <c r="DB1" i="3"/>
  <c r="DC1" i="3"/>
  <c r="A2" i="3"/>
  <c r="Y2" i="3"/>
  <c r="CY2" i="3"/>
  <c r="CZ2" i="3"/>
  <c r="DB2" i="3" s="1"/>
  <c r="DA2" i="3"/>
  <c r="DC2" i="3"/>
  <c r="A3" i="3"/>
  <c r="Y3" i="3"/>
  <c r="CY3" i="3"/>
  <c r="CZ3" i="3"/>
  <c r="DB3" i="3" s="1"/>
  <c r="DA3" i="3"/>
  <c r="DC3" i="3"/>
  <c r="A4" i="3"/>
  <c r="Y4" i="3"/>
  <c r="CY4" i="3"/>
  <c r="CZ4" i="3"/>
  <c r="DA4" i="3"/>
  <c r="DB4" i="3"/>
  <c r="DC4" i="3"/>
  <c r="A5" i="3"/>
  <c r="Y5" i="3"/>
  <c r="CY5" i="3"/>
  <c r="CZ5" i="3"/>
  <c r="DB5" i="3" s="1"/>
  <c r="DA5" i="3"/>
  <c r="DC5" i="3"/>
  <c r="A6" i="3"/>
  <c r="Y6" i="3"/>
  <c r="CY6" i="3"/>
  <c r="CZ6" i="3"/>
  <c r="DB6" i="3" s="1"/>
  <c r="DA6" i="3"/>
  <c r="DC6" i="3"/>
  <c r="A7" i="3"/>
  <c r="Y7" i="3"/>
  <c r="CY7" i="3"/>
  <c r="CZ7" i="3"/>
  <c r="DA7" i="3"/>
  <c r="DB7" i="3"/>
  <c r="DC7" i="3"/>
  <c r="A8" i="3"/>
  <c r="Y8" i="3"/>
  <c r="CY8" i="3"/>
  <c r="CZ8" i="3"/>
  <c r="DA8" i="3"/>
  <c r="DB8" i="3"/>
  <c r="DC8" i="3"/>
  <c r="A9" i="3"/>
  <c r="Y9" i="3"/>
  <c r="CY9" i="3"/>
  <c r="CZ9" i="3"/>
  <c r="DB9" i="3" s="1"/>
  <c r="DA9" i="3"/>
  <c r="DC9" i="3"/>
  <c r="A10" i="3"/>
  <c r="Y10" i="3"/>
  <c r="CY10" i="3"/>
  <c r="CZ10" i="3"/>
  <c r="DB10" i="3" s="1"/>
  <c r="DA10" i="3"/>
  <c r="DC10" i="3"/>
  <c r="A11" i="3"/>
  <c r="Y11" i="3"/>
  <c r="CY11" i="3"/>
  <c r="CZ11" i="3"/>
  <c r="DA11" i="3"/>
  <c r="DB11" i="3"/>
  <c r="DC11" i="3"/>
  <c r="A12" i="3"/>
  <c r="Y12" i="3"/>
  <c r="CY12" i="3"/>
  <c r="CZ12" i="3"/>
  <c r="DB12" i="3" s="1"/>
  <c r="DA12" i="3"/>
  <c r="DC12" i="3"/>
  <c r="A13" i="3"/>
  <c r="Y13" i="3"/>
  <c r="CY13" i="3"/>
  <c r="CZ13" i="3"/>
  <c r="DB13" i="3" s="1"/>
  <c r="DA13" i="3"/>
  <c r="DC13" i="3"/>
  <c r="A14" i="3"/>
  <c r="Y14" i="3"/>
  <c r="CY14" i="3"/>
  <c r="CZ14" i="3"/>
  <c r="DB14" i="3" s="1"/>
  <c r="DA14" i="3"/>
  <c r="DC14" i="3"/>
  <c r="A15" i="3"/>
  <c r="Y15" i="3"/>
  <c r="CY15" i="3"/>
  <c r="CZ15" i="3"/>
  <c r="DB15" i="3" s="1"/>
  <c r="DA15" i="3"/>
  <c r="DC15" i="3"/>
  <c r="A16" i="3"/>
  <c r="Y16" i="3"/>
  <c r="CY16" i="3"/>
  <c r="CZ16" i="3"/>
  <c r="DA16" i="3"/>
  <c r="DB16" i="3"/>
  <c r="DC16" i="3"/>
  <c r="A17" i="3"/>
  <c r="Y17" i="3"/>
  <c r="CY17" i="3"/>
  <c r="CZ17" i="3"/>
  <c r="DA17" i="3"/>
  <c r="DB17" i="3"/>
  <c r="DC17" i="3"/>
  <c r="A18" i="3"/>
  <c r="Y18" i="3"/>
  <c r="CY18" i="3"/>
  <c r="CZ18" i="3"/>
  <c r="DB18" i="3" s="1"/>
  <c r="DA18" i="3"/>
  <c r="DC18" i="3"/>
  <c r="A19" i="3"/>
  <c r="Y19" i="3"/>
  <c r="CY19" i="3"/>
  <c r="CZ19" i="3"/>
  <c r="DA19" i="3"/>
  <c r="DB19" i="3"/>
  <c r="DC19" i="3"/>
  <c r="A20" i="3"/>
  <c r="Y20" i="3"/>
  <c r="CY20" i="3"/>
  <c r="CZ20" i="3"/>
  <c r="DB20" i="3" s="1"/>
  <c r="DA20" i="3"/>
  <c r="DC20" i="3"/>
  <c r="A21" i="3"/>
  <c r="Y21" i="3"/>
  <c r="CY21" i="3"/>
  <c r="CZ21" i="3"/>
  <c r="DB21" i="3" s="1"/>
  <c r="DA21" i="3"/>
  <c r="DC21" i="3"/>
  <c r="A22" i="3"/>
  <c r="Y22" i="3"/>
  <c r="CY22" i="3"/>
  <c r="CZ22" i="3"/>
  <c r="DA22" i="3"/>
  <c r="DB22" i="3"/>
  <c r="DC22" i="3"/>
  <c r="A23" i="3"/>
  <c r="Y23" i="3"/>
  <c r="CY23" i="3"/>
  <c r="CZ23" i="3"/>
  <c r="DB23" i="3" s="1"/>
  <c r="DA23" i="3"/>
  <c r="DC23" i="3"/>
  <c r="A24" i="3"/>
  <c r="Y24" i="3"/>
  <c r="CY24" i="3"/>
  <c r="CZ24" i="3"/>
  <c r="DB24" i="3" s="1"/>
  <c r="DA24" i="3"/>
  <c r="DC24" i="3"/>
  <c r="A25" i="3"/>
  <c r="Y25" i="3"/>
  <c r="CY25" i="3"/>
  <c r="CZ25" i="3"/>
  <c r="DA25" i="3"/>
  <c r="DB25" i="3"/>
  <c r="DC25" i="3"/>
  <c r="A26" i="3"/>
  <c r="Y26" i="3"/>
  <c r="CY26" i="3"/>
  <c r="CZ26" i="3"/>
  <c r="DB26" i="3" s="1"/>
  <c r="DA26" i="3"/>
  <c r="DC26" i="3"/>
  <c r="A27" i="3"/>
  <c r="Y27" i="3"/>
  <c r="CY27" i="3"/>
  <c r="CZ27" i="3"/>
  <c r="DB27" i="3" s="1"/>
  <c r="DA27" i="3"/>
  <c r="DC27" i="3"/>
  <c r="A28" i="3"/>
  <c r="Y28" i="3"/>
  <c r="CY28" i="3"/>
  <c r="CZ28" i="3"/>
  <c r="DA28" i="3"/>
  <c r="DB28" i="3"/>
  <c r="DC28" i="3"/>
  <c r="A29" i="3"/>
  <c r="Y29" i="3"/>
  <c r="CX29" i="3"/>
  <c r="DF29" i="3" s="1"/>
  <c r="CY29" i="3"/>
  <c r="CZ29" i="3"/>
  <c r="DB29" i="3" s="1"/>
  <c r="DA29" i="3"/>
  <c r="DC29" i="3"/>
  <c r="A30" i="3"/>
  <c r="Y30" i="3"/>
  <c r="CX30" i="3"/>
  <c r="DG30" i="3" s="1"/>
  <c r="CY30" i="3"/>
  <c r="CZ30" i="3"/>
  <c r="DA30" i="3"/>
  <c r="DB30" i="3"/>
  <c r="DC30" i="3"/>
  <c r="A31" i="3"/>
  <c r="Y31" i="3"/>
  <c r="CX31" i="3" s="1"/>
  <c r="CY31" i="3"/>
  <c r="CZ31" i="3"/>
  <c r="DB31" i="3" s="1"/>
  <c r="DA31" i="3"/>
  <c r="DC31" i="3"/>
  <c r="A32" i="3"/>
  <c r="Y32" i="3"/>
  <c r="CX32" i="3" s="1"/>
  <c r="CY32" i="3"/>
  <c r="CZ32" i="3"/>
  <c r="DA32" i="3"/>
  <c r="DB32" i="3"/>
  <c r="DC32" i="3"/>
  <c r="A33" i="3"/>
  <c r="Y33" i="3"/>
  <c r="CX33" i="3" s="1"/>
  <c r="CY33" i="3"/>
  <c r="CZ33" i="3"/>
  <c r="DB33" i="3" s="1"/>
  <c r="DA33" i="3"/>
  <c r="DC33" i="3"/>
  <c r="A34" i="3"/>
  <c r="Y34" i="3"/>
  <c r="CX34" i="3" s="1"/>
  <c r="CY34" i="3"/>
  <c r="CZ34" i="3"/>
  <c r="DB34" i="3" s="1"/>
  <c r="DA34" i="3"/>
  <c r="DC34" i="3"/>
  <c r="A35" i="3"/>
  <c r="Y35" i="3"/>
  <c r="CX35" i="3" s="1"/>
  <c r="CY35" i="3"/>
  <c r="CZ35" i="3"/>
  <c r="DA35" i="3"/>
  <c r="DB35" i="3"/>
  <c r="DC35" i="3"/>
  <c r="A36" i="3"/>
  <c r="Y36" i="3"/>
  <c r="CX36" i="3"/>
  <c r="CY36" i="3"/>
  <c r="CZ36" i="3"/>
  <c r="DB36" i="3" s="1"/>
  <c r="DA36" i="3"/>
  <c r="DC36" i="3"/>
  <c r="DH36" i="3"/>
  <c r="A37" i="3"/>
  <c r="Y37" i="3"/>
  <c r="CX37" i="3"/>
  <c r="DF37" i="3" s="1"/>
  <c r="CY37" i="3"/>
  <c r="CZ37" i="3"/>
  <c r="DB37" i="3" s="1"/>
  <c r="DA37" i="3"/>
  <c r="DC37" i="3"/>
  <c r="DH37" i="3"/>
  <c r="A38" i="3"/>
  <c r="Y38" i="3"/>
  <c r="CX38" i="3"/>
  <c r="DG38" i="3" s="1"/>
  <c r="CY38" i="3"/>
  <c r="CZ38" i="3"/>
  <c r="DA38" i="3"/>
  <c r="DB38" i="3"/>
  <c r="DC38" i="3"/>
  <c r="A39" i="3"/>
  <c r="Y39" i="3"/>
  <c r="CX39" i="3" s="1"/>
  <c r="CY39" i="3"/>
  <c r="CZ39" i="3"/>
  <c r="DB39" i="3" s="1"/>
  <c r="DA39" i="3"/>
  <c r="DC39" i="3"/>
  <c r="A40" i="3"/>
  <c r="Y40" i="3"/>
  <c r="CX40" i="3" s="1"/>
  <c r="CY40" i="3"/>
  <c r="CZ40" i="3"/>
  <c r="DB40" i="3" s="1"/>
  <c r="DA40" i="3"/>
  <c r="DC40" i="3"/>
  <c r="A41" i="3"/>
  <c r="Y41" i="3"/>
  <c r="CX41" i="3" s="1"/>
  <c r="CY41" i="3"/>
  <c r="CZ41" i="3"/>
  <c r="DB41" i="3" s="1"/>
  <c r="DA41" i="3"/>
  <c r="DC41" i="3"/>
  <c r="A42" i="3"/>
  <c r="Y42" i="3"/>
  <c r="CY42" i="3"/>
  <c r="CZ42" i="3"/>
  <c r="DB42" i="3" s="1"/>
  <c r="DA42" i="3"/>
  <c r="DC42" i="3"/>
  <c r="A43" i="3"/>
  <c r="Y43" i="3"/>
  <c r="CY43" i="3"/>
  <c r="CZ43" i="3"/>
  <c r="DB43" i="3" s="1"/>
  <c r="DA43" i="3"/>
  <c r="DC43" i="3"/>
  <c r="A44" i="3"/>
  <c r="Y44" i="3"/>
  <c r="CY44" i="3"/>
  <c r="CZ44" i="3"/>
  <c r="DB44" i="3" s="1"/>
  <c r="DA44" i="3"/>
  <c r="DC44" i="3"/>
  <c r="A45" i="3"/>
  <c r="Y45" i="3"/>
  <c r="CY45" i="3"/>
  <c r="CZ45" i="3"/>
  <c r="DB45" i="3" s="1"/>
  <c r="DA45" i="3"/>
  <c r="DC45" i="3"/>
  <c r="A46" i="3"/>
  <c r="Y46" i="3"/>
  <c r="CY46" i="3"/>
  <c r="CZ46" i="3"/>
  <c r="DB46" i="3" s="1"/>
  <c r="DA46" i="3"/>
  <c r="DC46" i="3"/>
  <c r="A47" i="3"/>
  <c r="Y47" i="3"/>
  <c r="CY47" i="3"/>
  <c r="CZ47" i="3"/>
  <c r="DA47" i="3"/>
  <c r="DB47" i="3"/>
  <c r="DC47" i="3"/>
  <c r="A48" i="3"/>
  <c r="Y48" i="3"/>
  <c r="CX48" i="3" s="1"/>
  <c r="CY48" i="3"/>
  <c r="CZ48" i="3"/>
  <c r="DA48" i="3"/>
  <c r="DB48" i="3"/>
  <c r="DC48" i="3"/>
  <c r="A49" i="3"/>
  <c r="Y49" i="3"/>
  <c r="CY49" i="3"/>
  <c r="CZ49" i="3"/>
  <c r="DB49" i="3" s="1"/>
  <c r="DA49" i="3"/>
  <c r="DC49" i="3"/>
  <c r="A50" i="3"/>
  <c r="Y50" i="3"/>
  <c r="CY50" i="3"/>
  <c r="CZ50" i="3"/>
  <c r="DB50" i="3" s="1"/>
  <c r="DA50" i="3"/>
  <c r="DC50" i="3"/>
  <c r="A51" i="3"/>
  <c r="Y51" i="3"/>
  <c r="CY51" i="3"/>
  <c r="CZ51" i="3"/>
  <c r="DA51" i="3"/>
  <c r="DB51" i="3"/>
  <c r="DC51" i="3"/>
  <c r="A52" i="3"/>
  <c r="Y52" i="3"/>
  <c r="CY52" i="3"/>
  <c r="CZ52" i="3"/>
  <c r="DB52" i="3" s="1"/>
  <c r="DA52" i="3"/>
  <c r="DC52" i="3"/>
  <c r="A53" i="3"/>
  <c r="Y53" i="3"/>
  <c r="CY53" i="3"/>
  <c r="CZ53" i="3"/>
  <c r="DB53" i="3" s="1"/>
  <c r="DA53" i="3"/>
  <c r="DC53" i="3"/>
  <c r="A54" i="3"/>
  <c r="Y54" i="3"/>
  <c r="CY54" i="3"/>
  <c r="CZ54" i="3"/>
  <c r="DA54" i="3"/>
  <c r="DB54" i="3"/>
  <c r="DC54" i="3"/>
  <c r="A55" i="3"/>
  <c r="Y55" i="3"/>
  <c r="CY55" i="3"/>
  <c r="CZ55" i="3"/>
  <c r="DB55" i="3" s="1"/>
  <c r="DA55" i="3"/>
  <c r="DC55" i="3"/>
  <c r="A56" i="3"/>
  <c r="Y56" i="3"/>
  <c r="CY56" i="3"/>
  <c r="CZ56" i="3"/>
  <c r="DB56" i="3" s="1"/>
  <c r="DA56" i="3"/>
  <c r="DC56" i="3"/>
  <c r="A57" i="3"/>
  <c r="Y57" i="3"/>
  <c r="CY57" i="3"/>
  <c r="CZ57" i="3"/>
  <c r="DA57" i="3"/>
  <c r="DB57" i="3"/>
  <c r="DC57" i="3"/>
  <c r="A58" i="3"/>
  <c r="Y58" i="3"/>
  <c r="CY58" i="3"/>
  <c r="CZ58" i="3"/>
  <c r="DB58" i="3" s="1"/>
  <c r="DA58" i="3"/>
  <c r="DC58" i="3"/>
  <c r="A59" i="3"/>
  <c r="Y59" i="3"/>
  <c r="CY59" i="3"/>
  <c r="CZ59" i="3"/>
  <c r="DB59" i="3" s="1"/>
  <c r="DA59" i="3"/>
  <c r="DC59" i="3"/>
  <c r="A60" i="3"/>
  <c r="Y60" i="3"/>
  <c r="CY60" i="3"/>
  <c r="CZ60" i="3"/>
  <c r="DA60" i="3"/>
  <c r="DB60" i="3"/>
  <c r="DC60" i="3"/>
  <c r="A61" i="3"/>
  <c r="Y61" i="3"/>
  <c r="CY61" i="3"/>
  <c r="CZ61" i="3"/>
  <c r="DB61" i="3" s="1"/>
  <c r="DA61" i="3"/>
  <c r="DC61" i="3"/>
  <c r="A62" i="3"/>
  <c r="Y62" i="3"/>
  <c r="CY62" i="3"/>
  <c r="CZ62" i="3"/>
  <c r="DB62" i="3" s="1"/>
  <c r="DA62" i="3"/>
  <c r="DC62" i="3"/>
  <c r="A63" i="3"/>
  <c r="Y63" i="3"/>
  <c r="CY63" i="3"/>
  <c r="CZ63" i="3"/>
  <c r="DB63" i="3" s="1"/>
  <c r="DA63" i="3"/>
  <c r="DC63" i="3"/>
  <c r="A64" i="3"/>
  <c r="Y64" i="3"/>
  <c r="CY64" i="3"/>
  <c r="CZ64" i="3"/>
  <c r="DB64" i="3" s="1"/>
  <c r="DA64" i="3"/>
  <c r="DC64" i="3"/>
  <c r="A65" i="3"/>
  <c r="Y65" i="3"/>
  <c r="CY65" i="3"/>
  <c r="CZ65" i="3"/>
  <c r="DA65" i="3"/>
  <c r="DB65" i="3"/>
  <c r="DC65" i="3"/>
  <c r="A66" i="3"/>
  <c r="Y66" i="3"/>
  <c r="CY66" i="3"/>
  <c r="CZ66" i="3"/>
  <c r="DB66" i="3" s="1"/>
  <c r="DA66" i="3"/>
  <c r="DC66" i="3"/>
  <c r="A67" i="3"/>
  <c r="Y67" i="3"/>
  <c r="CY67" i="3"/>
  <c r="CZ67" i="3"/>
  <c r="DA67" i="3"/>
  <c r="DB67" i="3"/>
  <c r="DC67" i="3"/>
  <c r="A68" i="3"/>
  <c r="Y68" i="3"/>
  <c r="CY68" i="3"/>
  <c r="CZ68" i="3"/>
  <c r="DA68" i="3"/>
  <c r="DB68" i="3"/>
  <c r="DC68" i="3"/>
  <c r="A69" i="3"/>
  <c r="Y69" i="3"/>
  <c r="CY69" i="3"/>
  <c r="CZ69" i="3"/>
  <c r="DB69" i="3" s="1"/>
  <c r="DA69" i="3"/>
  <c r="DC69" i="3"/>
  <c r="A70" i="3"/>
  <c r="Y70" i="3"/>
  <c r="CY70" i="3"/>
  <c r="CZ70" i="3"/>
  <c r="DA70" i="3"/>
  <c r="DB70" i="3"/>
  <c r="DC70" i="3"/>
  <c r="A71" i="3"/>
  <c r="Y71" i="3"/>
  <c r="CY71" i="3"/>
  <c r="CZ71" i="3"/>
  <c r="DA71" i="3"/>
  <c r="DB71" i="3"/>
  <c r="DC71" i="3"/>
  <c r="A72" i="3"/>
  <c r="Y72" i="3"/>
  <c r="CY72" i="3"/>
  <c r="CZ72" i="3"/>
  <c r="DB72" i="3" s="1"/>
  <c r="DA72" i="3"/>
  <c r="DC72" i="3"/>
  <c r="A73" i="3"/>
  <c r="Y73" i="3"/>
  <c r="CY73" i="3"/>
  <c r="CZ73" i="3"/>
  <c r="DB73" i="3" s="1"/>
  <c r="DA73" i="3"/>
  <c r="DC73" i="3"/>
  <c r="A74" i="3"/>
  <c r="Y74" i="3"/>
  <c r="CY74" i="3"/>
  <c r="CZ74" i="3"/>
  <c r="DA74" i="3"/>
  <c r="DB74" i="3"/>
  <c r="DC74" i="3"/>
  <c r="A75" i="3"/>
  <c r="Y75" i="3"/>
  <c r="CY75" i="3"/>
  <c r="CZ75" i="3"/>
  <c r="DA75" i="3"/>
  <c r="DB75" i="3"/>
  <c r="DC75" i="3"/>
  <c r="A76" i="3"/>
  <c r="Y76" i="3"/>
  <c r="CY76" i="3"/>
  <c r="CZ76" i="3"/>
  <c r="DB76" i="3" s="1"/>
  <c r="DA76" i="3"/>
  <c r="DC76" i="3"/>
  <c r="A77" i="3"/>
  <c r="Y77" i="3"/>
  <c r="CY77" i="3"/>
  <c r="CZ77" i="3"/>
  <c r="DB77" i="3" s="1"/>
  <c r="DA77" i="3"/>
  <c r="DC77" i="3"/>
  <c r="A78" i="3"/>
  <c r="Y78" i="3"/>
  <c r="CY78" i="3"/>
  <c r="CZ78" i="3"/>
  <c r="DB78" i="3" s="1"/>
  <c r="DA78" i="3"/>
  <c r="DC78" i="3"/>
  <c r="A79" i="3"/>
  <c r="Y79" i="3"/>
  <c r="CY79" i="3"/>
  <c r="CZ79" i="3"/>
  <c r="DA79" i="3"/>
  <c r="DB79" i="3"/>
  <c r="DC79" i="3"/>
  <c r="A80" i="3"/>
  <c r="Y80" i="3"/>
  <c r="CY80" i="3"/>
  <c r="CZ80" i="3"/>
  <c r="DB80" i="3" s="1"/>
  <c r="DA80" i="3"/>
  <c r="DC80" i="3"/>
  <c r="A81" i="3"/>
  <c r="Y81" i="3"/>
  <c r="CY81" i="3"/>
  <c r="CZ81" i="3"/>
  <c r="DB81" i="3" s="1"/>
  <c r="DA81" i="3"/>
  <c r="DC81" i="3"/>
  <c r="A82" i="3"/>
  <c r="Y82" i="3"/>
  <c r="CY82" i="3"/>
  <c r="CZ82" i="3"/>
  <c r="DB82" i="3" s="1"/>
  <c r="DA82" i="3"/>
  <c r="DC82" i="3"/>
  <c r="A83" i="3"/>
  <c r="Y83" i="3"/>
  <c r="CY83" i="3"/>
  <c r="CZ83" i="3"/>
  <c r="DB83" i="3" s="1"/>
  <c r="DA83" i="3"/>
  <c r="DC83" i="3"/>
  <c r="A84" i="3"/>
  <c r="Y84" i="3"/>
  <c r="CY84" i="3"/>
  <c r="CZ84" i="3"/>
  <c r="DA84" i="3"/>
  <c r="DB84" i="3"/>
  <c r="DC84" i="3"/>
  <c r="A85" i="3"/>
  <c r="Y85" i="3"/>
  <c r="CY85" i="3"/>
  <c r="CZ85" i="3"/>
  <c r="DB85" i="3" s="1"/>
  <c r="DA85" i="3"/>
  <c r="DC85" i="3"/>
  <c r="A86" i="3"/>
  <c r="Y86" i="3"/>
  <c r="CY86" i="3"/>
  <c r="CZ86" i="3"/>
  <c r="DB86" i="3" s="1"/>
  <c r="DA86" i="3"/>
  <c r="DC86" i="3"/>
  <c r="A87" i="3"/>
  <c r="Y87" i="3"/>
  <c r="CY87" i="3"/>
  <c r="CZ87" i="3"/>
  <c r="DA87" i="3"/>
  <c r="DB87" i="3"/>
  <c r="DC87" i="3"/>
  <c r="A88" i="3"/>
  <c r="Y88" i="3"/>
  <c r="CY88" i="3"/>
  <c r="CZ88" i="3"/>
  <c r="DA88" i="3"/>
  <c r="DB88" i="3"/>
  <c r="DC88" i="3"/>
  <c r="A89" i="3"/>
  <c r="Y89" i="3"/>
  <c r="CY89" i="3"/>
  <c r="CZ89" i="3"/>
  <c r="DB89" i="3" s="1"/>
  <c r="DA89" i="3"/>
  <c r="DC89" i="3"/>
  <c r="A90" i="3"/>
  <c r="Y90" i="3"/>
  <c r="CY90" i="3"/>
  <c r="CZ90" i="3"/>
  <c r="DA90" i="3"/>
  <c r="DB90" i="3"/>
  <c r="DC90" i="3"/>
  <c r="A91" i="3"/>
  <c r="Y91" i="3"/>
  <c r="CX91" i="3"/>
  <c r="DH91" i="3" s="1"/>
  <c r="CY91" i="3"/>
  <c r="CZ91" i="3"/>
  <c r="DA91" i="3"/>
  <c r="DB91" i="3"/>
  <c r="DC91" i="3"/>
  <c r="A92" i="3"/>
  <c r="Y92" i="3"/>
  <c r="CX92" i="3" s="1"/>
  <c r="CY92" i="3"/>
  <c r="CZ92" i="3"/>
  <c r="DB92" i="3" s="1"/>
  <c r="DA92" i="3"/>
  <c r="DC92" i="3"/>
  <c r="A93" i="3"/>
  <c r="Y93" i="3"/>
  <c r="CX93" i="3" s="1"/>
  <c r="CY93" i="3"/>
  <c r="CZ93" i="3"/>
  <c r="DB93" i="3" s="1"/>
  <c r="DA93" i="3"/>
  <c r="DC93" i="3"/>
  <c r="A94" i="3"/>
  <c r="Y94" i="3"/>
  <c r="CX94" i="3"/>
  <c r="DI94" i="3" s="1"/>
  <c r="CY94" i="3"/>
  <c r="CZ94" i="3"/>
  <c r="DA94" i="3"/>
  <c r="DB94" i="3"/>
  <c r="DC94" i="3"/>
  <c r="A95" i="3"/>
  <c r="Y95" i="3"/>
  <c r="CX95" i="3" s="1"/>
  <c r="CY95" i="3"/>
  <c r="CZ95" i="3"/>
  <c r="DB95" i="3" s="1"/>
  <c r="DA95" i="3"/>
  <c r="DC95" i="3"/>
  <c r="A96" i="3"/>
  <c r="Y96" i="3"/>
  <c r="CX96" i="3"/>
  <c r="DH96" i="3" s="1"/>
  <c r="CY96" i="3"/>
  <c r="CZ96" i="3"/>
  <c r="DA96" i="3"/>
  <c r="DB96" i="3"/>
  <c r="DC96" i="3"/>
  <c r="A97" i="3"/>
  <c r="Y97" i="3"/>
  <c r="CX97" i="3" s="1"/>
  <c r="DI97" i="3" s="1"/>
  <c r="CY97" i="3"/>
  <c r="CZ97" i="3"/>
  <c r="DA97" i="3"/>
  <c r="DB97" i="3"/>
  <c r="DC97" i="3"/>
  <c r="A98" i="3"/>
  <c r="Y98" i="3"/>
  <c r="CX98" i="3" s="1"/>
  <c r="DG98" i="3" s="1"/>
  <c r="CY98" i="3"/>
  <c r="CZ98" i="3"/>
  <c r="DA98" i="3"/>
  <c r="DB98" i="3"/>
  <c r="DC98" i="3"/>
  <c r="A99" i="3"/>
  <c r="Y99" i="3"/>
  <c r="CX99" i="3"/>
  <c r="DI99" i="3" s="1"/>
  <c r="DJ99" i="3" s="1"/>
  <c r="CY99" i="3"/>
  <c r="CZ99" i="3"/>
  <c r="DB99" i="3" s="1"/>
  <c r="DA99" i="3"/>
  <c r="DC99" i="3"/>
  <c r="A100" i="3"/>
  <c r="Y100" i="3"/>
  <c r="CY100" i="3"/>
  <c r="CZ100" i="3"/>
  <c r="DB100" i="3" s="1"/>
  <c r="DA100" i="3"/>
  <c r="DC100" i="3"/>
  <c r="A101" i="3"/>
  <c r="Y101" i="3"/>
  <c r="CY101" i="3"/>
  <c r="CZ101" i="3"/>
  <c r="DB101" i="3" s="1"/>
  <c r="DA101" i="3"/>
  <c r="DC101" i="3"/>
  <c r="A102" i="3"/>
  <c r="Y102" i="3"/>
  <c r="CY102" i="3"/>
  <c r="CZ102" i="3"/>
  <c r="DA102" i="3"/>
  <c r="DB102" i="3"/>
  <c r="DC102" i="3"/>
  <c r="A103" i="3"/>
  <c r="Y103" i="3"/>
  <c r="CY103" i="3"/>
  <c r="CZ103" i="3"/>
  <c r="DA103" i="3"/>
  <c r="DB103" i="3"/>
  <c r="DC103" i="3"/>
  <c r="A104" i="3"/>
  <c r="Y104" i="3"/>
  <c r="CY104" i="3"/>
  <c r="CZ104" i="3"/>
  <c r="DB104" i="3" s="1"/>
  <c r="DA104" i="3"/>
  <c r="DC104" i="3"/>
  <c r="A105" i="3"/>
  <c r="Y105" i="3"/>
  <c r="CY105" i="3"/>
  <c r="CZ105" i="3"/>
  <c r="DB105" i="3" s="1"/>
  <c r="DA105" i="3"/>
  <c r="DC105" i="3"/>
  <c r="A106" i="3"/>
  <c r="Y106" i="3"/>
  <c r="CY106" i="3"/>
  <c r="CZ106" i="3"/>
  <c r="DA106" i="3"/>
  <c r="DB106" i="3"/>
  <c r="DC106" i="3"/>
  <c r="A107" i="3"/>
  <c r="Y107" i="3"/>
  <c r="CY107" i="3"/>
  <c r="CZ107" i="3"/>
  <c r="DB107" i="3" s="1"/>
  <c r="DA107" i="3"/>
  <c r="DC107" i="3"/>
  <c r="A108" i="3"/>
  <c r="Y108" i="3"/>
  <c r="CY108" i="3"/>
  <c r="CZ108" i="3"/>
  <c r="DB108" i="3" s="1"/>
  <c r="DA108" i="3"/>
  <c r="DC108" i="3"/>
  <c r="A109" i="3"/>
  <c r="Y109" i="3"/>
  <c r="CY109" i="3"/>
  <c r="CZ109" i="3"/>
  <c r="DB109" i="3" s="1"/>
  <c r="DA109" i="3"/>
  <c r="DC109" i="3"/>
  <c r="A110" i="3"/>
  <c r="Y110" i="3"/>
  <c r="CY110" i="3"/>
  <c r="CZ110" i="3"/>
  <c r="DA110" i="3"/>
  <c r="DB110" i="3"/>
  <c r="DC110" i="3"/>
  <c r="A111" i="3"/>
  <c r="Y111" i="3"/>
  <c r="CY111" i="3"/>
  <c r="CZ111" i="3"/>
  <c r="DB111" i="3" s="1"/>
  <c r="DA111" i="3"/>
  <c r="DC111" i="3"/>
  <c r="A112" i="3"/>
  <c r="Y112" i="3"/>
  <c r="CY112" i="3"/>
  <c r="CZ112" i="3"/>
  <c r="DB112" i="3" s="1"/>
  <c r="DA112" i="3"/>
  <c r="DC112" i="3"/>
  <c r="A113" i="3"/>
  <c r="Y113" i="3"/>
  <c r="CY113" i="3"/>
  <c r="CZ113" i="3"/>
  <c r="DB113" i="3" s="1"/>
  <c r="DA113" i="3"/>
  <c r="DC113" i="3"/>
  <c r="A114" i="3"/>
  <c r="Y114" i="3"/>
  <c r="CY114" i="3"/>
  <c r="CZ114" i="3"/>
  <c r="DB114" i="3" s="1"/>
  <c r="DA114" i="3"/>
  <c r="DC114" i="3"/>
  <c r="A115" i="3"/>
  <c r="Y115" i="3"/>
  <c r="CY115" i="3"/>
  <c r="CZ115" i="3"/>
  <c r="DB115" i="3" s="1"/>
  <c r="DA115" i="3"/>
  <c r="DC115" i="3"/>
  <c r="A116" i="3"/>
  <c r="Y116" i="3"/>
  <c r="CY116" i="3"/>
  <c r="CZ116" i="3"/>
  <c r="DB116" i="3" s="1"/>
  <c r="DA116" i="3"/>
  <c r="DC116" i="3"/>
  <c r="A117" i="3"/>
  <c r="Y117" i="3"/>
  <c r="CY117" i="3"/>
  <c r="CZ117" i="3"/>
  <c r="DB117" i="3" s="1"/>
  <c r="DA117" i="3"/>
  <c r="DC117" i="3"/>
  <c r="A118" i="3"/>
  <c r="Y118" i="3"/>
  <c r="CY118" i="3"/>
  <c r="CZ118" i="3"/>
  <c r="DB118" i="3" s="1"/>
  <c r="DA118" i="3"/>
  <c r="DC118" i="3"/>
  <c r="A119" i="3"/>
  <c r="Y119" i="3"/>
  <c r="CY119" i="3"/>
  <c r="CZ119" i="3"/>
  <c r="DA119" i="3"/>
  <c r="DB119" i="3"/>
  <c r="DC119" i="3"/>
  <c r="A120" i="3"/>
  <c r="Y120" i="3"/>
  <c r="CY120" i="3"/>
  <c r="CZ120" i="3"/>
  <c r="DB120" i="3" s="1"/>
  <c r="DA120" i="3"/>
  <c r="DC120" i="3"/>
  <c r="A121" i="3"/>
  <c r="Y121" i="3"/>
  <c r="CY121" i="3"/>
  <c r="CZ121" i="3"/>
  <c r="DB121" i="3" s="1"/>
  <c r="DA121" i="3"/>
  <c r="DC121" i="3"/>
  <c r="A122" i="3"/>
  <c r="Y122" i="3"/>
  <c r="CY122" i="3"/>
  <c r="CZ122" i="3"/>
  <c r="DA122" i="3"/>
  <c r="DB122" i="3"/>
  <c r="DC122" i="3"/>
  <c r="A123" i="3"/>
  <c r="Y123" i="3"/>
  <c r="CY123" i="3"/>
  <c r="CZ123" i="3"/>
  <c r="DA123" i="3"/>
  <c r="DB123" i="3"/>
  <c r="DC123" i="3"/>
  <c r="A124" i="3"/>
  <c r="Y124" i="3"/>
  <c r="CY124" i="3"/>
  <c r="CZ124" i="3"/>
  <c r="DB124" i="3" s="1"/>
  <c r="DA124" i="3"/>
  <c r="DC124" i="3"/>
  <c r="A125" i="3"/>
  <c r="Y125" i="3"/>
  <c r="CY125" i="3"/>
  <c r="CZ125" i="3"/>
  <c r="DA125" i="3"/>
  <c r="DB125" i="3"/>
  <c r="DC125" i="3"/>
  <c r="A126" i="3"/>
  <c r="Y126" i="3"/>
  <c r="CY126" i="3"/>
  <c r="CZ126" i="3"/>
  <c r="DA126" i="3"/>
  <c r="DB126" i="3"/>
  <c r="DC126" i="3"/>
  <c r="A127" i="3"/>
  <c r="Y127" i="3"/>
  <c r="CY127" i="3"/>
  <c r="CZ127" i="3"/>
  <c r="DB127" i="3" s="1"/>
  <c r="DA127" i="3"/>
  <c r="DC127" i="3"/>
  <c r="A128" i="3"/>
  <c r="Y128" i="3"/>
  <c r="CY128" i="3"/>
  <c r="CZ128" i="3"/>
  <c r="DB128" i="3" s="1"/>
  <c r="DA128" i="3"/>
  <c r="DC128" i="3"/>
  <c r="A129" i="3"/>
  <c r="Y129" i="3"/>
  <c r="CY129" i="3"/>
  <c r="CZ129" i="3"/>
  <c r="DA129" i="3"/>
  <c r="DB129" i="3"/>
  <c r="DC129" i="3"/>
  <c r="A130" i="3"/>
  <c r="Y130" i="3"/>
  <c r="CY130" i="3"/>
  <c r="CZ130" i="3"/>
  <c r="DB130" i="3" s="1"/>
  <c r="DA130" i="3"/>
  <c r="DC130" i="3"/>
  <c r="A131" i="3"/>
  <c r="Y131" i="3"/>
  <c r="CY131" i="3"/>
  <c r="CZ131" i="3"/>
  <c r="DB131" i="3" s="1"/>
  <c r="DA131" i="3"/>
  <c r="DC131" i="3"/>
  <c r="A132" i="3"/>
  <c r="Y132" i="3"/>
  <c r="CY132" i="3"/>
  <c r="CZ132" i="3"/>
  <c r="DB132" i="3" s="1"/>
  <c r="DA132" i="3"/>
  <c r="DC132" i="3"/>
  <c r="A133" i="3"/>
  <c r="Y133" i="3"/>
  <c r="CY133" i="3"/>
  <c r="CZ133" i="3"/>
  <c r="DA133" i="3"/>
  <c r="DB133" i="3"/>
  <c r="DC133" i="3"/>
  <c r="A134" i="3"/>
  <c r="Y134" i="3"/>
  <c r="CY134" i="3"/>
  <c r="CZ134" i="3"/>
  <c r="DA134" i="3"/>
  <c r="DB134" i="3"/>
  <c r="DC134" i="3"/>
  <c r="A135" i="3"/>
  <c r="Y135" i="3"/>
  <c r="CY135" i="3"/>
  <c r="CZ135" i="3"/>
  <c r="DB135" i="3" s="1"/>
  <c r="DA135" i="3"/>
  <c r="DC135" i="3"/>
  <c r="A136" i="3"/>
  <c r="Y136" i="3"/>
  <c r="CY136" i="3"/>
  <c r="CZ136" i="3"/>
  <c r="DB136" i="3" s="1"/>
  <c r="DA136" i="3"/>
  <c r="DC136" i="3"/>
  <c r="A137" i="3"/>
  <c r="Y137" i="3"/>
  <c r="CY137" i="3"/>
  <c r="CZ137" i="3"/>
  <c r="DB137" i="3" s="1"/>
  <c r="DA137" i="3"/>
  <c r="DC137" i="3"/>
  <c r="A138" i="3"/>
  <c r="Y138" i="3"/>
  <c r="CY138" i="3"/>
  <c r="CZ138" i="3"/>
  <c r="DB138" i="3" s="1"/>
  <c r="DA138" i="3"/>
  <c r="DC138" i="3"/>
  <c r="A139" i="3"/>
  <c r="Y139" i="3"/>
  <c r="CY139" i="3"/>
  <c r="CZ139" i="3"/>
  <c r="DA139" i="3"/>
  <c r="DB139" i="3"/>
  <c r="DC139" i="3"/>
  <c r="A140" i="3"/>
  <c r="Y140" i="3"/>
  <c r="CY140" i="3"/>
  <c r="CZ140" i="3"/>
  <c r="DB140" i="3" s="1"/>
  <c r="DA140" i="3"/>
  <c r="DC140" i="3"/>
  <c r="A141" i="3"/>
  <c r="Y141" i="3"/>
  <c r="CY141" i="3"/>
  <c r="CZ141" i="3"/>
  <c r="DB141" i="3" s="1"/>
  <c r="DA141" i="3"/>
  <c r="DC141" i="3"/>
  <c r="A142" i="3"/>
  <c r="Y142" i="3"/>
  <c r="CY142" i="3"/>
  <c r="CZ142" i="3"/>
  <c r="DB142" i="3" s="1"/>
  <c r="DA142" i="3"/>
  <c r="DC142" i="3"/>
  <c r="A143" i="3"/>
  <c r="Y143" i="3"/>
  <c r="CY143" i="3"/>
  <c r="CZ143" i="3"/>
  <c r="DB143" i="3" s="1"/>
  <c r="DA143" i="3"/>
  <c r="DC143" i="3"/>
  <c r="A144" i="3"/>
  <c r="Y144" i="3"/>
  <c r="CY144" i="3"/>
  <c r="CZ144" i="3"/>
  <c r="DB144" i="3" s="1"/>
  <c r="DA144" i="3"/>
  <c r="DC144" i="3"/>
  <c r="A145" i="3"/>
  <c r="Y145" i="3"/>
  <c r="CY145" i="3"/>
  <c r="CZ145" i="3"/>
  <c r="DB145" i="3" s="1"/>
  <c r="DA145" i="3"/>
  <c r="DC145" i="3"/>
  <c r="A146" i="3"/>
  <c r="Y146" i="3"/>
  <c r="CY146" i="3"/>
  <c r="CZ146" i="3"/>
  <c r="DA146" i="3"/>
  <c r="DB146" i="3"/>
  <c r="DC146" i="3"/>
  <c r="A147" i="3"/>
  <c r="Y147" i="3"/>
  <c r="CY147" i="3"/>
  <c r="CZ147" i="3"/>
  <c r="DA147" i="3"/>
  <c r="DB147" i="3"/>
  <c r="DC147" i="3"/>
  <c r="A148" i="3"/>
  <c r="Y148" i="3"/>
  <c r="CY148" i="3"/>
  <c r="CZ148" i="3"/>
  <c r="DB148" i="3" s="1"/>
  <c r="DA148" i="3"/>
  <c r="DC148" i="3"/>
  <c r="A149" i="3"/>
  <c r="Y149" i="3"/>
  <c r="CY149" i="3"/>
  <c r="CZ149" i="3"/>
  <c r="DB149" i="3" s="1"/>
  <c r="DA149" i="3"/>
  <c r="DC149" i="3"/>
  <c r="A150" i="3"/>
  <c r="Y150" i="3"/>
  <c r="CY150" i="3"/>
  <c r="CZ150" i="3"/>
  <c r="DB150" i="3" s="1"/>
  <c r="DA150" i="3"/>
  <c r="DC150" i="3"/>
  <c r="A151" i="3"/>
  <c r="Y151" i="3"/>
  <c r="CY151" i="3"/>
  <c r="CZ151" i="3"/>
  <c r="DB151" i="3" s="1"/>
  <c r="DA151" i="3"/>
  <c r="DC151" i="3"/>
  <c r="A152" i="3"/>
  <c r="Y152" i="3"/>
  <c r="CY152" i="3"/>
  <c r="CZ152" i="3"/>
  <c r="DA152" i="3"/>
  <c r="DB152" i="3"/>
  <c r="DC152" i="3"/>
  <c r="A153" i="3"/>
  <c r="Y153" i="3"/>
  <c r="CY153" i="3"/>
  <c r="CZ153" i="3"/>
  <c r="DB153" i="3" s="1"/>
  <c r="DA153" i="3"/>
  <c r="DC153" i="3"/>
  <c r="A154" i="3"/>
  <c r="Y154" i="3"/>
  <c r="CY154" i="3"/>
  <c r="CZ154" i="3"/>
  <c r="DB154" i="3" s="1"/>
  <c r="DA154" i="3"/>
  <c r="DC154" i="3"/>
  <c r="A155" i="3"/>
  <c r="Y155" i="3"/>
  <c r="CY155" i="3"/>
  <c r="CZ155" i="3"/>
  <c r="DA155" i="3"/>
  <c r="DB155" i="3"/>
  <c r="DC155" i="3"/>
  <c r="A156" i="3"/>
  <c r="Y156" i="3"/>
  <c r="CY156" i="3"/>
  <c r="CZ156" i="3"/>
  <c r="DA156" i="3"/>
  <c r="DB156" i="3"/>
  <c r="DC156" i="3"/>
  <c r="A157" i="3"/>
  <c r="Y157" i="3"/>
  <c r="CY157" i="3"/>
  <c r="CZ157" i="3"/>
  <c r="DB157" i="3" s="1"/>
  <c r="DA157" i="3"/>
  <c r="DC157" i="3"/>
  <c r="A158" i="3"/>
  <c r="Y158" i="3"/>
  <c r="CY158" i="3"/>
  <c r="CZ158" i="3"/>
  <c r="DB158" i="3" s="1"/>
  <c r="DA158" i="3"/>
  <c r="DC158" i="3"/>
  <c r="A159" i="3"/>
  <c r="Y159" i="3"/>
  <c r="CY159" i="3"/>
  <c r="CZ159" i="3"/>
  <c r="DA159" i="3"/>
  <c r="DB159" i="3"/>
  <c r="DC159" i="3"/>
  <c r="A160" i="3"/>
  <c r="Y160" i="3"/>
  <c r="CY160" i="3"/>
  <c r="CZ160" i="3"/>
  <c r="DB160" i="3" s="1"/>
  <c r="DA160" i="3"/>
  <c r="DC160" i="3"/>
  <c r="A161" i="3"/>
  <c r="Y161" i="3"/>
  <c r="CX161" i="3"/>
  <c r="CY161" i="3"/>
  <c r="CZ161" i="3"/>
  <c r="DB161" i="3" s="1"/>
  <c r="DA161" i="3"/>
  <c r="DC161" i="3"/>
  <c r="A162" i="3"/>
  <c r="Y162" i="3"/>
  <c r="CX162" i="3" s="1"/>
  <c r="DH162" i="3" s="1"/>
  <c r="CY162" i="3"/>
  <c r="CZ162" i="3"/>
  <c r="DB162" i="3" s="1"/>
  <c r="DA162" i="3"/>
  <c r="DC162" i="3"/>
  <c r="DF162" i="3"/>
  <c r="A163" i="3"/>
  <c r="Y163" i="3"/>
  <c r="CX163" i="3" s="1"/>
  <c r="DI163" i="3" s="1"/>
  <c r="CY163" i="3"/>
  <c r="CZ163" i="3"/>
  <c r="DB163" i="3" s="1"/>
  <c r="DA163" i="3"/>
  <c r="DC163" i="3"/>
  <c r="DH163" i="3"/>
  <c r="A164" i="3"/>
  <c r="Y164" i="3"/>
  <c r="CX164" i="3" s="1"/>
  <c r="CY164" i="3"/>
  <c r="CZ164" i="3"/>
  <c r="DB164" i="3" s="1"/>
  <c r="DA164" i="3"/>
  <c r="DC164" i="3"/>
  <c r="A165" i="3"/>
  <c r="Y165" i="3"/>
  <c r="CX165" i="3" s="1"/>
  <c r="DF165" i="3" s="1"/>
  <c r="CY165" i="3"/>
  <c r="CZ165" i="3"/>
  <c r="DA165" i="3"/>
  <c r="DB165" i="3"/>
  <c r="DC165" i="3"/>
  <c r="A166" i="3"/>
  <c r="Y166" i="3"/>
  <c r="CX166" i="3"/>
  <c r="DI166" i="3" s="1"/>
  <c r="CY166" i="3"/>
  <c r="CZ166" i="3"/>
  <c r="DB166" i="3" s="1"/>
  <c r="DA166" i="3"/>
  <c r="DC166" i="3"/>
  <c r="A167" i="3"/>
  <c r="Y167" i="3"/>
  <c r="CX167" i="3"/>
  <c r="DI167" i="3" s="1"/>
  <c r="CY167" i="3"/>
  <c r="CZ167" i="3"/>
  <c r="DB167" i="3" s="1"/>
  <c r="DA167" i="3"/>
  <c r="DC167" i="3"/>
  <c r="DH167" i="3"/>
  <c r="A168" i="3"/>
  <c r="Y168" i="3"/>
  <c r="CY168" i="3"/>
  <c r="CZ168" i="3"/>
  <c r="DA168" i="3"/>
  <c r="DB168" i="3"/>
  <c r="DC168" i="3"/>
  <c r="A169" i="3"/>
  <c r="Y169" i="3"/>
  <c r="CY169" i="3"/>
  <c r="CZ169" i="3"/>
  <c r="DB169" i="3" s="1"/>
  <c r="DA169" i="3"/>
  <c r="DC169" i="3"/>
  <c r="A170" i="3"/>
  <c r="Y170" i="3"/>
  <c r="CX170" i="3" s="1"/>
  <c r="DG170" i="3" s="1"/>
  <c r="CY170" i="3"/>
  <c r="CZ170" i="3"/>
  <c r="DB170" i="3" s="1"/>
  <c r="DA170" i="3"/>
  <c r="DC170" i="3"/>
  <c r="DF170" i="3"/>
  <c r="DH170" i="3"/>
  <c r="DI170" i="3"/>
  <c r="DJ170" i="3" s="1"/>
  <c r="A171" i="3"/>
  <c r="Y171" i="3"/>
  <c r="CX171" i="3" s="1"/>
  <c r="DG171" i="3" s="1"/>
  <c r="DJ171" i="3" s="1"/>
  <c r="CY171" i="3"/>
  <c r="CZ171" i="3"/>
  <c r="DA171" i="3"/>
  <c r="DB171" i="3"/>
  <c r="DC171" i="3"/>
  <c r="A172" i="3"/>
  <c r="Y172" i="3"/>
  <c r="CX172" i="3"/>
  <c r="DI172" i="3" s="1"/>
  <c r="CY172" i="3"/>
  <c r="CZ172" i="3"/>
  <c r="DA172" i="3"/>
  <c r="DB172" i="3"/>
  <c r="DC172" i="3"/>
  <c r="A173" i="3"/>
  <c r="Y173" i="3"/>
  <c r="CX173" i="3" s="1"/>
  <c r="CY173" i="3"/>
  <c r="CZ173" i="3"/>
  <c r="DB173" i="3" s="1"/>
  <c r="DA173" i="3"/>
  <c r="DC173" i="3"/>
  <c r="A174" i="3"/>
  <c r="Y174" i="3"/>
  <c r="CY174" i="3"/>
  <c r="CZ174" i="3"/>
  <c r="DB174" i="3" s="1"/>
  <c r="DA174" i="3"/>
  <c r="DC174" i="3"/>
  <c r="A175" i="3"/>
  <c r="Y175" i="3"/>
  <c r="CY175" i="3"/>
  <c r="CZ175" i="3"/>
  <c r="DB175" i="3" s="1"/>
  <c r="DA175" i="3"/>
  <c r="DC175" i="3"/>
  <c r="A176" i="3"/>
  <c r="Y176" i="3"/>
  <c r="CY176" i="3"/>
  <c r="CZ176" i="3"/>
  <c r="DB176" i="3" s="1"/>
  <c r="DA176" i="3"/>
  <c r="DC176" i="3"/>
  <c r="A177" i="3"/>
  <c r="Y177" i="3"/>
  <c r="CY177" i="3"/>
  <c r="CZ177" i="3"/>
  <c r="DB177" i="3" s="1"/>
  <c r="DA177" i="3"/>
  <c r="DC177" i="3"/>
  <c r="A178" i="3"/>
  <c r="Y178" i="3"/>
  <c r="CY178" i="3"/>
  <c r="CZ178" i="3"/>
  <c r="DA178" i="3"/>
  <c r="DB178" i="3"/>
  <c r="DC178" i="3"/>
  <c r="A179" i="3"/>
  <c r="Y179" i="3"/>
  <c r="CY179" i="3"/>
  <c r="CZ179" i="3"/>
  <c r="DB179" i="3" s="1"/>
  <c r="DA179" i="3"/>
  <c r="DC179" i="3"/>
  <c r="A180" i="3"/>
  <c r="Y180" i="3"/>
  <c r="CY180" i="3"/>
  <c r="CZ180" i="3"/>
  <c r="DB180" i="3" s="1"/>
  <c r="DA180" i="3"/>
  <c r="DC180" i="3"/>
  <c r="A181" i="3"/>
  <c r="Y181" i="3"/>
  <c r="CY181" i="3"/>
  <c r="CZ181" i="3"/>
  <c r="DB181" i="3" s="1"/>
  <c r="DA181" i="3"/>
  <c r="DC181" i="3"/>
  <c r="A182" i="3"/>
  <c r="Y182" i="3"/>
  <c r="CY182" i="3"/>
  <c r="CZ182" i="3"/>
  <c r="DB182" i="3" s="1"/>
  <c r="DA182" i="3"/>
  <c r="DC182" i="3"/>
  <c r="A183" i="3"/>
  <c r="Y183" i="3"/>
  <c r="CY183" i="3"/>
  <c r="CZ183" i="3"/>
  <c r="DB183" i="3" s="1"/>
  <c r="DA183" i="3"/>
  <c r="DC183" i="3"/>
  <c r="A184" i="3"/>
  <c r="Y184" i="3"/>
  <c r="CY184" i="3"/>
  <c r="CZ184" i="3"/>
  <c r="DA184" i="3"/>
  <c r="DB184" i="3"/>
  <c r="DC184" i="3"/>
  <c r="A185" i="3"/>
  <c r="Y185" i="3"/>
  <c r="CY185" i="3"/>
  <c r="CZ185" i="3"/>
  <c r="DB185" i="3" s="1"/>
  <c r="DA185" i="3"/>
  <c r="DC185" i="3"/>
  <c r="A186" i="3"/>
  <c r="Y186" i="3"/>
  <c r="CY186" i="3"/>
  <c r="CZ186" i="3"/>
  <c r="DB186" i="3" s="1"/>
  <c r="DA186" i="3"/>
  <c r="DC186" i="3"/>
  <c r="A187" i="3"/>
  <c r="Y187" i="3"/>
  <c r="CY187" i="3"/>
  <c r="CZ187" i="3"/>
  <c r="DA187" i="3"/>
  <c r="DB187" i="3"/>
  <c r="DC187" i="3"/>
  <c r="A188" i="3"/>
  <c r="Y188" i="3"/>
  <c r="CY188" i="3"/>
  <c r="CZ188" i="3"/>
  <c r="DB188" i="3" s="1"/>
  <c r="DA188" i="3"/>
  <c r="DC188" i="3"/>
  <c r="A189" i="3"/>
  <c r="Y189" i="3"/>
  <c r="CY189" i="3"/>
  <c r="CZ189" i="3"/>
  <c r="DA189" i="3"/>
  <c r="DB189" i="3"/>
  <c r="DC189" i="3"/>
  <c r="A190" i="3"/>
  <c r="Y190" i="3"/>
  <c r="CY190" i="3"/>
  <c r="CZ190" i="3"/>
  <c r="DA190" i="3"/>
  <c r="DB190" i="3"/>
  <c r="DC190" i="3"/>
  <c r="A191" i="3"/>
  <c r="Y191" i="3"/>
  <c r="CY191" i="3"/>
  <c r="CZ191" i="3"/>
  <c r="DB191" i="3" s="1"/>
  <c r="DA191" i="3"/>
  <c r="DC191" i="3"/>
  <c r="A192" i="3"/>
  <c r="Y192" i="3"/>
  <c r="CY192" i="3"/>
  <c r="CZ192" i="3"/>
  <c r="DB192" i="3" s="1"/>
  <c r="DA192" i="3"/>
  <c r="DC192" i="3"/>
  <c r="A193" i="3"/>
  <c r="Y193" i="3"/>
  <c r="CY193" i="3"/>
  <c r="CZ193" i="3"/>
  <c r="DB193" i="3" s="1"/>
  <c r="DA193" i="3"/>
  <c r="DC193" i="3"/>
  <c r="A194" i="3"/>
  <c r="Y194" i="3"/>
  <c r="CY194" i="3"/>
  <c r="CZ194" i="3"/>
  <c r="DB194" i="3" s="1"/>
  <c r="DA194" i="3"/>
  <c r="DC194" i="3"/>
  <c r="A195" i="3"/>
  <c r="Y195" i="3"/>
  <c r="CY195" i="3"/>
  <c r="CZ195" i="3"/>
  <c r="DB195" i="3" s="1"/>
  <c r="DA195" i="3"/>
  <c r="DC195" i="3"/>
  <c r="A196" i="3"/>
  <c r="Y196" i="3"/>
  <c r="CX196" i="3" s="1"/>
  <c r="CY196" i="3"/>
  <c r="CZ196" i="3"/>
  <c r="DB196" i="3" s="1"/>
  <c r="DA196" i="3"/>
  <c r="DC196" i="3"/>
  <c r="A197" i="3"/>
  <c r="Y197" i="3"/>
  <c r="CY197" i="3"/>
  <c r="CZ197" i="3"/>
  <c r="DA197" i="3"/>
  <c r="DB197" i="3"/>
  <c r="DC197" i="3"/>
  <c r="A198" i="3"/>
  <c r="Y198" i="3"/>
  <c r="CY198" i="3"/>
  <c r="CZ198" i="3"/>
  <c r="DB198" i="3" s="1"/>
  <c r="DA198" i="3"/>
  <c r="DC198" i="3"/>
  <c r="A199" i="3"/>
  <c r="Y199" i="3"/>
  <c r="CY199" i="3"/>
  <c r="CZ199" i="3"/>
  <c r="DB199" i="3" s="1"/>
  <c r="DA199" i="3"/>
  <c r="DC199" i="3"/>
  <c r="A200" i="3"/>
  <c r="Y200" i="3"/>
  <c r="CY200" i="3"/>
  <c r="CZ200" i="3"/>
  <c r="DA200" i="3"/>
  <c r="DB200" i="3"/>
  <c r="DC200" i="3"/>
  <c r="A201" i="3"/>
  <c r="Y201" i="3"/>
  <c r="CY201" i="3"/>
  <c r="CZ201" i="3"/>
  <c r="DB201" i="3" s="1"/>
  <c r="DA201" i="3"/>
  <c r="DC201" i="3"/>
  <c r="A202" i="3"/>
  <c r="Y202" i="3"/>
  <c r="CY202" i="3"/>
  <c r="CZ202" i="3"/>
  <c r="DA202" i="3"/>
  <c r="DB202" i="3"/>
  <c r="DC202" i="3"/>
  <c r="A203" i="3"/>
  <c r="Y203" i="3"/>
  <c r="CY203" i="3"/>
  <c r="CZ203" i="3"/>
  <c r="DA203" i="3"/>
  <c r="DB203" i="3"/>
  <c r="DC203" i="3"/>
  <c r="A204" i="3"/>
  <c r="Y204" i="3"/>
  <c r="CY204" i="3"/>
  <c r="CZ204" i="3"/>
  <c r="DB204" i="3" s="1"/>
  <c r="DA204" i="3"/>
  <c r="DC204" i="3"/>
  <c r="A205" i="3"/>
  <c r="Y205" i="3"/>
  <c r="CY205" i="3"/>
  <c r="CZ205" i="3"/>
  <c r="DB205" i="3" s="1"/>
  <c r="DA205" i="3"/>
  <c r="DC205" i="3"/>
  <c r="A206" i="3"/>
  <c r="Y206" i="3"/>
  <c r="CY206" i="3"/>
  <c r="CZ206" i="3"/>
  <c r="DB206" i="3" s="1"/>
  <c r="DA206" i="3"/>
  <c r="DC206" i="3"/>
  <c r="A207" i="3"/>
  <c r="Y207" i="3"/>
  <c r="CY207" i="3"/>
  <c r="CZ207" i="3"/>
  <c r="DA207" i="3"/>
  <c r="DB207" i="3"/>
  <c r="DC207" i="3"/>
  <c r="A208" i="3"/>
  <c r="Y208" i="3"/>
  <c r="CY208" i="3"/>
  <c r="CZ208" i="3"/>
  <c r="DB208" i="3" s="1"/>
  <c r="DA208" i="3"/>
  <c r="DC208" i="3"/>
  <c r="A209" i="3"/>
  <c r="Y209" i="3"/>
  <c r="CY209" i="3"/>
  <c r="CZ209" i="3"/>
  <c r="DB209" i="3" s="1"/>
  <c r="DA209" i="3"/>
  <c r="DC209" i="3"/>
  <c r="A210" i="3"/>
  <c r="Y210" i="3"/>
  <c r="CY210" i="3"/>
  <c r="CZ210" i="3"/>
  <c r="DB210" i="3" s="1"/>
  <c r="DA210" i="3"/>
  <c r="DC210" i="3"/>
  <c r="A211" i="3"/>
  <c r="Y211" i="3"/>
  <c r="CY211" i="3"/>
  <c r="CZ211" i="3"/>
  <c r="DB211" i="3" s="1"/>
  <c r="DA211" i="3"/>
  <c r="DC211" i="3"/>
  <c r="A212" i="3"/>
  <c r="Y212" i="3"/>
  <c r="CY212" i="3"/>
  <c r="CZ212" i="3"/>
  <c r="DB212" i="3" s="1"/>
  <c r="DA212" i="3"/>
  <c r="DC212" i="3"/>
  <c r="A213" i="3"/>
  <c r="Y213" i="3"/>
  <c r="CY213" i="3"/>
  <c r="CZ213" i="3"/>
  <c r="DB213" i="3" s="1"/>
  <c r="DA213" i="3"/>
  <c r="DC213" i="3"/>
  <c r="A214" i="3"/>
  <c r="Y214" i="3"/>
  <c r="CY214" i="3"/>
  <c r="CZ214" i="3"/>
  <c r="DB214" i="3" s="1"/>
  <c r="DA214" i="3"/>
  <c r="DC214" i="3"/>
  <c r="A215" i="3"/>
  <c r="Y215" i="3"/>
  <c r="CY215" i="3"/>
  <c r="CZ215" i="3"/>
  <c r="DA215" i="3"/>
  <c r="DB215" i="3"/>
  <c r="DC215" i="3"/>
  <c r="A216" i="3"/>
  <c r="Y216" i="3"/>
  <c r="CY216" i="3"/>
  <c r="CZ216" i="3"/>
  <c r="DB216" i="3" s="1"/>
  <c r="DA216" i="3"/>
  <c r="DC216" i="3"/>
  <c r="A217" i="3"/>
  <c r="Y217" i="3"/>
  <c r="CY217" i="3"/>
  <c r="CZ217" i="3"/>
  <c r="DB217" i="3" s="1"/>
  <c r="DA217" i="3"/>
  <c r="DC217" i="3"/>
  <c r="A218" i="3"/>
  <c r="Y218" i="3"/>
  <c r="CY218" i="3"/>
  <c r="CZ218" i="3"/>
  <c r="DB218" i="3" s="1"/>
  <c r="DA218" i="3"/>
  <c r="DC218" i="3"/>
  <c r="A219" i="3"/>
  <c r="Y219" i="3"/>
  <c r="CY219" i="3"/>
  <c r="CZ219" i="3"/>
  <c r="DB219" i="3" s="1"/>
  <c r="DA219" i="3"/>
  <c r="DC219" i="3"/>
  <c r="A220" i="3"/>
  <c r="Y220" i="3"/>
  <c r="CY220" i="3"/>
  <c r="CZ220" i="3"/>
  <c r="DA220" i="3"/>
  <c r="DB220" i="3"/>
  <c r="DC220" i="3"/>
  <c r="A221" i="3"/>
  <c r="Y221" i="3"/>
  <c r="CY221" i="3"/>
  <c r="CZ221" i="3"/>
  <c r="DB221" i="3" s="1"/>
  <c r="DA221" i="3"/>
  <c r="DC221" i="3"/>
  <c r="A222" i="3"/>
  <c r="Y222" i="3"/>
  <c r="CY222" i="3"/>
  <c r="CZ222" i="3"/>
  <c r="DB222" i="3" s="1"/>
  <c r="DA222" i="3"/>
  <c r="DC222" i="3"/>
  <c r="A223" i="3"/>
  <c r="Y223" i="3"/>
  <c r="CY223" i="3"/>
  <c r="CZ223" i="3"/>
  <c r="DB223" i="3" s="1"/>
  <c r="DA223" i="3"/>
  <c r="DC223" i="3"/>
  <c r="A224" i="3"/>
  <c r="Y224" i="3"/>
  <c r="CY224" i="3"/>
  <c r="CZ224" i="3"/>
  <c r="DB224" i="3" s="1"/>
  <c r="DA224" i="3"/>
  <c r="DC224" i="3"/>
  <c r="A225" i="3"/>
  <c r="Y225" i="3"/>
  <c r="CY225" i="3"/>
  <c r="CZ225" i="3"/>
  <c r="DB225" i="3" s="1"/>
  <c r="DA225" i="3"/>
  <c r="DC225" i="3"/>
  <c r="A226" i="3"/>
  <c r="Y226" i="3"/>
  <c r="CY226" i="3"/>
  <c r="CZ226" i="3"/>
  <c r="DA226" i="3"/>
  <c r="DB226" i="3"/>
  <c r="DC226" i="3"/>
  <c r="A227" i="3"/>
  <c r="Y227" i="3"/>
  <c r="CY227" i="3"/>
  <c r="CZ227" i="3"/>
  <c r="DB227" i="3" s="1"/>
  <c r="DA227" i="3"/>
  <c r="DC227" i="3"/>
  <c r="A228" i="3"/>
  <c r="Y228" i="3"/>
  <c r="CY228" i="3"/>
  <c r="CZ228" i="3"/>
  <c r="DB228" i="3" s="1"/>
  <c r="DA228" i="3"/>
  <c r="DC228" i="3"/>
  <c r="A229" i="3"/>
  <c r="Y229" i="3"/>
  <c r="CY229" i="3"/>
  <c r="CZ229" i="3"/>
  <c r="DA229" i="3"/>
  <c r="DB229" i="3"/>
  <c r="DC229" i="3"/>
  <c r="A230" i="3"/>
  <c r="Y230" i="3"/>
  <c r="CY230" i="3"/>
  <c r="CZ230" i="3"/>
  <c r="DA230" i="3"/>
  <c r="DB230" i="3"/>
  <c r="DC230" i="3"/>
  <c r="A231" i="3"/>
  <c r="Y231" i="3"/>
  <c r="CY231" i="3"/>
  <c r="CZ231" i="3"/>
  <c r="DB231" i="3" s="1"/>
  <c r="DA231" i="3"/>
  <c r="DC231" i="3"/>
  <c r="A232" i="3"/>
  <c r="Y232" i="3"/>
  <c r="CY232" i="3"/>
  <c r="CZ232" i="3"/>
  <c r="DB232" i="3" s="1"/>
  <c r="DA232" i="3"/>
  <c r="DC232" i="3"/>
  <c r="A233" i="3"/>
  <c r="Y233" i="3"/>
  <c r="CY233" i="3"/>
  <c r="CZ233" i="3"/>
  <c r="DB233" i="3" s="1"/>
  <c r="DA233" i="3"/>
  <c r="DC233" i="3"/>
  <c r="A234" i="3"/>
  <c r="Y234" i="3"/>
  <c r="CY234" i="3"/>
  <c r="CZ234" i="3"/>
  <c r="DB234" i="3" s="1"/>
  <c r="DA234" i="3"/>
  <c r="DC234" i="3"/>
  <c r="A235" i="3"/>
  <c r="Y235" i="3"/>
  <c r="CX235" i="3"/>
  <c r="DF235" i="3" s="1"/>
  <c r="CY235" i="3"/>
  <c r="CZ235" i="3"/>
  <c r="DB235" i="3" s="1"/>
  <c r="DA235" i="3"/>
  <c r="DC235" i="3"/>
  <c r="DI235" i="3"/>
  <c r="DJ235" i="3" s="1"/>
  <c r="A236" i="3"/>
  <c r="Y236" i="3"/>
  <c r="CX236" i="3" s="1"/>
  <c r="DG236" i="3" s="1"/>
  <c r="CY236" i="3"/>
  <c r="CZ236" i="3"/>
  <c r="DB236" i="3" s="1"/>
  <c r="DA236" i="3"/>
  <c r="DC236" i="3"/>
  <c r="DF236" i="3"/>
  <c r="A237" i="3"/>
  <c r="Y237" i="3"/>
  <c r="CX237" i="3" s="1"/>
  <c r="DH237" i="3" s="1"/>
  <c r="CY237" i="3"/>
  <c r="CZ237" i="3"/>
  <c r="DB237" i="3" s="1"/>
  <c r="DA237" i="3"/>
  <c r="DC237" i="3"/>
  <c r="DF237" i="3"/>
  <c r="A238" i="3"/>
  <c r="Y238" i="3"/>
  <c r="CX238" i="3" s="1"/>
  <c r="CY238" i="3"/>
  <c r="CZ238" i="3"/>
  <c r="DB238" i="3" s="1"/>
  <c r="DA238" i="3"/>
  <c r="DC238" i="3"/>
  <c r="A239" i="3"/>
  <c r="Y239" i="3"/>
  <c r="CX239" i="3"/>
  <c r="DF239" i="3" s="1"/>
  <c r="CY239" i="3"/>
  <c r="CZ239" i="3"/>
  <c r="DB239" i="3" s="1"/>
  <c r="DA239" i="3"/>
  <c r="DC239" i="3"/>
  <c r="A240" i="3"/>
  <c r="Y240" i="3"/>
  <c r="CX240" i="3"/>
  <c r="DI240" i="3" s="1"/>
  <c r="CY240" i="3"/>
  <c r="CZ240" i="3"/>
  <c r="DB240" i="3" s="1"/>
  <c r="DA240" i="3"/>
  <c r="DC240" i="3"/>
  <c r="DF240" i="3"/>
  <c r="A241" i="3"/>
  <c r="Y241" i="3"/>
  <c r="CX241" i="3" s="1"/>
  <c r="CY241" i="3"/>
  <c r="CZ241" i="3"/>
  <c r="DB241" i="3" s="1"/>
  <c r="DA241" i="3"/>
  <c r="DC241" i="3"/>
  <c r="A242" i="3"/>
  <c r="Y242" i="3"/>
  <c r="CX242" i="3"/>
  <c r="DG242" i="3" s="1"/>
  <c r="CY242" i="3"/>
  <c r="CZ242" i="3"/>
  <c r="DB242" i="3" s="1"/>
  <c r="DA242" i="3"/>
  <c r="DC242" i="3"/>
  <c r="DF242" i="3"/>
  <c r="DJ242" i="3"/>
  <c r="A243" i="3"/>
  <c r="Y243" i="3"/>
  <c r="CX243" i="3" s="1"/>
  <c r="CY243" i="3"/>
  <c r="CZ243" i="3"/>
  <c r="DB243" i="3" s="1"/>
  <c r="DA243" i="3"/>
  <c r="DC243" i="3"/>
  <c r="A244" i="3"/>
  <c r="Y244" i="3"/>
  <c r="CX244" i="3"/>
  <c r="DG244" i="3" s="1"/>
  <c r="CY244" i="3"/>
  <c r="CZ244" i="3"/>
  <c r="DB244" i="3" s="1"/>
  <c r="DA244" i="3"/>
  <c r="DC244" i="3"/>
  <c r="DF244" i="3"/>
  <c r="DI244" i="3"/>
  <c r="DJ244" i="3"/>
  <c r="A245" i="3"/>
  <c r="Y245" i="3"/>
  <c r="CX245" i="3" s="1"/>
  <c r="DH245" i="3" s="1"/>
  <c r="CY245" i="3"/>
  <c r="CZ245" i="3"/>
  <c r="DB245" i="3" s="1"/>
  <c r="DA245" i="3"/>
  <c r="DC245" i="3"/>
  <c r="A246" i="3"/>
  <c r="Y246" i="3"/>
  <c r="CX246" i="3"/>
  <c r="DG246" i="3" s="1"/>
  <c r="CY246" i="3"/>
  <c r="CZ246" i="3"/>
  <c r="DA246" i="3"/>
  <c r="DB246" i="3"/>
  <c r="DC246" i="3"/>
  <c r="DI246" i="3"/>
  <c r="A247" i="3"/>
  <c r="Y247" i="3"/>
  <c r="CX247" i="3"/>
  <c r="DF247" i="3" s="1"/>
  <c r="DJ247" i="3" s="1"/>
  <c r="CY247" i="3"/>
  <c r="CZ247" i="3"/>
  <c r="DA247" i="3"/>
  <c r="DB247" i="3"/>
  <c r="DC247" i="3"/>
  <c r="A248" i="3"/>
  <c r="Y248" i="3"/>
  <c r="CX248" i="3"/>
  <c r="CY248" i="3"/>
  <c r="CZ248" i="3"/>
  <c r="DB248" i="3" s="1"/>
  <c r="DA248" i="3"/>
  <c r="DC248" i="3"/>
  <c r="DH248" i="3"/>
  <c r="A249" i="3"/>
  <c r="Y249" i="3"/>
  <c r="CX249" i="3" s="1"/>
  <c r="CY249" i="3"/>
  <c r="CZ249" i="3"/>
  <c r="DB249" i="3" s="1"/>
  <c r="DA249" i="3"/>
  <c r="DC249" i="3"/>
  <c r="A250" i="3"/>
  <c r="Y250" i="3"/>
  <c r="CX250" i="3" s="1"/>
  <c r="CY250" i="3"/>
  <c r="CZ250" i="3"/>
  <c r="DB250" i="3" s="1"/>
  <c r="DA250" i="3"/>
  <c r="DC250" i="3"/>
  <c r="A251" i="3"/>
  <c r="Y251" i="3"/>
  <c r="CX251" i="3"/>
  <c r="DG251" i="3" s="1"/>
  <c r="CY251" i="3"/>
  <c r="CZ251" i="3"/>
  <c r="DA251" i="3"/>
  <c r="DB251" i="3"/>
  <c r="DC251" i="3"/>
  <c r="DI251" i="3"/>
  <c r="A252" i="3"/>
  <c r="Y252" i="3"/>
  <c r="CX252" i="3"/>
  <c r="DH252" i="3" s="1"/>
  <c r="CY252" i="3"/>
  <c r="CZ252" i="3"/>
  <c r="DB252" i="3" s="1"/>
  <c r="DA252" i="3"/>
  <c r="DC252" i="3"/>
  <c r="A253" i="3"/>
  <c r="Y253" i="3"/>
  <c r="CX253" i="3" s="1"/>
  <c r="DH253" i="3" s="1"/>
  <c r="CY253" i="3"/>
  <c r="CZ253" i="3"/>
  <c r="DB253" i="3" s="1"/>
  <c r="DA253" i="3"/>
  <c r="DC253" i="3"/>
  <c r="DI253" i="3"/>
  <c r="A254" i="3"/>
  <c r="Y254" i="3"/>
  <c r="CX254" i="3"/>
  <c r="DI254" i="3" s="1"/>
  <c r="CY254" i="3"/>
  <c r="CZ254" i="3"/>
  <c r="DB254" i="3" s="1"/>
  <c r="DA254" i="3"/>
  <c r="DC254" i="3"/>
  <c r="DH254" i="3"/>
  <c r="A255" i="3"/>
  <c r="Y255" i="3"/>
  <c r="CX255" i="3"/>
  <c r="DF255" i="3" s="1"/>
  <c r="DJ255" i="3" s="1"/>
  <c r="CY255" i="3"/>
  <c r="CZ255" i="3"/>
  <c r="DA255" i="3"/>
  <c r="DB255" i="3"/>
  <c r="DC255" i="3"/>
  <c r="A256" i="3"/>
  <c r="Y256" i="3"/>
  <c r="CX256" i="3" s="1"/>
  <c r="DG256" i="3" s="1"/>
  <c r="CY256" i="3"/>
  <c r="CZ256" i="3"/>
  <c r="DB256" i="3" s="1"/>
  <c r="DA256" i="3"/>
  <c r="DC256" i="3"/>
  <c r="A257" i="3"/>
  <c r="Y257" i="3"/>
  <c r="CX257" i="3"/>
  <c r="DH257" i="3" s="1"/>
  <c r="CY257" i="3"/>
  <c r="CZ257" i="3"/>
  <c r="DB257" i="3" s="1"/>
  <c r="DA257" i="3"/>
  <c r="DC257" i="3"/>
  <c r="DF257" i="3"/>
  <c r="DJ257" i="3" s="1"/>
  <c r="DG257" i="3"/>
  <c r="A258" i="3"/>
  <c r="Y258" i="3"/>
  <c r="CX258" i="3"/>
  <c r="DG258" i="3" s="1"/>
  <c r="CY258" i="3"/>
  <c r="CZ258" i="3"/>
  <c r="DB258" i="3" s="1"/>
  <c r="DA258" i="3"/>
  <c r="DC258" i="3"/>
  <c r="A259" i="3"/>
  <c r="Y259" i="3"/>
  <c r="CY259" i="3"/>
  <c r="CZ259" i="3"/>
  <c r="DA259" i="3"/>
  <c r="DB259" i="3"/>
  <c r="DC259" i="3"/>
  <c r="A260" i="3"/>
  <c r="Y260" i="3"/>
  <c r="CY260" i="3"/>
  <c r="CZ260" i="3"/>
  <c r="DB260" i="3" s="1"/>
  <c r="DA260" i="3"/>
  <c r="DC260" i="3"/>
  <c r="A261" i="3"/>
  <c r="Y261" i="3"/>
  <c r="CY261" i="3"/>
  <c r="CZ261" i="3"/>
  <c r="DB261" i="3" s="1"/>
  <c r="DA261" i="3"/>
  <c r="DC261" i="3"/>
  <c r="A262" i="3"/>
  <c r="Y262" i="3"/>
  <c r="CY262" i="3"/>
  <c r="CZ262" i="3"/>
  <c r="DB262" i="3" s="1"/>
  <c r="DA262" i="3"/>
  <c r="DC262" i="3"/>
  <c r="A263" i="3"/>
  <c r="Y263" i="3"/>
  <c r="CY263" i="3"/>
  <c r="CZ263" i="3"/>
  <c r="DB263" i="3" s="1"/>
  <c r="DA263" i="3"/>
  <c r="DC263" i="3"/>
  <c r="A264" i="3"/>
  <c r="Y264" i="3"/>
  <c r="CY264" i="3"/>
  <c r="CZ264" i="3"/>
  <c r="DB264" i="3" s="1"/>
  <c r="DA264" i="3"/>
  <c r="DC264" i="3"/>
  <c r="A265" i="3"/>
  <c r="Y265" i="3"/>
  <c r="CY265" i="3"/>
  <c r="CZ265" i="3"/>
  <c r="DB265" i="3" s="1"/>
  <c r="DA265" i="3"/>
  <c r="DC265" i="3"/>
  <c r="A266" i="3"/>
  <c r="Y266" i="3"/>
  <c r="CY266" i="3"/>
  <c r="CZ266" i="3"/>
  <c r="DB266" i="3" s="1"/>
  <c r="DA266" i="3"/>
  <c r="DC266" i="3"/>
  <c r="A267" i="3"/>
  <c r="Y267" i="3"/>
  <c r="CY267" i="3"/>
  <c r="CZ267" i="3"/>
  <c r="DA267" i="3"/>
  <c r="DB267" i="3"/>
  <c r="DC267" i="3"/>
  <c r="A268" i="3"/>
  <c r="Y268" i="3"/>
  <c r="CY268" i="3"/>
  <c r="CZ268" i="3"/>
  <c r="DB268" i="3" s="1"/>
  <c r="DA268" i="3"/>
  <c r="DC268" i="3"/>
  <c r="A269" i="3"/>
  <c r="Y269" i="3"/>
  <c r="CY269" i="3"/>
  <c r="CZ269" i="3"/>
  <c r="DA269" i="3"/>
  <c r="DB269" i="3"/>
  <c r="DC269" i="3"/>
  <c r="A270" i="3"/>
  <c r="Y270" i="3"/>
  <c r="CY270" i="3"/>
  <c r="CZ270" i="3"/>
  <c r="DB270" i="3" s="1"/>
  <c r="DA270" i="3"/>
  <c r="DC270" i="3"/>
  <c r="A271" i="3"/>
  <c r="Y271" i="3"/>
  <c r="CY271" i="3"/>
  <c r="CZ271" i="3"/>
  <c r="DB271" i="3" s="1"/>
  <c r="DA271" i="3"/>
  <c r="DC271" i="3"/>
  <c r="A272" i="3"/>
  <c r="Y272" i="3"/>
  <c r="CY272" i="3"/>
  <c r="CZ272" i="3"/>
  <c r="DA272" i="3"/>
  <c r="DB272" i="3"/>
  <c r="DC272" i="3"/>
  <c r="A273" i="3"/>
  <c r="Y273" i="3"/>
  <c r="CY273" i="3"/>
  <c r="CZ273" i="3"/>
  <c r="DB273" i="3" s="1"/>
  <c r="DA273" i="3"/>
  <c r="DC273" i="3"/>
  <c r="A274" i="3"/>
  <c r="Y274" i="3"/>
  <c r="CY274" i="3"/>
  <c r="CZ274" i="3"/>
  <c r="DA274" i="3"/>
  <c r="DB274" i="3"/>
  <c r="DC274" i="3"/>
  <c r="A275" i="3"/>
  <c r="Y275" i="3"/>
  <c r="CY275" i="3"/>
  <c r="CZ275" i="3"/>
  <c r="DA275" i="3"/>
  <c r="DB275" i="3"/>
  <c r="DC275" i="3"/>
  <c r="A276" i="3"/>
  <c r="Y276" i="3"/>
  <c r="CY276" i="3"/>
  <c r="CZ276" i="3"/>
  <c r="DB276" i="3" s="1"/>
  <c r="DA276" i="3"/>
  <c r="DC276" i="3"/>
  <c r="A277" i="3"/>
  <c r="Y277" i="3"/>
  <c r="CY277" i="3"/>
  <c r="CZ277" i="3"/>
  <c r="DB277" i="3" s="1"/>
  <c r="DA277" i="3"/>
  <c r="DC277" i="3"/>
  <c r="A278" i="3"/>
  <c r="Y278" i="3"/>
  <c r="CY278" i="3"/>
  <c r="CZ278" i="3"/>
  <c r="DB278" i="3" s="1"/>
  <c r="DA278" i="3"/>
  <c r="DC278" i="3"/>
  <c r="A279" i="3"/>
  <c r="Y279" i="3"/>
  <c r="CY279" i="3"/>
  <c r="CZ279" i="3"/>
  <c r="DB279" i="3" s="1"/>
  <c r="DA279" i="3"/>
  <c r="DC279" i="3"/>
  <c r="A280" i="3"/>
  <c r="Y280" i="3"/>
  <c r="CY280" i="3"/>
  <c r="CZ280" i="3"/>
  <c r="DA280" i="3"/>
  <c r="DB280" i="3"/>
  <c r="DC280" i="3"/>
  <c r="A281" i="3"/>
  <c r="Y281" i="3"/>
  <c r="CY281" i="3"/>
  <c r="CZ281" i="3"/>
  <c r="DB281" i="3" s="1"/>
  <c r="DA281" i="3"/>
  <c r="DC281" i="3"/>
  <c r="A282" i="3"/>
  <c r="Y282" i="3"/>
  <c r="CY282" i="3"/>
  <c r="CZ282" i="3"/>
  <c r="DA282" i="3"/>
  <c r="DB282" i="3"/>
  <c r="DC282" i="3"/>
  <c r="A283" i="3"/>
  <c r="Y283" i="3"/>
  <c r="CY283" i="3"/>
  <c r="CZ283" i="3"/>
  <c r="DA283" i="3"/>
  <c r="DB283" i="3"/>
  <c r="DC283" i="3"/>
  <c r="A284" i="3"/>
  <c r="Y284" i="3"/>
  <c r="CY284" i="3"/>
  <c r="CZ284" i="3"/>
  <c r="DB284" i="3" s="1"/>
  <c r="DA284" i="3"/>
  <c r="DC284" i="3"/>
  <c r="A285" i="3"/>
  <c r="Y285" i="3"/>
  <c r="CY285" i="3"/>
  <c r="CZ285" i="3"/>
  <c r="DB285" i="3" s="1"/>
  <c r="DA285" i="3"/>
  <c r="DC285" i="3"/>
  <c r="A286" i="3"/>
  <c r="Y286" i="3"/>
  <c r="CY286" i="3"/>
  <c r="CZ286" i="3"/>
  <c r="DB286" i="3" s="1"/>
  <c r="DA286" i="3"/>
  <c r="DC286" i="3"/>
  <c r="A287" i="3"/>
  <c r="Y287" i="3"/>
  <c r="CY287" i="3"/>
  <c r="CZ287" i="3"/>
  <c r="DB287" i="3" s="1"/>
  <c r="DA287" i="3"/>
  <c r="DC287" i="3"/>
  <c r="A288" i="3"/>
  <c r="Y288" i="3"/>
  <c r="CY288" i="3"/>
  <c r="CZ288" i="3"/>
  <c r="DB288" i="3" s="1"/>
  <c r="DA288" i="3"/>
  <c r="DC288" i="3"/>
  <c r="A289" i="3"/>
  <c r="Y289" i="3"/>
  <c r="CY289" i="3"/>
  <c r="CZ289" i="3"/>
  <c r="DB289" i="3" s="1"/>
  <c r="DA289" i="3"/>
  <c r="DC289" i="3"/>
  <c r="A290" i="3"/>
  <c r="Y290" i="3"/>
  <c r="CY290" i="3"/>
  <c r="CZ290" i="3"/>
  <c r="DB290" i="3" s="1"/>
  <c r="DA290" i="3"/>
  <c r="DC290" i="3"/>
  <c r="A291" i="3"/>
  <c r="Y291" i="3"/>
  <c r="CY291" i="3"/>
  <c r="CZ291" i="3"/>
  <c r="DA291" i="3"/>
  <c r="DB291" i="3"/>
  <c r="DC291" i="3"/>
  <c r="A292" i="3"/>
  <c r="Y292" i="3"/>
  <c r="CY292" i="3"/>
  <c r="CZ292" i="3"/>
  <c r="DB292" i="3" s="1"/>
  <c r="DA292" i="3"/>
  <c r="DC292" i="3"/>
  <c r="A293" i="3"/>
  <c r="Y293" i="3"/>
  <c r="CY293" i="3"/>
  <c r="CZ293" i="3"/>
  <c r="DA293" i="3"/>
  <c r="DB293" i="3"/>
  <c r="DC293" i="3"/>
  <c r="A294" i="3"/>
  <c r="Y294" i="3"/>
  <c r="CY294" i="3"/>
  <c r="CZ294" i="3"/>
  <c r="DA294" i="3"/>
  <c r="DB294" i="3"/>
  <c r="DC294" i="3"/>
  <c r="A295" i="3"/>
  <c r="Y295" i="3"/>
  <c r="CY295" i="3"/>
  <c r="CZ295" i="3"/>
  <c r="DB295" i="3" s="1"/>
  <c r="DA295" i="3"/>
  <c r="DC295" i="3"/>
  <c r="A296" i="3"/>
  <c r="Y296" i="3"/>
  <c r="CY296" i="3"/>
  <c r="CZ296" i="3"/>
  <c r="DA296" i="3"/>
  <c r="DB296" i="3"/>
  <c r="DC296" i="3"/>
  <c r="A297" i="3"/>
  <c r="Y297" i="3"/>
  <c r="CY297" i="3"/>
  <c r="CZ297" i="3"/>
  <c r="DA297" i="3"/>
  <c r="DB297" i="3"/>
  <c r="DC297" i="3"/>
  <c r="A298" i="3"/>
  <c r="Y298" i="3"/>
  <c r="CY298" i="3"/>
  <c r="CZ298" i="3"/>
  <c r="DB298" i="3" s="1"/>
  <c r="DA298" i="3"/>
  <c r="DC298" i="3"/>
  <c r="A299" i="3"/>
  <c r="Y299" i="3"/>
  <c r="CY299" i="3"/>
  <c r="CZ299" i="3"/>
  <c r="DB299" i="3" s="1"/>
  <c r="DA299" i="3"/>
  <c r="DC299" i="3"/>
  <c r="A300" i="3"/>
  <c r="Y300" i="3"/>
  <c r="CY300" i="3"/>
  <c r="CZ300" i="3"/>
  <c r="DA300" i="3"/>
  <c r="DB300" i="3"/>
  <c r="DC300" i="3"/>
  <c r="A301" i="3"/>
  <c r="Y301" i="3"/>
  <c r="CY301" i="3"/>
  <c r="CZ301" i="3"/>
  <c r="DA301" i="3"/>
  <c r="DB301" i="3"/>
  <c r="DC301" i="3"/>
  <c r="A302" i="3"/>
  <c r="Y302" i="3"/>
  <c r="CY302" i="3"/>
  <c r="CZ302" i="3"/>
  <c r="DB302" i="3" s="1"/>
  <c r="DA302" i="3"/>
  <c r="DC302" i="3"/>
  <c r="A303" i="3"/>
  <c r="Y303" i="3"/>
  <c r="CY303" i="3"/>
  <c r="CZ303" i="3"/>
  <c r="DB303" i="3" s="1"/>
  <c r="DA303" i="3"/>
  <c r="DC303" i="3"/>
  <c r="A304" i="3"/>
  <c r="Y304" i="3"/>
  <c r="CY304" i="3"/>
  <c r="CZ304" i="3"/>
  <c r="DB304" i="3" s="1"/>
  <c r="DA304" i="3"/>
  <c r="DC304" i="3"/>
  <c r="A305" i="3"/>
  <c r="Y305" i="3"/>
  <c r="CY305" i="3"/>
  <c r="CZ305" i="3"/>
  <c r="DA305" i="3"/>
  <c r="DB305" i="3"/>
  <c r="DC305" i="3"/>
  <c r="A306" i="3"/>
  <c r="Y306" i="3"/>
  <c r="CY306" i="3"/>
  <c r="CZ306" i="3"/>
  <c r="DB306" i="3" s="1"/>
  <c r="DA306" i="3"/>
  <c r="DC306" i="3"/>
  <c r="A307" i="3"/>
  <c r="Y307" i="3"/>
  <c r="CY307" i="3"/>
  <c r="CZ307" i="3"/>
  <c r="DB307" i="3" s="1"/>
  <c r="DA307" i="3"/>
  <c r="DC307" i="3"/>
  <c r="A308" i="3"/>
  <c r="Y308" i="3"/>
  <c r="CY308" i="3"/>
  <c r="CZ308" i="3"/>
  <c r="DB308" i="3" s="1"/>
  <c r="DA308" i="3"/>
  <c r="DC308" i="3"/>
  <c r="A309" i="3"/>
  <c r="Y309" i="3"/>
  <c r="CY309" i="3"/>
  <c r="CZ309" i="3"/>
  <c r="DB309" i="3" s="1"/>
  <c r="DA309" i="3"/>
  <c r="DC309" i="3"/>
  <c r="A310" i="3"/>
  <c r="Y310" i="3"/>
  <c r="CY310" i="3"/>
  <c r="CZ310" i="3"/>
  <c r="DB310" i="3" s="1"/>
  <c r="DA310" i="3"/>
  <c r="DC310" i="3"/>
  <c r="A311" i="3"/>
  <c r="Y311" i="3"/>
  <c r="CY311" i="3"/>
  <c r="CZ311" i="3"/>
  <c r="DB311" i="3" s="1"/>
  <c r="DA311" i="3"/>
  <c r="DC311" i="3"/>
  <c r="A312" i="3"/>
  <c r="Y312" i="3"/>
  <c r="CY312" i="3"/>
  <c r="CZ312" i="3"/>
  <c r="DB312" i="3" s="1"/>
  <c r="DA312" i="3"/>
  <c r="DC312" i="3"/>
  <c r="A313" i="3"/>
  <c r="Y313" i="3"/>
  <c r="CY313" i="3"/>
  <c r="CZ313" i="3"/>
  <c r="DB313" i="3" s="1"/>
  <c r="DA313" i="3"/>
  <c r="DC313" i="3"/>
  <c r="A314" i="3"/>
  <c r="Y314" i="3"/>
  <c r="CY314" i="3"/>
  <c r="CZ314" i="3"/>
  <c r="DB314" i="3" s="1"/>
  <c r="DA314" i="3"/>
  <c r="DC314" i="3"/>
  <c r="A315" i="3"/>
  <c r="Y315" i="3"/>
  <c r="CY315" i="3"/>
  <c r="CZ315" i="3"/>
  <c r="DA315" i="3"/>
  <c r="DB315" i="3"/>
  <c r="DC315" i="3"/>
  <c r="A316" i="3"/>
  <c r="Y316" i="3"/>
  <c r="CY316" i="3"/>
  <c r="CZ316" i="3"/>
  <c r="DB316" i="3" s="1"/>
  <c r="DA316" i="3"/>
  <c r="DC316" i="3"/>
  <c r="A317" i="3"/>
  <c r="Y317" i="3"/>
  <c r="CY317" i="3"/>
  <c r="CZ317" i="3"/>
  <c r="DA317" i="3"/>
  <c r="DB317" i="3"/>
  <c r="DC317" i="3"/>
  <c r="A318" i="3"/>
  <c r="Y318" i="3"/>
  <c r="CY318" i="3"/>
  <c r="CZ318" i="3"/>
  <c r="DA318" i="3"/>
  <c r="DB318" i="3"/>
  <c r="DC318" i="3"/>
  <c r="A319" i="3"/>
  <c r="Y319" i="3"/>
  <c r="CY319" i="3"/>
  <c r="CZ319" i="3"/>
  <c r="DB319" i="3" s="1"/>
  <c r="DA319" i="3"/>
  <c r="DC319" i="3"/>
  <c r="A320" i="3"/>
  <c r="Y320" i="3"/>
  <c r="CY320" i="3"/>
  <c r="CZ320" i="3"/>
  <c r="DA320" i="3"/>
  <c r="DB320" i="3"/>
  <c r="DC320" i="3"/>
  <c r="A321" i="3"/>
  <c r="Y321" i="3"/>
  <c r="CY321" i="3"/>
  <c r="CZ321" i="3"/>
  <c r="DA321" i="3"/>
  <c r="DB321" i="3"/>
  <c r="DC321" i="3"/>
  <c r="A322" i="3"/>
  <c r="Y322" i="3"/>
  <c r="CY322" i="3"/>
  <c r="CZ322" i="3"/>
  <c r="DB322" i="3" s="1"/>
  <c r="DA322" i="3"/>
  <c r="DC322" i="3"/>
  <c r="A323" i="3"/>
  <c r="Y323" i="3"/>
  <c r="CY323" i="3"/>
  <c r="CZ323" i="3"/>
  <c r="DB323" i="3" s="1"/>
  <c r="DA323" i="3"/>
  <c r="DC323" i="3"/>
  <c r="A324" i="3"/>
  <c r="Y324" i="3"/>
  <c r="CY324" i="3"/>
  <c r="CZ324" i="3"/>
  <c r="DA324" i="3"/>
  <c r="DB324" i="3"/>
  <c r="DC324" i="3"/>
  <c r="A325" i="3"/>
  <c r="Y325" i="3"/>
  <c r="CY325" i="3"/>
  <c r="CZ325" i="3"/>
  <c r="DB325" i="3" s="1"/>
  <c r="DA325" i="3"/>
  <c r="DC325" i="3"/>
  <c r="A326" i="3"/>
  <c r="Y326" i="3"/>
  <c r="CY326" i="3"/>
  <c r="CZ326" i="3"/>
  <c r="DB326" i="3" s="1"/>
  <c r="DA326" i="3"/>
  <c r="DC326" i="3"/>
  <c r="A327" i="3"/>
  <c r="Y327" i="3"/>
  <c r="CY327" i="3"/>
  <c r="CZ327" i="3"/>
  <c r="DB327" i="3" s="1"/>
  <c r="DA327" i="3"/>
  <c r="DC327" i="3"/>
  <c r="A328" i="3"/>
  <c r="Y328" i="3"/>
  <c r="CY328" i="3"/>
  <c r="CZ328" i="3"/>
  <c r="DB328" i="3" s="1"/>
  <c r="DA328" i="3"/>
  <c r="DC328" i="3"/>
  <c r="A329" i="3"/>
  <c r="Y329" i="3"/>
  <c r="CY329" i="3"/>
  <c r="CZ329" i="3"/>
  <c r="DB329" i="3" s="1"/>
  <c r="DA329" i="3"/>
  <c r="DC329" i="3"/>
  <c r="A330" i="3"/>
  <c r="Y330" i="3"/>
  <c r="CY330" i="3"/>
  <c r="CZ330" i="3"/>
  <c r="DA330" i="3"/>
  <c r="DB330" i="3"/>
  <c r="DC330" i="3"/>
  <c r="A331" i="3"/>
  <c r="Y331" i="3"/>
  <c r="CY331" i="3"/>
  <c r="CZ331" i="3"/>
  <c r="DA331" i="3"/>
  <c r="DB331" i="3"/>
  <c r="DC331" i="3"/>
  <c r="A332" i="3"/>
  <c r="Y332" i="3"/>
  <c r="CY332" i="3"/>
  <c r="CZ332" i="3"/>
  <c r="DB332" i="3" s="1"/>
  <c r="DA332" i="3"/>
  <c r="DC332" i="3"/>
  <c r="A333" i="3"/>
  <c r="Y333" i="3"/>
  <c r="CY333" i="3"/>
  <c r="CZ333" i="3"/>
  <c r="DB333" i="3" s="1"/>
  <c r="DA333" i="3"/>
  <c r="DC333" i="3"/>
  <c r="A334" i="3"/>
  <c r="Y334" i="3"/>
  <c r="CY334" i="3"/>
  <c r="CZ334" i="3"/>
  <c r="DA334" i="3"/>
  <c r="DB334" i="3"/>
  <c r="DC334" i="3"/>
  <c r="A335" i="3"/>
  <c r="Y335" i="3"/>
  <c r="CY335" i="3"/>
  <c r="CZ335" i="3"/>
  <c r="DB335" i="3" s="1"/>
  <c r="DA335" i="3"/>
  <c r="DC335" i="3"/>
  <c r="A336" i="3"/>
  <c r="Y336" i="3"/>
  <c r="CY336" i="3"/>
  <c r="CZ336" i="3"/>
  <c r="DA336" i="3"/>
  <c r="DB336" i="3"/>
  <c r="DC336" i="3"/>
  <c r="A337" i="3"/>
  <c r="Y337" i="3"/>
  <c r="CY337" i="3"/>
  <c r="CZ337" i="3"/>
  <c r="DA337" i="3"/>
  <c r="DB337" i="3"/>
  <c r="DC337" i="3"/>
  <c r="A338" i="3"/>
  <c r="Y338" i="3"/>
  <c r="CY338" i="3"/>
  <c r="CZ338" i="3"/>
  <c r="DB338" i="3" s="1"/>
  <c r="DA338" i="3"/>
  <c r="DC338" i="3"/>
  <c r="A339" i="3"/>
  <c r="Y339" i="3"/>
  <c r="CY339" i="3"/>
  <c r="CZ339" i="3"/>
  <c r="DB339" i="3" s="1"/>
  <c r="DA339" i="3"/>
  <c r="DC339" i="3"/>
  <c r="A340" i="3"/>
  <c r="Y340" i="3"/>
  <c r="CY340" i="3"/>
  <c r="CZ340" i="3"/>
  <c r="DA340" i="3"/>
  <c r="DB340" i="3"/>
  <c r="DC340" i="3"/>
  <c r="A341" i="3"/>
  <c r="Y341" i="3"/>
  <c r="CY341" i="3"/>
  <c r="CZ341" i="3"/>
  <c r="DB341" i="3" s="1"/>
  <c r="DA341" i="3"/>
  <c r="DC341" i="3"/>
  <c r="A342" i="3"/>
  <c r="Y342" i="3"/>
  <c r="CY342" i="3"/>
  <c r="CZ342" i="3"/>
  <c r="DB342" i="3" s="1"/>
  <c r="DA342" i="3"/>
  <c r="DC342" i="3"/>
  <c r="A343" i="3"/>
  <c r="Y343" i="3"/>
  <c r="CY343" i="3"/>
  <c r="CZ343" i="3"/>
  <c r="DB343" i="3" s="1"/>
  <c r="DA343" i="3"/>
  <c r="DC343" i="3"/>
  <c r="A344" i="3"/>
  <c r="Y344" i="3"/>
  <c r="CY344" i="3"/>
  <c r="CZ344" i="3"/>
  <c r="DA344" i="3"/>
  <c r="DB344" i="3"/>
  <c r="DC344" i="3"/>
  <c r="A345" i="3"/>
  <c r="Y345" i="3"/>
  <c r="CY345" i="3"/>
  <c r="CZ345" i="3"/>
  <c r="DA345" i="3"/>
  <c r="DB345" i="3"/>
  <c r="DC345" i="3"/>
  <c r="A346" i="3"/>
  <c r="Y346" i="3"/>
  <c r="CY346" i="3"/>
  <c r="CZ346" i="3"/>
  <c r="DB346" i="3" s="1"/>
  <c r="DA346" i="3"/>
  <c r="DC346" i="3"/>
  <c r="A347" i="3"/>
  <c r="Y347" i="3"/>
  <c r="CY347" i="3"/>
  <c r="CZ347" i="3"/>
  <c r="DB347" i="3" s="1"/>
  <c r="DA347" i="3"/>
  <c r="DC347" i="3"/>
  <c r="A348" i="3"/>
  <c r="Y348" i="3"/>
  <c r="CY348" i="3"/>
  <c r="CZ348" i="3"/>
  <c r="DA348" i="3"/>
  <c r="DB348" i="3"/>
  <c r="DC348" i="3"/>
  <c r="A349" i="3"/>
  <c r="Y349" i="3"/>
  <c r="CY349" i="3"/>
  <c r="CZ349" i="3"/>
  <c r="DB349" i="3" s="1"/>
  <c r="DA349" i="3"/>
  <c r="DC349" i="3"/>
  <c r="A350" i="3"/>
  <c r="Y350" i="3"/>
  <c r="CY350" i="3"/>
  <c r="CZ350" i="3"/>
  <c r="DB350" i="3" s="1"/>
  <c r="DA350" i="3"/>
  <c r="DC350" i="3"/>
  <c r="A351" i="3"/>
  <c r="Y351" i="3"/>
  <c r="CX351" i="3" s="1"/>
  <c r="CY351" i="3"/>
  <c r="CZ351" i="3"/>
  <c r="DB351" i="3" s="1"/>
  <c r="DA351" i="3"/>
  <c r="DC351" i="3"/>
  <c r="A352" i="3"/>
  <c r="Y352" i="3"/>
  <c r="CX352" i="3" s="1"/>
  <c r="DI352" i="3" s="1"/>
  <c r="DJ352" i="3" s="1"/>
  <c r="CY352" i="3"/>
  <c r="CZ352" i="3"/>
  <c r="DB352" i="3" s="1"/>
  <c r="DA352" i="3"/>
  <c r="DC352" i="3"/>
  <c r="A353" i="3"/>
  <c r="Y353" i="3"/>
  <c r="CX353" i="3" s="1"/>
  <c r="CY353" i="3"/>
  <c r="CZ353" i="3"/>
  <c r="DA353" i="3"/>
  <c r="DB353" i="3"/>
  <c r="DC353" i="3"/>
  <c r="A354" i="3"/>
  <c r="Y354" i="3"/>
  <c r="CY354" i="3"/>
  <c r="CZ354" i="3"/>
  <c r="DA354" i="3"/>
  <c r="DB354" i="3"/>
  <c r="DC354" i="3"/>
  <c r="A355" i="3"/>
  <c r="Y355" i="3"/>
  <c r="CY355" i="3"/>
  <c r="CZ355" i="3"/>
  <c r="DB355" i="3" s="1"/>
  <c r="DA355" i="3"/>
  <c r="DC355" i="3"/>
  <c r="A356" i="3"/>
  <c r="Y356" i="3"/>
  <c r="CY356" i="3"/>
  <c r="CZ356" i="3"/>
  <c r="DB356" i="3" s="1"/>
  <c r="DA356" i="3"/>
  <c r="DC356" i="3"/>
  <c r="A357" i="3"/>
  <c r="Y357" i="3"/>
  <c r="CY357" i="3"/>
  <c r="CZ357" i="3"/>
  <c r="DA357" i="3"/>
  <c r="DB357" i="3"/>
  <c r="DC357" i="3"/>
  <c r="A358" i="3"/>
  <c r="Y358" i="3"/>
  <c r="CY358" i="3"/>
  <c r="CZ358" i="3"/>
  <c r="DB358" i="3" s="1"/>
  <c r="DA358" i="3"/>
  <c r="DC358" i="3"/>
  <c r="A359" i="3"/>
  <c r="Y359" i="3"/>
  <c r="CY359" i="3"/>
  <c r="CZ359" i="3"/>
  <c r="DB359" i="3" s="1"/>
  <c r="DA359" i="3"/>
  <c r="DC359" i="3"/>
  <c r="A360" i="3"/>
  <c r="Y360" i="3"/>
  <c r="CY360" i="3"/>
  <c r="CZ360" i="3"/>
  <c r="DB360" i="3" s="1"/>
  <c r="DA360" i="3"/>
  <c r="DC360" i="3"/>
  <c r="A361" i="3"/>
  <c r="Y361" i="3"/>
  <c r="CY361" i="3"/>
  <c r="CZ361" i="3"/>
  <c r="DB361" i="3" s="1"/>
  <c r="DA361" i="3"/>
  <c r="DC361" i="3"/>
  <c r="A362" i="3"/>
  <c r="Y362" i="3"/>
  <c r="CY362" i="3"/>
  <c r="CZ362" i="3"/>
  <c r="DA362" i="3"/>
  <c r="DB362" i="3"/>
  <c r="DC362" i="3"/>
  <c r="A363" i="3"/>
  <c r="Y363" i="3"/>
  <c r="CY363" i="3"/>
  <c r="CZ363" i="3"/>
  <c r="DB363" i="3" s="1"/>
  <c r="DA363" i="3"/>
  <c r="DC363" i="3"/>
  <c r="A364" i="3"/>
  <c r="Y364" i="3"/>
  <c r="CY364" i="3"/>
  <c r="CZ364" i="3"/>
  <c r="DB364" i="3" s="1"/>
  <c r="DA364" i="3"/>
  <c r="DC364" i="3"/>
  <c r="A365" i="3"/>
  <c r="Y365" i="3"/>
  <c r="CY365" i="3"/>
  <c r="CZ365" i="3"/>
  <c r="DB365" i="3" s="1"/>
  <c r="DA365" i="3"/>
  <c r="DC365" i="3"/>
  <c r="A366" i="3"/>
  <c r="Y366" i="3"/>
  <c r="CY366" i="3"/>
  <c r="CZ366" i="3"/>
  <c r="DB366" i="3" s="1"/>
  <c r="DA366" i="3"/>
  <c r="DC366" i="3"/>
  <c r="A367" i="3"/>
  <c r="Y367" i="3"/>
  <c r="CY367" i="3"/>
  <c r="CZ367" i="3"/>
  <c r="DB367" i="3" s="1"/>
  <c r="DA367" i="3"/>
  <c r="DC367" i="3"/>
  <c r="A368" i="3"/>
  <c r="Y368" i="3"/>
  <c r="CY368" i="3"/>
  <c r="CZ368" i="3"/>
  <c r="DB368" i="3" s="1"/>
  <c r="DA368" i="3"/>
  <c r="DC368" i="3"/>
  <c r="A369" i="3"/>
  <c r="Y369" i="3"/>
  <c r="CY369" i="3"/>
  <c r="CZ369" i="3"/>
  <c r="DB369" i="3" s="1"/>
  <c r="DA369" i="3"/>
  <c r="DC369" i="3"/>
  <c r="A370" i="3"/>
  <c r="Y370" i="3"/>
  <c r="CY370" i="3"/>
  <c r="CZ370" i="3"/>
  <c r="DB370" i="3" s="1"/>
  <c r="DA370" i="3"/>
  <c r="DC370" i="3"/>
  <c r="A371" i="3"/>
  <c r="Y371" i="3"/>
  <c r="CY371" i="3"/>
  <c r="CZ371" i="3"/>
  <c r="DA371" i="3"/>
  <c r="DB371" i="3"/>
  <c r="DC371" i="3"/>
  <c r="A372" i="3"/>
  <c r="Y372" i="3"/>
  <c r="CY372" i="3"/>
  <c r="CZ372" i="3"/>
  <c r="DB372" i="3" s="1"/>
  <c r="DA372" i="3"/>
  <c r="DC372" i="3"/>
  <c r="A373" i="3"/>
  <c r="Y373" i="3"/>
  <c r="CY373" i="3"/>
  <c r="CZ373" i="3"/>
  <c r="DB373" i="3" s="1"/>
  <c r="DA373" i="3"/>
  <c r="DC373" i="3"/>
  <c r="A374" i="3"/>
  <c r="Y374" i="3"/>
  <c r="CY374" i="3"/>
  <c r="CZ374" i="3"/>
  <c r="DA374" i="3"/>
  <c r="DB374" i="3"/>
  <c r="DC374" i="3"/>
  <c r="A375" i="3"/>
  <c r="Y375" i="3"/>
  <c r="CY375" i="3"/>
  <c r="CZ375" i="3"/>
  <c r="DB375" i="3" s="1"/>
  <c r="DA375" i="3"/>
  <c r="DC375" i="3"/>
  <c r="A376" i="3"/>
  <c r="Y376" i="3"/>
  <c r="CY376" i="3"/>
  <c r="CZ376" i="3"/>
  <c r="DB376" i="3" s="1"/>
  <c r="DA376" i="3"/>
  <c r="DC376" i="3"/>
  <c r="A377" i="3"/>
  <c r="Y377" i="3"/>
  <c r="CX377" i="3"/>
  <c r="DG377" i="3" s="1"/>
  <c r="CY377" i="3"/>
  <c r="CZ377" i="3"/>
  <c r="DB377" i="3" s="1"/>
  <c r="DA377" i="3"/>
  <c r="DC377" i="3"/>
  <c r="A378" i="3"/>
  <c r="Y378" i="3"/>
  <c r="CX378" i="3" s="1"/>
  <c r="CY378" i="3"/>
  <c r="CZ378" i="3"/>
  <c r="DB378" i="3" s="1"/>
  <c r="DA378" i="3"/>
  <c r="DC378" i="3"/>
  <c r="A379" i="3"/>
  <c r="Y379" i="3"/>
  <c r="CX379" i="3"/>
  <c r="DF379" i="3" s="1"/>
  <c r="CY379" i="3"/>
  <c r="CZ379" i="3"/>
  <c r="DB379" i="3" s="1"/>
  <c r="DA379" i="3"/>
  <c r="DC379" i="3"/>
  <c r="DI379" i="3"/>
  <c r="A380" i="3"/>
  <c r="Y380" i="3"/>
  <c r="CX380" i="3" s="1"/>
  <c r="CY380" i="3"/>
  <c r="CZ380" i="3"/>
  <c r="DB380" i="3" s="1"/>
  <c r="DA380" i="3"/>
  <c r="DC380" i="3"/>
  <c r="DF380" i="3"/>
  <c r="DG380" i="3"/>
  <c r="DJ380" i="3" s="1"/>
  <c r="A381" i="3"/>
  <c r="Y381" i="3"/>
  <c r="CX381" i="3" s="1"/>
  <c r="CY381" i="3"/>
  <c r="CZ381" i="3"/>
  <c r="DB381" i="3" s="1"/>
  <c r="DA381" i="3"/>
  <c r="DC381" i="3"/>
  <c r="A382" i="3"/>
  <c r="Y382" i="3"/>
  <c r="CX382" i="3"/>
  <c r="CY382" i="3"/>
  <c r="CZ382" i="3"/>
  <c r="DB382" i="3" s="1"/>
  <c r="DA382" i="3"/>
  <c r="DC382" i="3"/>
  <c r="A383" i="3"/>
  <c r="Y383" i="3"/>
  <c r="CX383" i="3"/>
  <c r="DI383" i="3" s="1"/>
  <c r="CY383" i="3"/>
  <c r="CZ383" i="3"/>
  <c r="DA383" i="3"/>
  <c r="DB383" i="3"/>
  <c r="DC383" i="3"/>
  <c r="A384" i="3"/>
  <c r="Y384" i="3"/>
  <c r="CX384" i="3"/>
  <c r="DH384" i="3" s="1"/>
  <c r="CY384" i="3"/>
  <c r="CZ384" i="3"/>
  <c r="DB384" i="3" s="1"/>
  <c r="DA384" i="3"/>
  <c r="DC384" i="3"/>
  <c r="A385" i="3"/>
  <c r="Y385" i="3"/>
  <c r="CX385" i="3" s="1"/>
  <c r="CY385" i="3"/>
  <c r="CZ385" i="3"/>
  <c r="DB385" i="3" s="1"/>
  <c r="DA385" i="3"/>
  <c r="DC385" i="3"/>
  <c r="A386" i="3"/>
  <c r="Y386" i="3"/>
  <c r="CX386" i="3" s="1"/>
  <c r="CY386" i="3"/>
  <c r="CZ386" i="3"/>
  <c r="DB386" i="3" s="1"/>
  <c r="DA386" i="3"/>
  <c r="DC386" i="3"/>
  <c r="A387" i="3"/>
  <c r="Y387" i="3"/>
  <c r="CX387" i="3" s="1"/>
  <c r="CY387" i="3"/>
  <c r="CZ387" i="3"/>
  <c r="DB387" i="3" s="1"/>
  <c r="DA387" i="3"/>
  <c r="DC387" i="3"/>
  <c r="A388" i="3"/>
  <c r="Y388" i="3"/>
  <c r="CX388" i="3" s="1"/>
  <c r="DG388" i="3" s="1"/>
  <c r="CY388" i="3"/>
  <c r="CZ388" i="3"/>
  <c r="DB388" i="3" s="1"/>
  <c r="DA388" i="3"/>
  <c r="DC388" i="3"/>
  <c r="DF388" i="3"/>
  <c r="DJ388" i="3" s="1"/>
  <c r="A389" i="3"/>
  <c r="Y389" i="3"/>
  <c r="CX389" i="3" s="1"/>
  <c r="CY389" i="3"/>
  <c r="CZ389" i="3"/>
  <c r="DB389" i="3" s="1"/>
  <c r="DA389" i="3"/>
  <c r="DC389" i="3"/>
  <c r="A390" i="3"/>
  <c r="Y390" i="3"/>
  <c r="CX390" i="3" s="1"/>
  <c r="CY390" i="3"/>
  <c r="CZ390" i="3"/>
  <c r="DB390" i="3" s="1"/>
  <c r="DA390" i="3"/>
  <c r="DC390" i="3"/>
  <c r="A391" i="3"/>
  <c r="Y391" i="3"/>
  <c r="CX391" i="3"/>
  <c r="DI391" i="3" s="1"/>
  <c r="CY391" i="3"/>
  <c r="CZ391" i="3"/>
  <c r="DA391" i="3"/>
  <c r="DB391" i="3"/>
  <c r="DC391" i="3"/>
  <c r="A392" i="3"/>
  <c r="Y392" i="3"/>
  <c r="CX392" i="3" s="1"/>
  <c r="CY392" i="3"/>
  <c r="CZ392" i="3"/>
  <c r="DB392" i="3" s="1"/>
  <c r="DA392" i="3"/>
  <c r="DC392" i="3"/>
  <c r="A393" i="3"/>
  <c r="Y393" i="3"/>
  <c r="CX393" i="3"/>
  <c r="DG393" i="3" s="1"/>
  <c r="CY393" i="3"/>
  <c r="CZ393" i="3"/>
  <c r="DB393" i="3" s="1"/>
  <c r="DA393" i="3"/>
  <c r="DC393" i="3"/>
  <c r="DF393" i="3"/>
  <c r="DH393" i="3"/>
  <c r="DJ393" i="3"/>
  <c r="A394" i="3"/>
  <c r="Y394" i="3"/>
  <c r="CX394" i="3" s="1"/>
  <c r="DI394" i="3" s="1"/>
  <c r="CY394" i="3"/>
  <c r="CZ394" i="3"/>
  <c r="DA394" i="3"/>
  <c r="DB394" i="3"/>
  <c r="DC394" i="3"/>
  <c r="A395" i="3"/>
  <c r="Y395" i="3"/>
  <c r="CX395" i="3"/>
  <c r="DG395" i="3" s="1"/>
  <c r="DJ395" i="3" s="1"/>
  <c r="CY395" i="3"/>
  <c r="CZ395" i="3"/>
  <c r="DB395" i="3" s="1"/>
  <c r="DA395" i="3"/>
  <c r="DC395" i="3"/>
  <c r="A396" i="3"/>
  <c r="Y396" i="3"/>
  <c r="CX396" i="3" s="1"/>
  <c r="DH396" i="3" s="1"/>
  <c r="CY396" i="3"/>
  <c r="CZ396" i="3"/>
  <c r="DA396" i="3"/>
  <c r="DB396" i="3"/>
  <c r="DC396" i="3"/>
  <c r="DI396" i="3"/>
  <c r="A397" i="3"/>
  <c r="Y397" i="3"/>
  <c r="CX397" i="3"/>
  <c r="DG397" i="3" s="1"/>
  <c r="DJ397" i="3" s="1"/>
  <c r="CY397" i="3"/>
  <c r="CZ397" i="3"/>
  <c r="DB397" i="3" s="1"/>
  <c r="DA397" i="3"/>
  <c r="DC397" i="3"/>
  <c r="A398" i="3"/>
  <c r="Y398" i="3"/>
  <c r="CX398" i="3" s="1"/>
  <c r="DI398" i="3" s="1"/>
  <c r="CY398" i="3"/>
  <c r="CZ398" i="3"/>
  <c r="DB398" i="3" s="1"/>
  <c r="DA398" i="3"/>
  <c r="DC398" i="3"/>
  <c r="A399" i="3"/>
  <c r="Y399" i="3"/>
  <c r="CX399" i="3"/>
  <c r="DI399" i="3" s="1"/>
  <c r="CY399" i="3"/>
  <c r="CZ399" i="3"/>
  <c r="DB399" i="3" s="1"/>
  <c r="DA399" i="3"/>
  <c r="DC399" i="3"/>
  <c r="DH399" i="3"/>
  <c r="A400" i="3"/>
  <c r="Y400" i="3"/>
  <c r="CX400" i="3"/>
  <c r="CY400" i="3"/>
  <c r="CZ400" i="3"/>
  <c r="DB400" i="3" s="1"/>
  <c r="DA400" i="3"/>
  <c r="DC400" i="3"/>
  <c r="DI400" i="3"/>
  <c r="A401" i="3"/>
  <c r="Y401" i="3"/>
  <c r="CX401" i="3"/>
  <c r="DG401" i="3" s="1"/>
  <c r="CY401" i="3"/>
  <c r="CZ401" i="3"/>
  <c r="DA401" i="3"/>
  <c r="DB401" i="3"/>
  <c r="DC401" i="3"/>
  <c r="A402" i="3"/>
  <c r="Y402" i="3"/>
  <c r="CX402" i="3"/>
  <c r="CY402" i="3"/>
  <c r="CZ402" i="3"/>
  <c r="DA402" i="3"/>
  <c r="DB402" i="3"/>
  <c r="DC402" i="3"/>
  <c r="A403" i="3"/>
  <c r="Y403" i="3"/>
  <c r="CX403" i="3"/>
  <c r="DF403" i="3" s="1"/>
  <c r="DJ403" i="3" s="1"/>
  <c r="CY403" i="3"/>
  <c r="CZ403" i="3"/>
  <c r="DA403" i="3"/>
  <c r="DB403" i="3"/>
  <c r="DC403" i="3"/>
  <c r="A404" i="3"/>
  <c r="Y404" i="3"/>
  <c r="CX404" i="3" s="1"/>
  <c r="CY404" i="3"/>
  <c r="CZ404" i="3"/>
  <c r="DB404" i="3" s="1"/>
  <c r="DA404" i="3"/>
  <c r="DC404" i="3"/>
  <c r="A405" i="3"/>
  <c r="Y405" i="3"/>
  <c r="CX405" i="3" s="1"/>
  <c r="CY405" i="3"/>
  <c r="CZ405" i="3"/>
  <c r="DB405" i="3" s="1"/>
  <c r="DA405" i="3"/>
  <c r="DC405" i="3"/>
  <c r="A406" i="3"/>
  <c r="Y406" i="3"/>
  <c r="CX406" i="3" s="1"/>
  <c r="CY406" i="3"/>
  <c r="CZ406" i="3"/>
  <c r="DB406" i="3" s="1"/>
  <c r="DA406" i="3"/>
  <c r="DC406" i="3"/>
  <c r="DH406" i="3"/>
  <c r="A407" i="3"/>
  <c r="Y407" i="3"/>
  <c r="CX407" i="3"/>
  <c r="DI407" i="3" s="1"/>
  <c r="CY407" i="3"/>
  <c r="CZ407" i="3"/>
  <c r="DB407" i="3" s="1"/>
  <c r="DA407" i="3"/>
  <c r="DC407" i="3"/>
  <c r="DH407" i="3"/>
  <c r="A408" i="3"/>
  <c r="Y408" i="3"/>
  <c r="CX408" i="3" s="1"/>
  <c r="CY408" i="3"/>
  <c r="CZ408" i="3"/>
  <c r="DB408" i="3" s="1"/>
  <c r="DA408" i="3"/>
  <c r="DC408" i="3"/>
  <c r="A409" i="3"/>
  <c r="Y409" i="3"/>
  <c r="CX409" i="3"/>
  <c r="DG409" i="3" s="1"/>
  <c r="CY409" i="3"/>
  <c r="CZ409" i="3"/>
  <c r="DB409" i="3" s="1"/>
  <c r="DA409" i="3"/>
  <c r="DC409" i="3"/>
  <c r="A410" i="3"/>
  <c r="Y410" i="3"/>
  <c r="CX410" i="3" s="1"/>
  <c r="CY410" i="3"/>
  <c r="CZ410" i="3"/>
  <c r="DA410" i="3"/>
  <c r="DB410" i="3"/>
  <c r="DC410" i="3"/>
  <c r="A411" i="3"/>
  <c r="Y411" i="3"/>
  <c r="CX411" i="3"/>
  <c r="CY411" i="3"/>
  <c r="CZ411" i="3"/>
  <c r="DB411" i="3" s="1"/>
  <c r="DA411" i="3"/>
  <c r="DC411" i="3"/>
  <c r="A412" i="3"/>
  <c r="Y412" i="3"/>
  <c r="CX412" i="3" s="1"/>
  <c r="DH412" i="3" s="1"/>
  <c r="CY412" i="3"/>
  <c r="CZ412" i="3"/>
  <c r="DB412" i="3" s="1"/>
  <c r="DA412" i="3"/>
  <c r="DC412" i="3"/>
  <c r="DF412" i="3"/>
  <c r="DG412" i="3"/>
  <c r="DJ412" i="3" s="1"/>
  <c r="DI412" i="3"/>
  <c r="A413" i="3"/>
  <c r="Y413" i="3"/>
  <c r="CY413" i="3"/>
  <c r="CZ413" i="3"/>
  <c r="DB413" i="3" s="1"/>
  <c r="DA413" i="3"/>
  <c r="DC413" i="3"/>
  <c r="A414" i="3"/>
  <c r="Y414" i="3"/>
  <c r="CY414" i="3"/>
  <c r="CZ414" i="3"/>
  <c r="DB414" i="3" s="1"/>
  <c r="DA414" i="3"/>
  <c r="DC414" i="3"/>
  <c r="A415" i="3"/>
  <c r="Y415" i="3"/>
  <c r="CY415" i="3"/>
  <c r="CZ415" i="3"/>
  <c r="DB415" i="3" s="1"/>
  <c r="DA415" i="3"/>
  <c r="DC415" i="3"/>
  <c r="A416" i="3"/>
  <c r="Y416" i="3"/>
  <c r="CY416" i="3"/>
  <c r="CZ416" i="3"/>
  <c r="DB416" i="3" s="1"/>
  <c r="DA416" i="3"/>
  <c r="DC416" i="3"/>
  <c r="A417" i="3"/>
  <c r="Y417" i="3"/>
  <c r="CY417" i="3"/>
  <c r="CZ417" i="3"/>
  <c r="DB417" i="3" s="1"/>
  <c r="DA417" i="3"/>
  <c r="DC417" i="3"/>
  <c r="A418" i="3"/>
  <c r="Y418" i="3"/>
  <c r="CY418" i="3"/>
  <c r="CZ418" i="3"/>
  <c r="DB418" i="3" s="1"/>
  <c r="DA418" i="3"/>
  <c r="DC418" i="3"/>
  <c r="A419" i="3"/>
  <c r="Y419" i="3"/>
  <c r="CY419" i="3"/>
  <c r="CZ419" i="3"/>
  <c r="DB419" i="3" s="1"/>
  <c r="DA419" i="3"/>
  <c r="DC419" i="3"/>
  <c r="A420" i="3"/>
  <c r="Y420" i="3"/>
  <c r="CY420" i="3"/>
  <c r="CZ420" i="3"/>
  <c r="DB420" i="3" s="1"/>
  <c r="DA420" i="3"/>
  <c r="DC420" i="3"/>
  <c r="A421" i="3"/>
  <c r="Y421" i="3"/>
  <c r="CY421" i="3"/>
  <c r="CZ421" i="3"/>
  <c r="DB421" i="3" s="1"/>
  <c r="DA421" i="3"/>
  <c r="DC421" i="3"/>
  <c r="A422" i="3"/>
  <c r="Y422" i="3"/>
  <c r="CY422" i="3"/>
  <c r="CZ422" i="3"/>
  <c r="DB422" i="3" s="1"/>
  <c r="DA422" i="3"/>
  <c r="DC422" i="3"/>
  <c r="A423" i="3"/>
  <c r="Y423" i="3"/>
  <c r="CY423" i="3"/>
  <c r="CZ423" i="3"/>
  <c r="DA423" i="3"/>
  <c r="DB423" i="3"/>
  <c r="DC423" i="3"/>
  <c r="A424" i="3"/>
  <c r="Y424" i="3"/>
  <c r="CY424" i="3"/>
  <c r="CZ424" i="3"/>
  <c r="DB424" i="3" s="1"/>
  <c r="DA424" i="3"/>
  <c r="DC424" i="3"/>
  <c r="A425" i="3"/>
  <c r="Y425" i="3"/>
  <c r="CY425" i="3"/>
  <c r="CZ425" i="3"/>
  <c r="DB425" i="3" s="1"/>
  <c r="DA425" i="3"/>
  <c r="DC425" i="3"/>
  <c r="A426" i="3"/>
  <c r="Y426" i="3"/>
  <c r="CY426" i="3"/>
  <c r="CZ426" i="3"/>
  <c r="DA426" i="3"/>
  <c r="DB426" i="3"/>
  <c r="DC426" i="3"/>
  <c r="A427" i="3"/>
  <c r="Y427" i="3"/>
  <c r="CY427" i="3"/>
  <c r="CZ427" i="3"/>
  <c r="DA427" i="3"/>
  <c r="DB427" i="3"/>
  <c r="DC427" i="3"/>
  <c r="A428" i="3"/>
  <c r="Y428" i="3"/>
  <c r="CY428" i="3"/>
  <c r="CZ428" i="3"/>
  <c r="DB428" i="3" s="1"/>
  <c r="DA428" i="3"/>
  <c r="DC428" i="3"/>
  <c r="A429" i="3"/>
  <c r="Y429" i="3"/>
  <c r="CY429" i="3"/>
  <c r="CZ429" i="3"/>
  <c r="DA429" i="3"/>
  <c r="DB429" i="3"/>
  <c r="DC429" i="3"/>
  <c r="A430" i="3"/>
  <c r="Y430" i="3"/>
  <c r="CY430" i="3"/>
  <c r="CZ430" i="3"/>
  <c r="DA430" i="3"/>
  <c r="DB430" i="3"/>
  <c r="DC430" i="3"/>
  <c r="A431" i="3"/>
  <c r="Y431" i="3"/>
  <c r="CY431" i="3"/>
  <c r="CZ431" i="3"/>
  <c r="DB431" i="3" s="1"/>
  <c r="DA431" i="3"/>
  <c r="DC431" i="3"/>
  <c r="A432" i="3"/>
  <c r="Y432" i="3"/>
  <c r="CY432" i="3"/>
  <c r="CZ432" i="3"/>
  <c r="DB432" i="3" s="1"/>
  <c r="DA432" i="3"/>
  <c r="DC432" i="3"/>
  <c r="A433" i="3"/>
  <c r="Y433" i="3"/>
  <c r="CY433" i="3"/>
  <c r="CZ433" i="3"/>
  <c r="DA433" i="3"/>
  <c r="DB433" i="3"/>
  <c r="DC433" i="3"/>
  <c r="A434" i="3"/>
  <c r="Y434" i="3"/>
  <c r="CY434" i="3"/>
  <c r="CZ434" i="3"/>
  <c r="DB434" i="3" s="1"/>
  <c r="DA434" i="3"/>
  <c r="DC434" i="3"/>
  <c r="A435" i="3"/>
  <c r="Y435" i="3"/>
  <c r="CY435" i="3"/>
  <c r="CZ435" i="3"/>
  <c r="DB435" i="3" s="1"/>
  <c r="DA435" i="3"/>
  <c r="DC435" i="3"/>
  <c r="A436" i="3"/>
  <c r="Y436" i="3"/>
  <c r="CY436" i="3"/>
  <c r="CZ436" i="3"/>
  <c r="DB436" i="3" s="1"/>
  <c r="DA436" i="3"/>
  <c r="DC436" i="3"/>
  <c r="A437" i="3"/>
  <c r="Y437" i="3"/>
  <c r="CY437" i="3"/>
  <c r="CZ437" i="3"/>
  <c r="DB437" i="3" s="1"/>
  <c r="DA437" i="3"/>
  <c r="DC437" i="3"/>
  <c r="A438" i="3"/>
  <c r="Y438" i="3"/>
  <c r="CY438" i="3"/>
  <c r="CZ438" i="3"/>
  <c r="DB438" i="3" s="1"/>
  <c r="DA438" i="3"/>
  <c r="DC438" i="3"/>
  <c r="A439" i="3"/>
  <c r="Y439" i="3"/>
  <c r="CY439" i="3"/>
  <c r="CZ439" i="3"/>
  <c r="DA439" i="3"/>
  <c r="DB439" i="3"/>
  <c r="DC439" i="3"/>
  <c r="A440" i="3"/>
  <c r="Y440" i="3"/>
  <c r="CY440" i="3"/>
  <c r="CZ440" i="3"/>
  <c r="DB440" i="3" s="1"/>
  <c r="DA440" i="3"/>
  <c r="DC440" i="3"/>
  <c r="A441" i="3"/>
  <c r="Y441" i="3"/>
  <c r="CY441" i="3"/>
  <c r="CZ441" i="3"/>
  <c r="DA441" i="3"/>
  <c r="DB441" i="3"/>
  <c r="DC441" i="3"/>
  <c r="A442" i="3"/>
  <c r="Y442" i="3"/>
  <c r="CY442" i="3"/>
  <c r="CZ442" i="3"/>
  <c r="DA442" i="3"/>
  <c r="DB442" i="3"/>
  <c r="DC442" i="3"/>
  <c r="A443" i="3"/>
  <c r="Y443" i="3"/>
  <c r="CY443" i="3"/>
  <c r="CZ443" i="3"/>
  <c r="DB443" i="3" s="1"/>
  <c r="DA443" i="3"/>
  <c r="DC443" i="3"/>
  <c r="A444" i="3"/>
  <c r="Y444" i="3"/>
  <c r="CY444" i="3"/>
  <c r="CZ444" i="3"/>
  <c r="DB444" i="3" s="1"/>
  <c r="DA444" i="3"/>
  <c r="DC444" i="3"/>
  <c r="A445" i="3"/>
  <c r="Y445" i="3"/>
  <c r="CY445" i="3"/>
  <c r="CZ445" i="3"/>
  <c r="DA445" i="3"/>
  <c r="DB445" i="3"/>
  <c r="DC445" i="3"/>
  <c r="A446" i="3"/>
  <c r="Y446" i="3"/>
  <c r="CY446" i="3"/>
  <c r="CZ446" i="3"/>
  <c r="DB446" i="3" s="1"/>
  <c r="DA446" i="3"/>
  <c r="DC446" i="3"/>
  <c r="A447" i="3"/>
  <c r="Y447" i="3"/>
  <c r="CY447" i="3"/>
  <c r="CZ447" i="3"/>
  <c r="DB447" i="3" s="1"/>
  <c r="DA447" i="3"/>
  <c r="DC447" i="3"/>
  <c r="A448" i="3"/>
  <c r="Y448" i="3"/>
  <c r="CY448" i="3"/>
  <c r="CZ448" i="3"/>
  <c r="DB448" i="3" s="1"/>
  <c r="DA448" i="3"/>
  <c r="DC448" i="3"/>
  <c r="A449" i="3"/>
  <c r="Y449" i="3"/>
  <c r="CY449" i="3"/>
  <c r="CZ449" i="3"/>
  <c r="DA449" i="3"/>
  <c r="DB449" i="3"/>
  <c r="DC449" i="3"/>
  <c r="A450" i="3"/>
  <c r="Y450" i="3"/>
  <c r="CY450" i="3"/>
  <c r="CZ450" i="3"/>
  <c r="DA450" i="3"/>
  <c r="DB450" i="3"/>
  <c r="DC450" i="3"/>
  <c r="A451" i="3"/>
  <c r="Y451" i="3"/>
  <c r="CY451" i="3"/>
  <c r="CZ451" i="3"/>
  <c r="DB451" i="3" s="1"/>
  <c r="DA451" i="3"/>
  <c r="DC451" i="3"/>
  <c r="A452" i="3"/>
  <c r="Y452" i="3"/>
  <c r="CY452" i="3"/>
  <c r="CZ452" i="3"/>
  <c r="DB452" i="3" s="1"/>
  <c r="DA452" i="3"/>
  <c r="DC452" i="3"/>
  <c r="A453" i="3"/>
  <c r="Y453" i="3"/>
  <c r="CY453" i="3"/>
  <c r="CZ453" i="3"/>
  <c r="DA453" i="3"/>
  <c r="DB453" i="3"/>
  <c r="DC453" i="3"/>
  <c r="A454" i="3"/>
  <c r="Y454" i="3"/>
  <c r="CY454" i="3"/>
  <c r="CZ454" i="3"/>
  <c r="DB454" i="3" s="1"/>
  <c r="DA454" i="3"/>
  <c r="DC45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5" i="1"/>
  <c r="D25" i="1"/>
  <c r="I25" i="1"/>
  <c r="K25" i="1"/>
  <c r="S25" i="1"/>
  <c r="K38" i="6" s="1"/>
  <c r="AC25" i="1"/>
  <c r="AE25" i="1"/>
  <c r="AD25" i="1" s="1"/>
  <c r="AF25" i="1"/>
  <c r="AG25" i="1"/>
  <c r="CU25" i="1" s="1"/>
  <c r="T25" i="1" s="1"/>
  <c r="AH25" i="1"/>
  <c r="CV25" i="1" s="1"/>
  <c r="U25" i="1" s="1"/>
  <c r="AI25" i="1"/>
  <c r="CW25" i="1" s="1"/>
  <c r="V25" i="1" s="1"/>
  <c r="AJ25" i="1"/>
  <c r="CQ25" i="1"/>
  <c r="P25" i="1" s="1"/>
  <c r="CS25" i="1"/>
  <c r="R25" i="1" s="1"/>
  <c r="CT25" i="1"/>
  <c r="CX25" i="1"/>
  <c r="FR25" i="1"/>
  <c r="GL25" i="1"/>
  <c r="GO25" i="1"/>
  <c r="GP25" i="1"/>
  <c r="GV25" i="1"/>
  <c r="HC25" i="1" s="1"/>
  <c r="C26" i="1"/>
  <c r="D26" i="1"/>
  <c r="I26" i="1"/>
  <c r="E43" i="6" s="1"/>
  <c r="K26" i="1"/>
  <c r="AC26" i="1"/>
  <c r="AE26" i="1"/>
  <c r="AF26" i="1"/>
  <c r="AG26" i="1"/>
  <c r="AH26" i="1"/>
  <c r="CV26" i="1" s="1"/>
  <c r="AI26" i="1"/>
  <c r="CW26" i="1" s="1"/>
  <c r="AJ26" i="1"/>
  <c r="CS26" i="1"/>
  <c r="R26" i="1" s="1"/>
  <c r="K46" i="6" s="1"/>
  <c r="CU26" i="1"/>
  <c r="CX26" i="1"/>
  <c r="FR26" i="1"/>
  <c r="GL26" i="1"/>
  <c r="GO26" i="1"/>
  <c r="GP26" i="1"/>
  <c r="GV26" i="1"/>
  <c r="HC26" i="1"/>
  <c r="AC27" i="1"/>
  <c r="AE27" i="1"/>
  <c r="AD27" i="1" s="1"/>
  <c r="AF27" i="1"/>
  <c r="AG27" i="1"/>
  <c r="CU27" i="1" s="1"/>
  <c r="AH27" i="1"/>
  <c r="CV27" i="1" s="1"/>
  <c r="AI27" i="1"/>
  <c r="CW27" i="1" s="1"/>
  <c r="AJ27" i="1"/>
  <c r="CX27" i="1" s="1"/>
  <c r="CQ27" i="1"/>
  <c r="CS27" i="1"/>
  <c r="FR27" i="1"/>
  <c r="GL27" i="1"/>
  <c r="GO27" i="1"/>
  <c r="GP27" i="1"/>
  <c r="GV27" i="1"/>
  <c r="HC27" i="1" s="1"/>
  <c r="K28" i="1"/>
  <c r="AC28" i="1"/>
  <c r="AE28" i="1"/>
  <c r="CS28" i="1" s="1"/>
  <c r="AF28" i="1"/>
  <c r="AG28" i="1"/>
  <c r="CU28" i="1" s="1"/>
  <c r="AH28" i="1"/>
  <c r="CV28" i="1" s="1"/>
  <c r="AI28" i="1"/>
  <c r="CW28" i="1" s="1"/>
  <c r="AJ28" i="1"/>
  <c r="CX28" i="1" s="1"/>
  <c r="CR28" i="1"/>
  <c r="CT28" i="1"/>
  <c r="FR28" i="1"/>
  <c r="GL28" i="1"/>
  <c r="GO28" i="1"/>
  <c r="GP28" i="1"/>
  <c r="GV28" i="1"/>
  <c r="HC28" i="1" s="1"/>
  <c r="C29" i="1"/>
  <c r="D29" i="1"/>
  <c r="I29" i="1"/>
  <c r="E55" i="6" s="1"/>
  <c r="K29" i="1"/>
  <c r="AC29" i="1"/>
  <c r="AE29" i="1"/>
  <c r="AF29" i="1"/>
  <c r="CT29" i="1" s="1"/>
  <c r="S29" i="1" s="1"/>
  <c r="K56" i="6" s="1"/>
  <c r="AG29" i="1"/>
  <c r="AH29" i="1"/>
  <c r="CV29" i="1" s="1"/>
  <c r="AI29" i="1"/>
  <c r="CW29" i="1" s="1"/>
  <c r="AJ29" i="1"/>
  <c r="CQ29" i="1"/>
  <c r="CS29" i="1"/>
  <c r="R29" i="1" s="1"/>
  <c r="K58" i="6" s="1"/>
  <c r="CU29" i="1"/>
  <c r="CX29" i="1"/>
  <c r="W29" i="1" s="1"/>
  <c r="FR29" i="1"/>
  <c r="GL29" i="1"/>
  <c r="GO29" i="1"/>
  <c r="GP29" i="1"/>
  <c r="GV29" i="1"/>
  <c r="HC29" i="1" s="1"/>
  <c r="GX29" i="1" s="1"/>
  <c r="C30" i="1"/>
  <c r="D30" i="1"/>
  <c r="I30" i="1"/>
  <c r="E63" i="6" s="1"/>
  <c r="K30" i="1"/>
  <c r="AC30" i="1"/>
  <c r="AB30" i="1" s="1"/>
  <c r="AD30" i="1"/>
  <c r="AE30" i="1"/>
  <c r="AF30" i="1"/>
  <c r="AG30" i="1"/>
  <c r="CU30" i="1" s="1"/>
  <c r="AH30" i="1"/>
  <c r="CV30" i="1" s="1"/>
  <c r="AI30" i="1"/>
  <c r="AJ30" i="1"/>
  <c r="CX30" i="1" s="1"/>
  <c r="CQ30" i="1"/>
  <c r="P30" i="1" s="1"/>
  <c r="CR30" i="1"/>
  <c r="CS30" i="1"/>
  <c r="CT30" i="1"/>
  <c r="CW30" i="1"/>
  <c r="V30" i="1" s="1"/>
  <c r="FR30" i="1"/>
  <c r="GL30" i="1"/>
  <c r="GO30" i="1"/>
  <c r="GP30" i="1"/>
  <c r="GV30" i="1"/>
  <c r="HC30" i="1" s="1"/>
  <c r="C31" i="1"/>
  <c r="D31" i="1"/>
  <c r="I31" i="1"/>
  <c r="K31" i="1"/>
  <c r="AC31" i="1"/>
  <c r="AE31" i="1"/>
  <c r="AD31" i="1" s="1"/>
  <c r="AF31" i="1"/>
  <c r="AG31" i="1"/>
  <c r="CU31" i="1" s="1"/>
  <c r="T31" i="1" s="1"/>
  <c r="AH31" i="1"/>
  <c r="AI31" i="1"/>
  <c r="CW31" i="1" s="1"/>
  <c r="V31" i="1" s="1"/>
  <c r="AJ31" i="1"/>
  <c r="CQ31" i="1"/>
  <c r="P31" i="1" s="1"/>
  <c r="CS31" i="1"/>
  <c r="CT31" i="1"/>
  <c r="CV31" i="1"/>
  <c r="U31" i="1" s="1"/>
  <c r="CX31" i="1"/>
  <c r="W31" i="1" s="1"/>
  <c r="FR31" i="1"/>
  <c r="GL31" i="1"/>
  <c r="GO31" i="1"/>
  <c r="GP31" i="1"/>
  <c r="GV31" i="1"/>
  <c r="HC31" i="1" s="1"/>
  <c r="GX31" i="1" s="1"/>
  <c r="AC32" i="1"/>
  <c r="AD32" i="1"/>
  <c r="AE32" i="1"/>
  <c r="CS32" i="1" s="1"/>
  <c r="AF32" i="1"/>
  <c r="AG32" i="1"/>
  <c r="CU32" i="1" s="1"/>
  <c r="AH32" i="1"/>
  <c r="CV32" i="1" s="1"/>
  <c r="AI32" i="1"/>
  <c r="CW32" i="1" s="1"/>
  <c r="AJ32" i="1"/>
  <c r="CQ32" i="1"/>
  <c r="CR32" i="1"/>
  <c r="CT32" i="1"/>
  <c r="CX32" i="1"/>
  <c r="FR32" i="1"/>
  <c r="GL32" i="1"/>
  <c r="GO32" i="1"/>
  <c r="GP32" i="1"/>
  <c r="GV32" i="1"/>
  <c r="HC32" i="1" s="1"/>
  <c r="AC33" i="1"/>
  <c r="AD33" i="1"/>
  <c r="AE33" i="1"/>
  <c r="AF33" i="1"/>
  <c r="AG33" i="1"/>
  <c r="CU33" i="1" s="1"/>
  <c r="T33" i="1" s="1"/>
  <c r="AH33" i="1"/>
  <c r="CV33" i="1" s="1"/>
  <c r="U33" i="1" s="1"/>
  <c r="L83" i="6" s="1"/>
  <c r="Q83" i="6" s="1"/>
  <c r="AI33" i="1"/>
  <c r="AJ33" i="1"/>
  <c r="CR33" i="1"/>
  <c r="Q33" i="1" s="1"/>
  <c r="K81" i="6" s="1"/>
  <c r="J83" i="6" s="1"/>
  <c r="P83" i="6" s="1"/>
  <c r="CS33" i="1"/>
  <c r="R33" i="1" s="1"/>
  <c r="K82" i="6" s="1"/>
  <c r="CW33" i="1"/>
  <c r="V33" i="1" s="1"/>
  <c r="CX33" i="1"/>
  <c r="W33" i="1" s="1"/>
  <c r="FR33" i="1"/>
  <c r="GL33" i="1"/>
  <c r="GO33" i="1"/>
  <c r="GP33" i="1"/>
  <c r="GV33" i="1"/>
  <c r="HC33" i="1" s="1"/>
  <c r="GX33" i="1" s="1"/>
  <c r="C35" i="1"/>
  <c r="D35" i="1"/>
  <c r="I35" i="1"/>
  <c r="K35" i="1"/>
  <c r="AC35" i="1"/>
  <c r="AE35" i="1"/>
  <c r="CR35" i="1" s="1"/>
  <c r="Q35" i="1" s="1"/>
  <c r="K89" i="6" s="1"/>
  <c r="AF35" i="1"/>
  <c r="AG35" i="1"/>
  <c r="AH35" i="1"/>
  <c r="AI35" i="1"/>
  <c r="CW35" i="1" s="1"/>
  <c r="V35" i="1" s="1"/>
  <c r="AJ35" i="1"/>
  <c r="CX35" i="1" s="1"/>
  <c r="W35" i="1" s="1"/>
  <c r="CT35" i="1"/>
  <c r="S35" i="1" s="1"/>
  <c r="K88" i="6" s="1"/>
  <c r="CU35" i="1"/>
  <c r="T35" i="1" s="1"/>
  <c r="CV35" i="1"/>
  <c r="U35" i="1" s="1"/>
  <c r="FR35" i="1"/>
  <c r="GL35" i="1"/>
  <c r="GO35" i="1"/>
  <c r="GP35" i="1"/>
  <c r="GV35" i="1"/>
  <c r="HC35" i="1" s="1"/>
  <c r="GX35" i="1" s="1"/>
  <c r="K36" i="1"/>
  <c r="AC36" i="1"/>
  <c r="AE36" i="1"/>
  <c r="AF36" i="1"/>
  <c r="AG36" i="1"/>
  <c r="CU36" i="1" s="1"/>
  <c r="AH36" i="1"/>
  <c r="AI36" i="1"/>
  <c r="CW36" i="1" s="1"/>
  <c r="AJ36" i="1"/>
  <c r="CX36" i="1" s="1"/>
  <c r="CQ36" i="1"/>
  <c r="CT36" i="1"/>
  <c r="CV36" i="1"/>
  <c r="FR36" i="1"/>
  <c r="GL36" i="1"/>
  <c r="GO36" i="1"/>
  <c r="GP36" i="1"/>
  <c r="GV36" i="1"/>
  <c r="HC36" i="1" s="1"/>
  <c r="C37" i="1"/>
  <c r="D37" i="1"/>
  <c r="AC37" i="1"/>
  <c r="H103" i="6" s="1"/>
  <c r="AE37" i="1"/>
  <c r="AF37" i="1"/>
  <c r="AG37" i="1"/>
  <c r="CU37" i="1" s="1"/>
  <c r="T37" i="1" s="1"/>
  <c r="AH37" i="1"/>
  <c r="CV37" i="1" s="1"/>
  <c r="U37" i="1" s="1"/>
  <c r="AI37" i="1"/>
  <c r="AJ37" i="1"/>
  <c r="CR37" i="1"/>
  <c r="Q37" i="1" s="1"/>
  <c r="K101" i="6" s="1"/>
  <c r="CS37" i="1"/>
  <c r="R37" i="1" s="1"/>
  <c r="K102" i="6" s="1"/>
  <c r="CT37" i="1"/>
  <c r="S37" i="1" s="1"/>
  <c r="K100" i="6" s="1"/>
  <c r="CW37" i="1"/>
  <c r="V37" i="1" s="1"/>
  <c r="CX37" i="1"/>
  <c r="W37" i="1" s="1"/>
  <c r="FR37" i="1"/>
  <c r="GL37" i="1"/>
  <c r="GN37" i="1"/>
  <c r="GP37" i="1"/>
  <c r="GV37" i="1"/>
  <c r="HC37" i="1" s="1"/>
  <c r="GX37" i="1" s="1"/>
  <c r="I38" i="1"/>
  <c r="K38" i="1"/>
  <c r="AC38" i="1"/>
  <c r="AD38" i="1"/>
  <c r="AB38" i="1" s="1"/>
  <c r="AE38" i="1"/>
  <c r="CS38" i="1" s="1"/>
  <c r="R38" i="1" s="1"/>
  <c r="AF38" i="1"/>
  <c r="AG38" i="1"/>
  <c r="AH38" i="1"/>
  <c r="CV38" i="1" s="1"/>
  <c r="U38" i="1" s="1"/>
  <c r="L109" i="6" s="1"/>
  <c r="Q109" i="6" s="1"/>
  <c r="AI38" i="1"/>
  <c r="AJ38" i="1"/>
  <c r="CQ38" i="1"/>
  <c r="CR38" i="1"/>
  <c r="CT38" i="1"/>
  <c r="CU38" i="1"/>
  <c r="CW38" i="1"/>
  <c r="V38" i="1" s="1"/>
  <c r="CX38" i="1"/>
  <c r="FR38" i="1"/>
  <c r="GL38" i="1"/>
  <c r="GO38" i="1"/>
  <c r="GP38" i="1"/>
  <c r="GV38" i="1"/>
  <c r="HC38" i="1" s="1"/>
  <c r="GX38" i="1" s="1"/>
  <c r="I39" i="1"/>
  <c r="E110" i="6" s="1"/>
  <c r="K39" i="1"/>
  <c r="AC39" i="1"/>
  <c r="AE39" i="1"/>
  <c r="AD39" i="1" s="1"/>
  <c r="AF39" i="1"/>
  <c r="AG39" i="1"/>
  <c r="AH39" i="1"/>
  <c r="CV39" i="1" s="1"/>
  <c r="U39" i="1" s="1"/>
  <c r="L111" i="6" s="1"/>
  <c r="Q111" i="6" s="1"/>
  <c r="AI39" i="1"/>
  <c r="AJ39" i="1"/>
  <c r="CS39" i="1"/>
  <c r="R39" i="1" s="1"/>
  <c r="CT39" i="1"/>
  <c r="CU39" i="1"/>
  <c r="CW39" i="1"/>
  <c r="V39" i="1" s="1"/>
  <c r="CX39" i="1"/>
  <c r="FR39" i="1"/>
  <c r="GL39" i="1"/>
  <c r="GO39" i="1"/>
  <c r="GP39" i="1"/>
  <c r="GV39" i="1"/>
  <c r="HC39" i="1" s="1"/>
  <c r="GX39" i="1" s="1"/>
  <c r="C41" i="1"/>
  <c r="D41" i="1"/>
  <c r="I41" i="1"/>
  <c r="K41" i="1"/>
  <c r="W41" i="1"/>
  <c r="AC41" i="1"/>
  <c r="H119" i="6" s="1"/>
  <c r="AE41" i="1"/>
  <c r="AF41" i="1"/>
  <c r="AG41" i="1"/>
  <c r="CU41" i="1" s="1"/>
  <c r="T41" i="1" s="1"/>
  <c r="AH41" i="1"/>
  <c r="CV41" i="1" s="1"/>
  <c r="AI41" i="1"/>
  <c r="AJ41" i="1"/>
  <c r="CR41" i="1"/>
  <c r="CS41" i="1"/>
  <c r="R41" i="1" s="1"/>
  <c r="K118" i="6" s="1"/>
  <c r="CT41" i="1"/>
  <c r="S41" i="1" s="1"/>
  <c r="CW41" i="1"/>
  <c r="V41" i="1" s="1"/>
  <c r="CX41" i="1"/>
  <c r="FR41" i="1"/>
  <c r="GL41" i="1"/>
  <c r="GO41" i="1"/>
  <c r="GP41" i="1"/>
  <c r="GV41" i="1"/>
  <c r="HC41" i="1"/>
  <c r="GX41" i="1" s="1"/>
  <c r="C42" i="1"/>
  <c r="D42" i="1"/>
  <c r="AC42" i="1"/>
  <c r="AE42" i="1"/>
  <c r="CS42" i="1" s="1"/>
  <c r="R42" i="1" s="1"/>
  <c r="AF42" i="1"/>
  <c r="AG42" i="1"/>
  <c r="CU42" i="1" s="1"/>
  <c r="T42" i="1" s="1"/>
  <c r="AH42" i="1"/>
  <c r="AI42" i="1"/>
  <c r="AJ42" i="1"/>
  <c r="CQ42" i="1"/>
  <c r="P42" i="1" s="1"/>
  <c r="CR42" i="1"/>
  <c r="Q42" i="1" s="1"/>
  <c r="CT42" i="1"/>
  <c r="S42" i="1" s="1"/>
  <c r="CV42" i="1"/>
  <c r="U42" i="1" s="1"/>
  <c r="CW42" i="1"/>
  <c r="V42" i="1" s="1"/>
  <c r="CX42" i="1"/>
  <c r="W42" i="1" s="1"/>
  <c r="FR42" i="1"/>
  <c r="GL42" i="1"/>
  <c r="GO42" i="1"/>
  <c r="GP42" i="1"/>
  <c r="GV42" i="1"/>
  <c r="HC42" i="1" s="1"/>
  <c r="GX42" i="1"/>
  <c r="C43" i="1"/>
  <c r="D43" i="1"/>
  <c r="I43" i="1"/>
  <c r="K43" i="1"/>
  <c r="AC43" i="1"/>
  <c r="H135" i="6" s="1"/>
  <c r="AE43" i="1"/>
  <c r="AF43" i="1"/>
  <c r="AG43" i="1"/>
  <c r="CU43" i="1" s="1"/>
  <c r="AH43" i="1"/>
  <c r="AI43" i="1"/>
  <c r="CW43" i="1" s="1"/>
  <c r="AJ43" i="1"/>
  <c r="CQ43" i="1"/>
  <c r="CS43" i="1"/>
  <c r="CT43" i="1"/>
  <c r="CV43" i="1"/>
  <c r="CX43" i="1"/>
  <c r="FR43" i="1"/>
  <c r="GL43" i="1"/>
  <c r="GO43" i="1"/>
  <c r="GP43" i="1"/>
  <c r="GV43" i="1"/>
  <c r="HC43" i="1" s="1"/>
  <c r="K44" i="1"/>
  <c r="AC44" i="1"/>
  <c r="AE44" i="1"/>
  <c r="AD44" i="1" s="1"/>
  <c r="AF44" i="1"/>
  <c r="AG44" i="1"/>
  <c r="CU44" i="1" s="1"/>
  <c r="AH44" i="1"/>
  <c r="AI44" i="1"/>
  <c r="AJ44" i="1"/>
  <c r="CQ44" i="1"/>
  <c r="CR44" i="1"/>
  <c r="CS44" i="1"/>
  <c r="CT44" i="1"/>
  <c r="CV44" i="1"/>
  <c r="CW44" i="1"/>
  <c r="CX44" i="1"/>
  <c r="FR44" i="1"/>
  <c r="GL44" i="1"/>
  <c r="GO44" i="1"/>
  <c r="GP44" i="1"/>
  <c r="GV44" i="1"/>
  <c r="HC44" i="1" s="1"/>
  <c r="C45" i="1"/>
  <c r="D45" i="1"/>
  <c r="I45" i="1"/>
  <c r="K45" i="1"/>
  <c r="P45" i="1"/>
  <c r="V45" i="1"/>
  <c r="AC45" i="1"/>
  <c r="CQ45" i="1" s="1"/>
  <c r="AE45" i="1"/>
  <c r="AF45" i="1"/>
  <c r="CT45" i="1" s="1"/>
  <c r="AG45" i="1"/>
  <c r="CU45" i="1" s="1"/>
  <c r="T45" i="1" s="1"/>
  <c r="AH45" i="1"/>
  <c r="CV45" i="1" s="1"/>
  <c r="U45" i="1" s="1"/>
  <c r="AI45" i="1"/>
  <c r="AJ45" i="1"/>
  <c r="CX45" i="1" s="1"/>
  <c r="W45" i="1" s="1"/>
  <c r="CS45" i="1"/>
  <c r="R45" i="1" s="1"/>
  <c r="K147" i="6" s="1"/>
  <c r="CW45" i="1"/>
  <c r="FR45" i="1"/>
  <c r="GL45" i="1"/>
  <c r="GO45" i="1"/>
  <c r="GP45" i="1"/>
  <c r="GV45" i="1"/>
  <c r="HC45" i="1" s="1"/>
  <c r="GX45" i="1" s="1"/>
  <c r="AC46" i="1"/>
  <c r="AE46" i="1"/>
  <c r="AD46" i="1" s="1"/>
  <c r="AF46" i="1"/>
  <c r="AG46" i="1"/>
  <c r="AH46" i="1"/>
  <c r="AI46" i="1"/>
  <c r="CW46" i="1" s="1"/>
  <c r="AJ46" i="1"/>
  <c r="CQ46" i="1"/>
  <c r="CS46" i="1"/>
  <c r="CT46" i="1"/>
  <c r="CU46" i="1"/>
  <c r="CV46" i="1"/>
  <c r="CX46" i="1"/>
  <c r="FR46" i="1"/>
  <c r="GL46" i="1"/>
  <c r="GO46" i="1"/>
  <c r="GP46" i="1"/>
  <c r="GV46" i="1"/>
  <c r="HC46" i="1" s="1"/>
  <c r="AC47" i="1"/>
  <c r="AE47" i="1"/>
  <c r="AF47" i="1"/>
  <c r="CT47" i="1" s="1"/>
  <c r="AG47" i="1"/>
  <c r="CU47" i="1" s="1"/>
  <c r="AH47" i="1"/>
  <c r="AI47" i="1"/>
  <c r="CW47" i="1" s="1"/>
  <c r="AJ47" i="1"/>
  <c r="CX47" i="1" s="1"/>
  <c r="CV47" i="1"/>
  <c r="FR47" i="1"/>
  <c r="GL47" i="1"/>
  <c r="GO47" i="1"/>
  <c r="GP47" i="1"/>
  <c r="GV47" i="1"/>
  <c r="HC47" i="1" s="1"/>
  <c r="C48" i="1"/>
  <c r="D48" i="1"/>
  <c r="I48" i="1"/>
  <c r="K48" i="1"/>
  <c r="AC48" i="1"/>
  <c r="AE48" i="1"/>
  <c r="AF48" i="1"/>
  <c r="CT48" i="1" s="1"/>
  <c r="S48" i="1" s="1"/>
  <c r="K160" i="6" s="1"/>
  <c r="AG48" i="1"/>
  <c r="CU48" i="1" s="1"/>
  <c r="T48" i="1" s="1"/>
  <c r="AH48" i="1"/>
  <c r="AI48" i="1"/>
  <c r="CW48" i="1" s="1"/>
  <c r="AJ48" i="1"/>
  <c r="CX48" i="1" s="1"/>
  <c r="W48" i="1" s="1"/>
  <c r="CS48" i="1"/>
  <c r="R48" i="1" s="1"/>
  <c r="CV48" i="1"/>
  <c r="U48" i="1" s="1"/>
  <c r="FR48" i="1"/>
  <c r="GL48" i="1"/>
  <c r="GO48" i="1"/>
  <c r="GP48" i="1"/>
  <c r="GV48" i="1"/>
  <c r="HC48" i="1" s="1"/>
  <c r="GX48" i="1" s="1"/>
  <c r="I49" i="1"/>
  <c r="V49" i="1"/>
  <c r="AC49" i="1"/>
  <c r="AE49" i="1"/>
  <c r="CS49" i="1" s="1"/>
  <c r="AF49" i="1"/>
  <c r="AG49" i="1"/>
  <c r="CU49" i="1" s="1"/>
  <c r="T49" i="1" s="1"/>
  <c r="AH49" i="1"/>
  <c r="CV49" i="1" s="1"/>
  <c r="AI49" i="1"/>
  <c r="CW49" i="1" s="1"/>
  <c r="AJ49" i="1"/>
  <c r="CQ49" i="1"/>
  <c r="CR49" i="1"/>
  <c r="Q49" i="1" s="1"/>
  <c r="CT49" i="1"/>
  <c r="S49" i="1" s="1"/>
  <c r="CX49" i="1"/>
  <c r="W49" i="1" s="1"/>
  <c r="FR49" i="1"/>
  <c r="GL49" i="1"/>
  <c r="GO49" i="1"/>
  <c r="GP49" i="1"/>
  <c r="GV49" i="1"/>
  <c r="HC49" i="1" s="1"/>
  <c r="GX49" i="1" s="1"/>
  <c r="C51" i="1"/>
  <c r="D51" i="1"/>
  <c r="I51" i="1"/>
  <c r="K51" i="1"/>
  <c r="AC51" i="1"/>
  <c r="CQ51" i="1" s="1"/>
  <c r="P51" i="1" s="1"/>
  <c r="AE51" i="1"/>
  <c r="AF51" i="1"/>
  <c r="CT51" i="1" s="1"/>
  <c r="S51" i="1" s="1"/>
  <c r="K175" i="6" s="1"/>
  <c r="AG51" i="1"/>
  <c r="CU51" i="1" s="1"/>
  <c r="T51" i="1" s="1"/>
  <c r="AH51" i="1"/>
  <c r="CV51" i="1" s="1"/>
  <c r="U51" i="1" s="1"/>
  <c r="AI51" i="1"/>
  <c r="AJ51" i="1"/>
  <c r="CX51" i="1" s="1"/>
  <c r="W51" i="1" s="1"/>
  <c r="CW51" i="1"/>
  <c r="V51" i="1" s="1"/>
  <c r="FR51" i="1"/>
  <c r="GL51" i="1"/>
  <c r="GO51" i="1"/>
  <c r="GP51" i="1"/>
  <c r="GV51" i="1"/>
  <c r="HC51" i="1" s="1"/>
  <c r="GX51" i="1" s="1"/>
  <c r="C52" i="1"/>
  <c r="D52" i="1"/>
  <c r="I52" i="1"/>
  <c r="K52" i="1"/>
  <c r="AC52" i="1"/>
  <c r="AE52" i="1"/>
  <c r="AF52" i="1"/>
  <c r="CT52" i="1" s="1"/>
  <c r="S52" i="1" s="1"/>
  <c r="K184" i="6" s="1"/>
  <c r="AG52" i="1"/>
  <c r="AH52" i="1"/>
  <c r="CV52" i="1" s="1"/>
  <c r="U52" i="1" s="1"/>
  <c r="AI52" i="1"/>
  <c r="CW52" i="1" s="1"/>
  <c r="AJ52" i="1"/>
  <c r="CU52" i="1"/>
  <c r="T52" i="1" s="1"/>
  <c r="CX52" i="1"/>
  <c r="FR52" i="1"/>
  <c r="GL52" i="1"/>
  <c r="GO52" i="1"/>
  <c r="GP52" i="1"/>
  <c r="GV52" i="1"/>
  <c r="HC52" i="1"/>
  <c r="GX52" i="1" s="1"/>
  <c r="C53" i="1"/>
  <c r="D53" i="1"/>
  <c r="I53" i="1"/>
  <c r="K53" i="1"/>
  <c r="AC53" i="1"/>
  <c r="CQ53" i="1" s="1"/>
  <c r="P53" i="1" s="1"/>
  <c r="AE53" i="1"/>
  <c r="CS53" i="1" s="1"/>
  <c r="R53" i="1" s="1"/>
  <c r="AF53" i="1"/>
  <c r="AG53" i="1"/>
  <c r="CU53" i="1" s="1"/>
  <c r="T53" i="1" s="1"/>
  <c r="AH53" i="1"/>
  <c r="CV53" i="1" s="1"/>
  <c r="U53" i="1" s="1"/>
  <c r="AI53" i="1"/>
  <c r="CW53" i="1" s="1"/>
  <c r="V53" i="1" s="1"/>
  <c r="AJ53" i="1"/>
  <c r="CX53" i="1" s="1"/>
  <c r="W53" i="1" s="1"/>
  <c r="CT53" i="1"/>
  <c r="S53" i="1" s="1"/>
  <c r="K193" i="6" s="1"/>
  <c r="FR53" i="1"/>
  <c r="GL53" i="1"/>
  <c r="GO53" i="1"/>
  <c r="GP53" i="1"/>
  <c r="GV53" i="1"/>
  <c r="HC53" i="1" s="1"/>
  <c r="GX53" i="1" s="1"/>
  <c r="AC54" i="1"/>
  <c r="H198" i="6" s="1"/>
  <c r="AE54" i="1"/>
  <c r="CS54" i="1" s="1"/>
  <c r="R54" i="1" s="1"/>
  <c r="AF54" i="1"/>
  <c r="AG54" i="1"/>
  <c r="AH54" i="1"/>
  <c r="AI54" i="1"/>
  <c r="CW54" i="1" s="1"/>
  <c r="V54" i="1" s="1"/>
  <c r="AJ54" i="1"/>
  <c r="CQ54" i="1"/>
  <c r="P54" i="1" s="1"/>
  <c r="K198" i="6" s="1"/>
  <c r="J199" i="6" s="1"/>
  <c r="P199" i="6" s="1"/>
  <c r="CT54" i="1"/>
  <c r="S54" i="1" s="1"/>
  <c r="CU54" i="1"/>
  <c r="T54" i="1" s="1"/>
  <c r="CV54" i="1"/>
  <c r="U54" i="1" s="1"/>
  <c r="L199" i="6" s="1"/>
  <c r="Q199" i="6" s="1"/>
  <c r="CX54" i="1"/>
  <c r="W54" i="1" s="1"/>
  <c r="FR54" i="1"/>
  <c r="GL54" i="1"/>
  <c r="GO54" i="1"/>
  <c r="GP54" i="1"/>
  <c r="GV54" i="1"/>
  <c r="HC54" i="1" s="1"/>
  <c r="GX54" i="1" s="1"/>
  <c r="C55" i="1"/>
  <c r="D55" i="1"/>
  <c r="I55" i="1"/>
  <c r="K55" i="1"/>
  <c r="AC55" i="1"/>
  <c r="AE55" i="1"/>
  <c r="CR55" i="1" s="1"/>
  <c r="Q55" i="1" s="1"/>
  <c r="K203" i="6" s="1"/>
  <c r="AF55" i="1"/>
  <c r="AG55" i="1"/>
  <c r="AH55" i="1"/>
  <c r="AI55" i="1"/>
  <c r="CW55" i="1" s="1"/>
  <c r="V55" i="1" s="1"/>
  <c r="AJ55" i="1"/>
  <c r="CX55" i="1" s="1"/>
  <c r="W55" i="1" s="1"/>
  <c r="CQ55" i="1"/>
  <c r="P55" i="1" s="1"/>
  <c r="CS55" i="1"/>
  <c r="R55" i="1" s="1"/>
  <c r="K204" i="6" s="1"/>
  <c r="CU55" i="1"/>
  <c r="T55" i="1" s="1"/>
  <c r="CV55" i="1"/>
  <c r="U55" i="1" s="1"/>
  <c r="FR55" i="1"/>
  <c r="GL55" i="1"/>
  <c r="GO55" i="1"/>
  <c r="GP55" i="1"/>
  <c r="GV55" i="1"/>
  <c r="HC55" i="1" s="1"/>
  <c r="GX55" i="1" s="1"/>
  <c r="I56" i="1"/>
  <c r="E209" i="6" s="1"/>
  <c r="AC56" i="1"/>
  <c r="H209" i="6" s="1"/>
  <c r="W209" i="6" s="1"/>
  <c r="AE56" i="1"/>
  <c r="AD56" i="1" s="1"/>
  <c r="AF56" i="1"/>
  <c r="AG56" i="1"/>
  <c r="AH56" i="1"/>
  <c r="CV56" i="1" s="1"/>
  <c r="U56" i="1" s="1"/>
  <c r="AI56" i="1"/>
  <c r="CW56" i="1" s="1"/>
  <c r="V56" i="1" s="1"/>
  <c r="AJ56" i="1"/>
  <c r="CS56" i="1"/>
  <c r="R56" i="1" s="1"/>
  <c r="CT56" i="1"/>
  <c r="S56" i="1" s="1"/>
  <c r="CU56" i="1"/>
  <c r="CX56" i="1"/>
  <c r="W56" i="1" s="1"/>
  <c r="FR56" i="1"/>
  <c r="GL56" i="1"/>
  <c r="GO56" i="1"/>
  <c r="GP56" i="1"/>
  <c r="GV56" i="1"/>
  <c r="HC56" i="1" s="1"/>
  <c r="GX56" i="1" s="1"/>
  <c r="AC57" i="1"/>
  <c r="H211" i="6" s="1"/>
  <c r="AD57" i="1"/>
  <c r="AE57" i="1"/>
  <c r="AF57" i="1"/>
  <c r="AG57" i="1"/>
  <c r="AH57" i="1"/>
  <c r="CV57" i="1" s="1"/>
  <c r="U57" i="1" s="1"/>
  <c r="L212" i="6" s="1"/>
  <c r="Q212" i="6" s="1"/>
  <c r="AI57" i="1"/>
  <c r="AJ57" i="1"/>
  <c r="CX57" i="1" s="1"/>
  <c r="W57" i="1" s="1"/>
  <c r="CQ57" i="1"/>
  <c r="P57" i="1" s="1"/>
  <c r="CR57" i="1"/>
  <c r="Q57" i="1" s="1"/>
  <c r="CS57" i="1"/>
  <c r="R57" i="1" s="1"/>
  <c r="CT57" i="1"/>
  <c r="S57" i="1" s="1"/>
  <c r="CU57" i="1"/>
  <c r="T57" i="1" s="1"/>
  <c r="CW57" i="1"/>
  <c r="V57" i="1" s="1"/>
  <c r="FR57" i="1"/>
  <c r="GL57" i="1"/>
  <c r="GO57" i="1"/>
  <c r="GP57" i="1"/>
  <c r="GV57" i="1"/>
  <c r="HC57" i="1"/>
  <c r="GX57" i="1" s="1"/>
  <c r="AC58" i="1"/>
  <c r="H213" i="6" s="1"/>
  <c r="AD58" i="1"/>
  <c r="AE58" i="1"/>
  <c r="AF58" i="1"/>
  <c r="AG58" i="1"/>
  <c r="AH58" i="1"/>
  <c r="CV58" i="1" s="1"/>
  <c r="U58" i="1" s="1"/>
  <c r="L214" i="6" s="1"/>
  <c r="Q214" i="6" s="1"/>
  <c r="AI58" i="1"/>
  <c r="AJ58" i="1"/>
  <c r="CQ58" i="1"/>
  <c r="P58" i="1" s="1"/>
  <c r="K213" i="6" s="1"/>
  <c r="J214" i="6" s="1"/>
  <c r="P214" i="6" s="1"/>
  <c r="CR58" i="1"/>
  <c r="Q58" i="1" s="1"/>
  <c r="CS58" i="1"/>
  <c r="R58" i="1" s="1"/>
  <c r="CT58" i="1"/>
  <c r="S58" i="1" s="1"/>
  <c r="CU58" i="1"/>
  <c r="T58" i="1" s="1"/>
  <c r="CW58" i="1"/>
  <c r="V58" i="1" s="1"/>
  <c r="CX58" i="1"/>
  <c r="W58" i="1" s="1"/>
  <c r="FR58" i="1"/>
  <c r="GL58" i="1"/>
  <c r="GO58" i="1"/>
  <c r="GP58" i="1"/>
  <c r="GV58" i="1"/>
  <c r="HC58" i="1" s="1"/>
  <c r="GX58" i="1" s="1"/>
  <c r="C60" i="1"/>
  <c r="D60" i="1"/>
  <c r="AC60" i="1"/>
  <c r="CQ60" i="1" s="1"/>
  <c r="P60" i="1" s="1"/>
  <c r="AE60" i="1"/>
  <c r="AF60" i="1"/>
  <c r="AG60" i="1"/>
  <c r="AH60" i="1"/>
  <c r="CV60" i="1" s="1"/>
  <c r="U60" i="1" s="1"/>
  <c r="AI60" i="1"/>
  <c r="CW60" i="1" s="1"/>
  <c r="V60" i="1" s="1"/>
  <c r="AJ60" i="1"/>
  <c r="CX60" i="1" s="1"/>
  <c r="W60" i="1" s="1"/>
  <c r="CR60" i="1"/>
  <c r="Q60" i="1" s="1"/>
  <c r="K219" i="6" s="1"/>
  <c r="CS60" i="1"/>
  <c r="R60" i="1" s="1"/>
  <c r="CU60" i="1"/>
  <c r="T60" i="1" s="1"/>
  <c r="FR60" i="1"/>
  <c r="GL60" i="1"/>
  <c r="GO60" i="1"/>
  <c r="GP60" i="1"/>
  <c r="GV60" i="1"/>
  <c r="HC60" i="1" s="1"/>
  <c r="GX60" i="1" s="1"/>
  <c r="AC61" i="1"/>
  <c r="H224" i="6" s="1"/>
  <c r="AE61" i="1"/>
  <c r="CS61" i="1" s="1"/>
  <c r="R61" i="1" s="1"/>
  <c r="AF61" i="1"/>
  <c r="AG61" i="1"/>
  <c r="CU61" i="1" s="1"/>
  <c r="T61" i="1" s="1"/>
  <c r="AH61" i="1"/>
  <c r="CV61" i="1" s="1"/>
  <c r="U61" i="1" s="1"/>
  <c r="L225" i="6" s="1"/>
  <c r="Q225" i="6" s="1"/>
  <c r="AI61" i="1"/>
  <c r="CW61" i="1" s="1"/>
  <c r="V61" i="1" s="1"/>
  <c r="AJ61" i="1"/>
  <c r="CQ61" i="1"/>
  <c r="P61" i="1" s="1"/>
  <c r="CR61" i="1"/>
  <c r="Q61" i="1" s="1"/>
  <c r="CX61" i="1"/>
  <c r="W61" i="1" s="1"/>
  <c r="FR61" i="1"/>
  <c r="GL61" i="1"/>
  <c r="GO61" i="1"/>
  <c r="GP61" i="1"/>
  <c r="GV61" i="1"/>
  <c r="HC61" i="1" s="1"/>
  <c r="GX61" i="1" s="1"/>
  <c r="C62" i="1"/>
  <c r="D62" i="1"/>
  <c r="Q62" i="1"/>
  <c r="R62" i="1"/>
  <c r="S62" i="1"/>
  <c r="K227" i="6" s="1"/>
  <c r="AC62" i="1"/>
  <c r="AB62" i="1" s="1"/>
  <c r="AD62" i="1"/>
  <c r="AE62" i="1"/>
  <c r="AF62" i="1"/>
  <c r="AG62" i="1"/>
  <c r="AH62" i="1"/>
  <c r="AI62" i="1"/>
  <c r="AJ62" i="1"/>
  <c r="CQ62" i="1"/>
  <c r="P62" i="1" s="1"/>
  <c r="CP62" i="1" s="1"/>
  <c r="O62" i="1" s="1"/>
  <c r="CR62" i="1"/>
  <c r="CS62" i="1"/>
  <c r="CT62" i="1"/>
  <c r="CU62" i="1"/>
  <c r="T62" i="1" s="1"/>
  <c r="CV62" i="1"/>
  <c r="U62" i="1" s="1"/>
  <c r="CW62" i="1"/>
  <c r="V62" i="1" s="1"/>
  <c r="CX62" i="1"/>
  <c r="W62" i="1" s="1"/>
  <c r="FR62" i="1"/>
  <c r="GL62" i="1"/>
  <c r="GO62" i="1"/>
  <c r="GP62" i="1"/>
  <c r="GV62" i="1"/>
  <c r="HC62" i="1" s="1"/>
  <c r="GX62" i="1" s="1"/>
  <c r="AC63" i="1"/>
  <c r="H232" i="6" s="1"/>
  <c r="AD63" i="1"/>
  <c r="AE63" i="1"/>
  <c r="AF63" i="1"/>
  <c r="AG63" i="1"/>
  <c r="AH63" i="1"/>
  <c r="CV63" i="1" s="1"/>
  <c r="U63" i="1" s="1"/>
  <c r="L233" i="6" s="1"/>
  <c r="Q233" i="6" s="1"/>
  <c r="AI63" i="1"/>
  <c r="AJ63" i="1"/>
  <c r="CX63" i="1" s="1"/>
  <c r="W63" i="1" s="1"/>
  <c r="CQ63" i="1"/>
  <c r="P63" i="1" s="1"/>
  <c r="K232" i="6" s="1"/>
  <c r="J233" i="6" s="1"/>
  <c r="P233" i="6" s="1"/>
  <c r="CR63" i="1"/>
  <c r="Q63" i="1" s="1"/>
  <c r="CS63" i="1"/>
  <c r="R63" i="1" s="1"/>
  <c r="CT63" i="1"/>
  <c r="S63" i="1" s="1"/>
  <c r="CU63" i="1"/>
  <c r="T63" i="1" s="1"/>
  <c r="CW63" i="1"/>
  <c r="V63" i="1" s="1"/>
  <c r="FR63" i="1"/>
  <c r="GL63" i="1"/>
  <c r="GO63" i="1"/>
  <c r="GP63" i="1"/>
  <c r="GV63" i="1"/>
  <c r="HC63" i="1" s="1"/>
  <c r="GX63" i="1" s="1"/>
  <c r="AC64" i="1"/>
  <c r="AD64" i="1"/>
  <c r="AE64" i="1"/>
  <c r="AF64" i="1"/>
  <c r="CT64" i="1" s="1"/>
  <c r="S64" i="1" s="1"/>
  <c r="AG64" i="1"/>
  <c r="AH64" i="1"/>
  <c r="AI64" i="1"/>
  <c r="AJ64" i="1"/>
  <c r="CX64" i="1" s="1"/>
  <c r="W64" i="1" s="1"/>
  <c r="CR64" i="1"/>
  <c r="Q64" i="1" s="1"/>
  <c r="CS64" i="1"/>
  <c r="R64" i="1" s="1"/>
  <c r="CU64" i="1"/>
  <c r="T64" i="1" s="1"/>
  <c r="CV64" i="1"/>
  <c r="U64" i="1" s="1"/>
  <c r="L235" i="6" s="1"/>
  <c r="Q235" i="6" s="1"/>
  <c r="CW64" i="1"/>
  <c r="V64" i="1" s="1"/>
  <c r="FR64" i="1"/>
  <c r="GL64" i="1"/>
  <c r="GO64" i="1"/>
  <c r="GP64" i="1"/>
  <c r="GV64" i="1"/>
  <c r="HC64" i="1" s="1"/>
  <c r="GX64" i="1" s="1"/>
  <c r="C66" i="1"/>
  <c r="D66" i="1"/>
  <c r="I66" i="1"/>
  <c r="E238" i="6" s="1"/>
  <c r="K66" i="1"/>
  <c r="P66" i="1"/>
  <c r="AC66" i="1"/>
  <c r="CQ66" i="1" s="1"/>
  <c r="AE66" i="1"/>
  <c r="AD66" i="1" s="1"/>
  <c r="AF66" i="1"/>
  <c r="AG66" i="1"/>
  <c r="AH66" i="1"/>
  <c r="CV66" i="1" s="1"/>
  <c r="U66" i="1" s="1"/>
  <c r="AI66" i="1"/>
  <c r="CW66" i="1" s="1"/>
  <c r="V66" i="1" s="1"/>
  <c r="AJ66" i="1"/>
  <c r="CX66" i="1" s="1"/>
  <c r="W66" i="1" s="1"/>
  <c r="CT66" i="1"/>
  <c r="S66" i="1" s="1"/>
  <c r="CU66" i="1"/>
  <c r="T66" i="1" s="1"/>
  <c r="FR66" i="1"/>
  <c r="GL66" i="1"/>
  <c r="GO66" i="1"/>
  <c r="GP66" i="1"/>
  <c r="GV66" i="1"/>
  <c r="HC66" i="1" s="1"/>
  <c r="GX66" i="1" s="1"/>
  <c r="C67" i="1"/>
  <c r="D67" i="1"/>
  <c r="I67" i="1"/>
  <c r="E244" i="6" s="1"/>
  <c r="K67" i="1"/>
  <c r="P67" i="1"/>
  <c r="K248" i="6" s="1"/>
  <c r="AC67" i="1"/>
  <c r="AD67" i="1"/>
  <c r="AB67" i="1" s="1"/>
  <c r="AE67" i="1"/>
  <c r="AF67" i="1"/>
  <c r="AG67" i="1"/>
  <c r="AH67" i="1"/>
  <c r="AI67" i="1"/>
  <c r="AJ67" i="1"/>
  <c r="CX67" i="1" s="1"/>
  <c r="W67" i="1" s="1"/>
  <c r="CQ67" i="1"/>
  <c r="CR67" i="1"/>
  <c r="Q67" i="1" s="1"/>
  <c r="K246" i="6" s="1"/>
  <c r="CS67" i="1"/>
  <c r="R67" i="1" s="1"/>
  <c r="K247" i="6" s="1"/>
  <c r="CT67" i="1"/>
  <c r="S67" i="1" s="1"/>
  <c r="K245" i="6" s="1"/>
  <c r="CU67" i="1"/>
  <c r="CV67" i="1"/>
  <c r="U67" i="1" s="1"/>
  <c r="CW67" i="1"/>
  <c r="V67" i="1" s="1"/>
  <c r="FR67" i="1"/>
  <c r="GL67" i="1"/>
  <c r="GO67" i="1"/>
  <c r="GP67" i="1"/>
  <c r="GV67" i="1"/>
  <c r="HC67" i="1" s="1"/>
  <c r="GX67" i="1" s="1"/>
  <c r="I68" i="1"/>
  <c r="E252" i="6" s="1"/>
  <c r="AC68" i="1"/>
  <c r="AE68" i="1"/>
  <c r="AD68" i="1" s="1"/>
  <c r="AF68" i="1"/>
  <c r="AG68" i="1"/>
  <c r="AH68" i="1"/>
  <c r="AI68" i="1"/>
  <c r="CW68" i="1" s="1"/>
  <c r="V68" i="1" s="1"/>
  <c r="AJ68" i="1"/>
  <c r="CT68" i="1"/>
  <c r="S68" i="1" s="1"/>
  <c r="CU68" i="1"/>
  <c r="CV68" i="1"/>
  <c r="CX68" i="1"/>
  <c r="W68" i="1" s="1"/>
  <c r="FR68" i="1"/>
  <c r="GL68" i="1"/>
  <c r="GO68" i="1"/>
  <c r="GP68" i="1"/>
  <c r="GV68" i="1"/>
  <c r="HC68" i="1" s="1"/>
  <c r="GX68" i="1" s="1"/>
  <c r="K69" i="1"/>
  <c r="AC69" i="1"/>
  <c r="AE69" i="1"/>
  <c r="AD69" i="1" s="1"/>
  <c r="AF69" i="1"/>
  <c r="AG69" i="1"/>
  <c r="CU69" i="1" s="1"/>
  <c r="AH69" i="1"/>
  <c r="CV69" i="1" s="1"/>
  <c r="AI69" i="1"/>
  <c r="CW69" i="1" s="1"/>
  <c r="AJ69" i="1"/>
  <c r="CQ69" i="1"/>
  <c r="CR69" i="1"/>
  <c r="CT69" i="1"/>
  <c r="CX69" i="1"/>
  <c r="FR69" i="1"/>
  <c r="GL69" i="1"/>
  <c r="GO69" i="1"/>
  <c r="GP69" i="1"/>
  <c r="GV69" i="1"/>
  <c r="HC69" i="1" s="1"/>
  <c r="C70" i="1"/>
  <c r="D70" i="1"/>
  <c r="I70" i="1"/>
  <c r="E256" i="6" s="1"/>
  <c r="K70" i="1"/>
  <c r="AC70" i="1"/>
  <c r="AE70" i="1"/>
  <c r="AF70" i="1"/>
  <c r="AG70" i="1"/>
  <c r="CU70" i="1" s="1"/>
  <c r="T70" i="1" s="1"/>
  <c r="AH70" i="1"/>
  <c r="CV70" i="1" s="1"/>
  <c r="U70" i="1" s="1"/>
  <c r="AI70" i="1"/>
  <c r="AJ70" i="1"/>
  <c r="CR70" i="1"/>
  <c r="Q70" i="1" s="1"/>
  <c r="K258" i="6" s="1"/>
  <c r="CT70" i="1"/>
  <c r="S70" i="1" s="1"/>
  <c r="CW70" i="1"/>
  <c r="V70" i="1" s="1"/>
  <c r="CX70" i="1"/>
  <c r="W70" i="1" s="1"/>
  <c r="FR70" i="1"/>
  <c r="GL70" i="1"/>
  <c r="GO70" i="1"/>
  <c r="GP70" i="1"/>
  <c r="GV70" i="1"/>
  <c r="HC70" i="1" s="1"/>
  <c r="C71" i="1"/>
  <c r="D71" i="1"/>
  <c r="I71" i="1"/>
  <c r="E264" i="6" s="1"/>
  <c r="K71" i="1"/>
  <c r="AC71" i="1"/>
  <c r="AE71" i="1"/>
  <c r="CR71" i="1" s="1"/>
  <c r="Q71" i="1" s="1"/>
  <c r="K266" i="6" s="1"/>
  <c r="AF71" i="1"/>
  <c r="AG71" i="1"/>
  <c r="AH71" i="1"/>
  <c r="AI71" i="1"/>
  <c r="CW71" i="1" s="1"/>
  <c r="V71" i="1" s="1"/>
  <c r="AJ71" i="1"/>
  <c r="CX71" i="1" s="1"/>
  <c r="W71" i="1" s="1"/>
  <c r="CQ71" i="1"/>
  <c r="P71" i="1" s="1"/>
  <c r="CP71" i="1" s="1"/>
  <c r="O71" i="1" s="1"/>
  <c r="CT71" i="1"/>
  <c r="S71" i="1" s="1"/>
  <c r="CU71" i="1"/>
  <c r="T71" i="1" s="1"/>
  <c r="CV71" i="1"/>
  <c r="FR71" i="1"/>
  <c r="GL71" i="1"/>
  <c r="GO71" i="1"/>
  <c r="GP71" i="1"/>
  <c r="GV71" i="1"/>
  <c r="HC71" i="1" s="1"/>
  <c r="GX71" i="1" s="1"/>
  <c r="C72" i="1"/>
  <c r="D72" i="1"/>
  <c r="I72" i="1"/>
  <c r="K72" i="1"/>
  <c r="AC72" i="1"/>
  <c r="CQ72" i="1" s="1"/>
  <c r="P72" i="1" s="1"/>
  <c r="AE72" i="1"/>
  <c r="AF72" i="1"/>
  <c r="AG72" i="1"/>
  <c r="CU72" i="1" s="1"/>
  <c r="AH72" i="1"/>
  <c r="CV72" i="1" s="1"/>
  <c r="U72" i="1" s="1"/>
  <c r="AI72" i="1"/>
  <c r="CW72" i="1" s="1"/>
  <c r="V72" i="1" s="1"/>
  <c r="AJ72" i="1"/>
  <c r="CX72" i="1" s="1"/>
  <c r="W72" i="1" s="1"/>
  <c r="CR72" i="1"/>
  <c r="CT72" i="1"/>
  <c r="FR72" i="1"/>
  <c r="GL72" i="1"/>
  <c r="GO72" i="1"/>
  <c r="GP72" i="1"/>
  <c r="GV72" i="1"/>
  <c r="HC72" i="1" s="1"/>
  <c r="GX72" i="1" s="1"/>
  <c r="I73" i="1"/>
  <c r="E280" i="6" s="1"/>
  <c r="K73" i="1"/>
  <c r="AB73" i="1"/>
  <c r="AC73" i="1"/>
  <c r="AE73" i="1"/>
  <c r="AD73" i="1" s="1"/>
  <c r="AF73" i="1"/>
  <c r="AG73" i="1"/>
  <c r="CU73" i="1" s="1"/>
  <c r="T73" i="1" s="1"/>
  <c r="AH73" i="1"/>
  <c r="CV73" i="1" s="1"/>
  <c r="U73" i="1" s="1"/>
  <c r="L281" i="6" s="1"/>
  <c r="Q281" i="6" s="1"/>
  <c r="AI73" i="1"/>
  <c r="AJ73" i="1"/>
  <c r="CS73" i="1"/>
  <c r="R73" i="1" s="1"/>
  <c r="CT73" i="1"/>
  <c r="S73" i="1" s="1"/>
  <c r="CW73" i="1"/>
  <c r="V73" i="1" s="1"/>
  <c r="CX73" i="1"/>
  <c r="W73" i="1" s="1"/>
  <c r="FR73" i="1"/>
  <c r="GL73" i="1"/>
  <c r="GO73" i="1"/>
  <c r="GP73" i="1"/>
  <c r="GV73" i="1"/>
  <c r="HC73" i="1"/>
  <c r="GX73" i="1" s="1"/>
  <c r="C74" i="1"/>
  <c r="D74" i="1"/>
  <c r="I74" i="1"/>
  <c r="E282" i="6" s="1"/>
  <c r="K74" i="1"/>
  <c r="AC74" i="1"/>
  <c r="H285" i="6" s="1"/>
  <c r="AE74" i="1"/>
  <c r="CR74" i="1" s="1"/>
  <c r="Q74" i="1" s="1"/>
  <c r="K284" i="6" s="1"/>
  <c r="AF74" i="1"/>
  <c r="AG74" i="1"/>
  <c r="CU74" i="1" s="1"/>
  <c r="T74" i="1" s="1"/>
  <c r="AH74" i="1"/>
  <c r="AI74" i="1"/>
  <c r="CW74" i="1" s="1"/>
  <c r="V74" i="1" s="1"/>
  <c r="AJ74" i="1"/>
  <c r="CX74" i="1" s="1"/>
  <c r="W74" i="1" s="1"/>
  <c r="CQ74" i="1"/>
  <c r="P74" i="1" s="1"/>
  <c r="K285" i="6" s="1"/>
  <c r="CT74" i="1"/>
  <c r="S74" i="1" s="1"/>
  <c r="CV74" i="1"/>
  <c r="U74" i="1" s="1"/>
  <c r="FR74" i="1"/>
  <c r="GL74" i="1"/>
  <c r="GO74" i="1"/>
  <c r="GP74" i="1"/>
  <c r="GV74" i="1"/>
  <c r="GX74" i="1"/>
  <c r="HC74" i="1"/>
  <c r="C75" i="1"/>
  <c r="D75" i="1"/>
  <c r="I75" i="1"/>
  <c r="I76" i="1" s="1"/>
  <c r="K75" i="1"/>
  <c r="AC75" i="1"/>
  <c r="CQ75" i="1" s="1"/>
  <c r="AE75" i="1"/>
  <c r="AF75" i="1"/>
  <c r="AG75" i="1"/>
  <c r="CU75" i="1" s="1"/>
  <c r="T75" i="1" s="1"/>
  <c r="AH75" i="1"/>
  <c r="CV75" i="1" s="1"/>
  <c r="U75" i="1" s="1"/>
  <c r="AI75" i="1"/>
  <c r="AJ75" i="1"/>
  <c r="CS75" i="1"/>
  <c r="R75" i="1" s="1"/>
  <c r="CT75" i="1"/>
  <c r="S75" i="1" s="1"/>
  <c r="K292" i="6" s="1"/>
  <c r="CW75" i="1"/>
  <c r="V75" i="1" s="1"/>
  <c r="CX75" i="1"/>
  <c r="W75" i="1" s="1"/>
  <c r="FR75" i="1"/>
  <c r="GL75" i="1"/>
  <c r="GO75" i="1"/>
  <c r="GP75" i="1"/>
  <c r="GV75" i="1"/>
  <c r="HC75" i="1"/>
  <c r="GX75" i="1" s="1"/>
  <c r="AC76" i="1"/>
  <c r="AE76" i="1"/>
  <c r="AD76" i="1" s="1"/>
  <c r="AF76" i="1"/>
  <c r="CT76" i="1" s="1"/>
  <c r="AG76" i="1"/>
  <c r="AH76" i="1"/>
  <c r="AI76" i="1"/>
  <c r="AJ76" i="1"/>
  <c r="CX76" i="1" s="1"/>
  <c r="CQ76" i="1"/>
  <c r="CS76" i="1"/>
  <c r="CU76" i="1"/>
  <c r="CV76" i="1"/>
  <c r="CW76" i="1"/>
  <c r="FR76" i="1"/>
  <c r="GL76" i="1"/>
  <c r="GO76" i="1"/>
  <c r="GP76" i="1"/>
  <c r="GV76" i="1"/>
  <c r="HC76" i="1" s="1"/>
  <c r="I77" i="1"/>
  <c r="K77" i="1"/>
  <c r="AC77" i="1"/>
  <c r="AE77" i="1"/>
  <c r="AD77" i="1" s="1"/>
  <c r="AF77" i="1"/>
  <c r="AG77" i="1"/>
  <c r="AH77" i="1"/>
  <c r="CV77" i="1" s="1"/>
  <c r="AI77" i="1"/>
  <c r="CW77" i="1" s="1"/>
  <c r="V77" i="1" s="1"/>
  <c r="AJ77" i="1"/>
  <c r="CX77" i="1" s="1"/>
  <c r="CQ77" i="1"/>
  <c r="CT77" i="1"/>
  <c r="S77" i="1" s="1"/>
  <c r="CU77" i="1"/>
  <c r="T77" i="1" s="1"/>
  <c r="FR77" i="1"/>
  <c r="GL77" i="1"/>
  <c r="GO77" i="1"/>
  <c r="GP77" i="1"/>
  <c r="GV77" i="1"/>
  <c r="HC77" i="1" s="1"/>
  <c r="AC78" i="1"/>
  <c r="CQ78" i="1" s="1"/>
  <c r="P78" i="1" s="1"/>
  <c r="AE78" i="1"/>
  <c r="CR78" i="1" s="1"/>
  <c r="Q78" i="1" s="1"/>
  <c r="K302" i="6" s="1"/>
  <c r="J304" i="6" s="1"/>
  <c r="P304" i="6" s="1"/>
  <c r="AF78" i="1"/>
  <c r="CT78" i="1" s="1"/>
  <c r="S78" i="1" s="1"/>
  <c r="AG78" i="1"/>
  <c r="AH78" i="1"/>
  <c r="CV78" i="1" s="1"/>
  <c r="U78" i="1" s="1"/>
  <c r="L304" i="6" s="1"/>
  <c r="Q304" i="6" s="1"/>
  <c r="AI78" i="1"/>
  <c r="CW78" i="1" s="1"/>
  <c r="V78" i="1" s="1"/>
  <c r="AJ78" i="1"/>
  <c r="CX78" i="1" s="1"/>
  <c r="W78" i="1" s="1"/>
  <c r="CU78" i="1"/>
  <c r="T78" i="1" s="1"/>
  <c r="FR78" i="1"/>
  <c r="GL78" i="1"/>
  <c r="GO78" i="1"/>
  <c r="GP78" i="1"/>
  <c r="GV78" i="1"/>
  <c r="HC78" i="1" s="1"/>
  <c r="GX78" i="1" s="1"/>
  <c r="C80" i="1"/>
  <c r="D80" i="1"/>
  <c r="I80" i="1"/>
  <c r="E307" i="6" s="1"/>
  <c r="K80" i="1"/>
  <c r="Q80" i="1"/>
  <c r="R80" i="1"/>
  <c r="S80" i="1"/>
  <c r="CY80" i="1" s="1"/>
  <c r="X80" i="1" s="1"/>
  <c r="T307" i="6" s="1"/>
  <c r="K309" i="6" s="1"/>
  <c r="AC80" i="1"/>
  <c r="AD80" i="1"/>
  <c r="AE80" i="1"/>
  <c r="AF80" i="1"/>
  <c r="AG80" i="1"/>
  <c r="AH80" i="1"/>
  <c r="AI80" i="1"/>
  <c r="AJ80" i="1"/>
  <c r="CX80" i="1" s="1"/>
  <c r="CQ80" i="1"/>
  <c r="P80" i="1" s="1"/>
  <c r="CR80" i="1"/>
  <c r="CS80" i="1"/>
  <c r="CT80" i="1"/>
  <c r="CU80" i="1"/>
  <c r="T80" i="1" s="1"/>
  <c r="CV80" i="1"/>
  <c r="U80" i="1" s="1"/>
  <c r="CW80" i="1"/>
  <c r="V80" i="1" s="1"/>
  <c r="FR80" i="1"/>
  <c r="GL80" i="1"/>
  <c r="GO80" i="1"/>
  <c r="GP80" i="1"/>
  <c r="GV80" i="1"/>
  <c r="HC80" i="1" s="1"/>
  <c r="GX80" i="1" s="1"/>
  <c r="C81" i="1"/>
  <c r="D81" i="1"/>
  <c r="I81" i="1"/>
  <c r="K81" i="1"/>
  <c r="AC81" i="1"/>
  <c r="AD81" i="1"/>
  <c r="AE81" i="1"/>
  <c r="AF81" i="1"/>
  <c r="AG81" i="1"/>
  <c r="AH81" i="1"/>
  <c r="CV81" i="1" s="1"/>
  <c r="AI81" i="1"/>
  <c r="AJ81" i="1"/>
  <c r="CQ81" i="1"/>
  <c r="P81" i="1" s="1"/>
  <c r="K317" i="6" s="1"/>
  <c r="CR81" i="1"/>
  <c r="CS81" i="1"/>
  <c r="R81" i="1" s="1"/>
  <c r="K316" i="6" s="1"/>
  <c r="CT81" i="1"/>
  <c r="S81" i="1" s="1"/>
  <c r="CU81" i="1"/>
  <c r="T81" i="1" s="1"/>
  <c r="CW81" i="1"/>
  <c r="CX81" i="1"/>
  <c r="FR81" i="1"/>
  <c r="GL81" i="1"/>
  <c r="GO81" i="1"/>
  <c r="GP81" i="1"/>
  <c r="GV81" i="1"/>
  <c r="HC81" i="1"/>
  <c r="GX81" i="1" s="1"/>
  <c r="AC82" i="1"/>
  <c r="AE82" i="1"/>
  <c r="AD82" i="1" s="1"/>
  <c r="AF82" i="1"/>
  <c r="AG82" i="1"/>
  <c r="CU82" i="1" s="1"/>
  <c r="AH82" i="1"/>
  <c r="CV82" i="1" s="1"/>
  <c r="AI82" i="1"/>
  <c r="CW82" i="1" s="1"/>
  <c r="AJ82" i="1"/>
  <c r="CR82" i="1"/>
  <c r="CT82" i="1"/>
  <c r="CX82" i="1"/>
  <c r="FR82" i="1"/>
  <c r="GL82" i="1"/>
  <c r="GO82" i="1"/>
  <c r="GP82" i="1"/>
  <c r="GV82" i="1"/>
  <c r="HC82" i="1" s="1"/>
  <c r="AC83" i="1"/>
  <c r="AD83" i="1"/>
  <c r="AE83" i="1"/>
  <c r="CS83" i="1" s="1"/>
  <c r="AF83" i="1"/>
  <c r="AG83" i="1"/>
  <c r="CU83" i="1" s="1"/>
  <c r="AH83" i="1"/>
  <c r="CV83" i="1" s="1"/>
  <c r="AI83" i="1"/>
  <c r="CW83" i="1" s="1"/>
  <c r="AJ83" i="1"/>
  <c r="CX83" i="1" s="1"/>
  <c r="CQ83" i="1"/>
  <c r="CR83" i="1"/>
  <c r="CT83" i="1"/>
  <c r="FR83" i="1"/>
  <c r="GL83" i="1"/>
  <c r="GO83" i="1"/>
  <c r="GP83" i="1"/>
  <c r="GV83" i="1"/>
  <c r="HC83" i="1" s="1"/>
  <c r="C84" i="1"/>
  <c r="D84" i="1"/>
  <c r="I84" i="1"/>
  <c r="E325" i="6" s="1"/>
  <c r="K84" i="1"/>
  <c r="AC84" i="1"/>
  <c r="AE84" i="1"/>
  <c r="AF84" i="1"/>
  <c r="AG84" i="1"/>
  <c r="CU84" i="1" s="1"/>
  <c r="T84" i="1" s="1"/>
  <c r="AH84" i="1"/>
  <c r="AI84" i="1"/>
  <c r="CW84" i="1" s="1"/>
  <c r="AJ84" i="1"/>
  <c r="CQ84" i="1"/>
  <c r="P84" i="1" s="1"/>
  <c r="CS84" i="1"/>
  <c r="CT84" i="1"/>
  <c r="S84" i="1" s="1"/>
  <c r="K326" i="6" s="1"/>
  <c r="CV84" i="1"/>
  <c r="U84" i="1" s="1"/>
  <c r="CX84" i="1"/>
  <c r="W84" i="1" s="1"/>
  <c r="FR84" i="1"/>
  <c r="GL84" i="1"/>
  <c r="GO84" i="1"/>
  <c r="GP84" i="1"/>
  <c r="GV84" i="1"/>
  <c r="HC84" i="1" s="1"/>
  <c r="GX84" i="1" s="1"/>
  <c r="C85" i="1"/>
  <c r="D85" i="1"/>
  <c r="I85" i="1"/>
  <c r="E333" i="6" s="1"/>
  <c r="K85" i="1"/>
  <c r="W85" i="1"/>
  <c r="AC85" i="1"/>
  <c r="AE85" i="1"/>
  <c r="AF85" i="1"/>
  <c r="AG85" i="1"/>
  <c r="CU85" i="1" s="1"/>
  <c r="T85" i="1" s="1"/>
  <c r="AH85" i="1"/>
  <c r="AI85" i="1"/>
  <c r="AJ85" i="1"/>
  <c r="CX85" i="1" s="1"/>
  <c r="CR85" i="1"/>
  <c r="Q85" i="1" s="1"/>
  <c r="K335" i="6" s="1"/>
  <c r="CV85" i="1"/>
  <c r="U85" i="1" s="1"/>
  <c r="CW85" i="1"/>
  <c r="FR85" i="1"/>
  <c r="GL85" i="1"/>
  <c r="GO85" i="1"/>
  <c r="GP85" i="1"/>
  <c r="GV85" i="1"/>
  <c r="HC85" i="1" s="1"/>
  <c r="GX85" i="1"/>
  <c r="C86" i="1"/>
  <c r="D86" i="1"/>
  <c r="I86" i="1"/>
  <c r="K86" i="1"/>
  <c r="V86" i="1"/>
  <c r="AC86" i="1"/>
  <c r="AE86" i="1"/>
  <c r="AF86" i="1"/>
  <c r="AG86" i="1"/>
  <c r="CU86" i="1" s="1"/>
  <c r="T86" i="1" s="1"/>
  <c r="AH86" i="1"/>
  <c r="AI86" i="1"/>
  <c r="CW86" i="1" s="1"/>
  <c r="AJ86" i="1"/>
  <c r="CQ86" i="1"/>
  <c r="P86" i="1" s="1"/>
  <c r="CR86" i="1"/>
  <c r="Q86" i="1" s="1"/>
  <c r="K343" i="6" s="1"/>
  <c r="CV86" i="1"/>
  <c r="CX86" i="1"/>
  <c r="W86" i="1" s="1"/>
  <c r="FR86" i="1"/>
  <c r="GL86" i="1"/>
  <c r="GO86" i="1"/>
  <c r="GP86" i="1"/>
  <c r="GV86" i="1"/>
  <c r="HC86" i="1" s="1"/>
  <c r="GX86" i="1" s="1"/>
  <c r="I87" i="1"/>
  <c r="K87" i="1"/>
  <c r="AC87" i="1"/>
  <c r="AE87" i="1"/>
  <c r="AF87" i="1"/>
  <c r="AG87" i="1"/>
  <c r="CU87" i="1" s="1"/>
  <c r="AH87" i="1"/>
  <c r="AI87" i="1"/>
  <c r="CW87" i="1" s="1"/>
  <c r="AJ87" i="1"/>
  <c r="CX87" i="1" s="1"/>
  <c r="CQ87" i="1"/>
  <c r="CV87" i="1"/>
  <c r="U87" i="1" s="1"/>
  <c r="L350" i="6" s="1"/>
  <c r="Q350" i="6" s="1"/>
  <c r="FR87" i="1"/>
  <c r="GL87" i="1"/>
  <c r="GO87" i="1"/>
  <c r="GP87" i="1"/>
  <c r="GV87" i="1"/>
  <c r="HC87" i="1"/>
  <c r="GX87" i="1" s="1"/>
  <c r="AC88" i="1"/>
  <c r="AD88" i="1"/>
  <c r="AE88" i="1"/>
  <c r="AF88" i="1"/>
  <c r="AG88" i="1"/>
  <c r="CU88" i="1" s="1"/>
  <c r="T88" i="1" s="1"/>
  <c r="AH88" i="1"/>
  <c r="AI88" i="1"/>
  <c r="AJ88" i="1"/>
  <c r="CX88" i="1" s="1"/>
  <c r="W88" i="1" s="1"/>
  <c r="CQ88" i="1"/>
  <c r="P88" i="1" s="1"/>
  <c r="CR88" i="1"/>
  <c r="Q88" i="1" s="1"/>
  <c r="K352" i="6" s="1"/>
  <c r="J354" i="6" s="1"/>
  <c r="P354" i="6" s="1"/>
  <c r="CS88" i="1"/>
  <c r="R88" i="1" s="1"/>
  <c r="K353" i="6" s="1"/>
  <c r="CT88" i="1"/>
  <c r="S88" i="1" s="1"/>
  <c r="CV88" i="1"/>
  <c r="U88" i="1" s="1"/>
  <c r="L354" i="6" s="1"/>
  <c r="Q354" i="6" s="1"/>
  <c r="CW88" i="1"/>
  <c r="V88" i="1" s="1"/>
  <c r="FR88" i="1"/>
  <c r="GL88" i="1"/>
  <c r="GO88" i="1"/>
  <c r="GP88" i="1"/>
  <c r="GV88" i="1"/>
  <c r="HC88" i="1" s="1"/>
  <c r="GX88" i="1" s="1"/>
  <c r="C90" i="1"/>
  <c r="D90" i="1"/>
  <c r="I90" i="1"/>
  <c r="E357" i="6" s="1"/>
  <c r="K90" i="1"/>
  <c r="AC90" i="1"/>
  <c r="CQ90" i="1" s="1"/>
  <c r="P90" i="1" s="1"/>
  <c r="CP90" i="1" s="1"/>
  <c r="O90" i="1" s="1"/>
  <c r="AE90" i="1"/>
  <c r="AF90" i="1"/>
  <c r="AG90" i="1"/>
  <c r="CU90" i="1" s="1"/>
  <c r="AH90" i="1"/>
  <c r="AI90" i="1"/>
  <c r="AJ90" i="1"/>
  <c r="CR90" i="1"/>
  <c r="Q90" i="1" s="1"/>
  <c r="K359" i="6" s="1"/>
  <c r="CS90" i="1"/>
  <c r="R90" i="1" s="1"/>
  <c r="K360" i="6" s="1"/>
  <c r="CT90" i="1"/>
  <c r="S90" i="1" s="1"/>
  <c r="K358" i="6" s="1"/>
  <c r="CV90" i="1"/>
  <c r="U90" i="1" s="1"/>
  <c r="CW90" i="1"/>
  <c r="V90" i="1" s="1"/>
  <c r="CX90" i="1"/>
  <c r="W90" i="1" s="1"/>
  <c r="FR90" i="1"/>
  <c r="GL90" i="1"/>
  <c r="GO90" i="1"/>
  <c r="GP90" i="1"/>
  <c r="GV90" i="1"/>
  <c r="HC90" i="1"/>
  <c r="GX90" i="1" s="1"/>
  <c r="C91" i="1"/>
  <c r="D91" i="1"/>
  <c r="AC91" i="1"/>
  <c r="CQ91" i="1" s="1"/>
  <c r="P91" i="1" s="1"/>
  <c r="AE91" i="1"/>
  <c r="CS91" i="1" s="1"/>
  <c r="R91" i="1" s="1"/>
  <c r="AF91" i="1"/>
  <c r="AG91" i="1"/>
  <c r="AH91" i="1"/>
  <c r="CV91" i="1" s="1"/>
  <c r="U91" i="1" s="1"/>
  <c r="AI91" i="1"/>
  <c r="CW91" i="1" s="1"/>
  <c r="V91" i="1" s="1"/>
  <c r="AJ91" i="1"/>
  <c r="CX91" i="1" s="1"/>
  <c r="W91" i="1" s="1"/>
  <c r="CU91" i="1"/>
  <c r="T91" i="1" s="1"/>
  <c r="FR91" i="1"/>
  <c r="GL91" i="1"/>
  <c r="GO91" i="1"/>
  <c r="GP91" i="1"/>
  <c r="GV91" i="1"/>
  <c r="HC91" i="1" s="1"/>
  <c r="GX91" i="1" s="1"/>
  <c r="C92" i="1"/>
  <c r="D92" i="1"/>
  <c r="AC92" i="1"/>
  <c r="H375" i="6" s="1"/>
  <c r="AE92" i="1"/>
  <c r="H374" i="6" s="1"/>
  <c r="AF92" i="1"/>
  <c r="AG92" i="1"/>
  <c r="CU92" i="1" s="1"/>
  <c r="T92" i="1" s="1"/>
  <c r="AH92" i="1"/>
  <c r="AI92" i="1"/>
  <c r="AJ92" i="1"/>
  <c r="CT92" i="1"/>
  <c r="S92" i="1" s="1"/>
  <c r="K373" i="6" s="1"/>
  <c r="CV92" i="1"/>
  <c r="U92" i="1" s="1"/>
  <c r="CW92" i="1"/>
  <c r="V92" i="1" s="1"/>
  <c r="CX92" i="1"/>
  <c r="W92" i="1" s="1"/>
  <c r="FR92" i="1"/>
  <c r="GL92" i="1"/>
  <c r="GO92" i="1"/>
  <c r="GP92" i="1"/>
  <c r="GV92" i="1"/>
  <c r="HC92" i="1" s="1"/>
  <c r="GX92" i="1" s="1"/>
  <c r="I93" i="1"/>
  <c r="AC93" i="1"/>
  <c r="AE93" i="1"/>
  <c r="AD93" i="1" s="1"/>
  <c r="AF93" i="1"/>
  <c r="AG93" i="1"/>
  <c r="CU93" i="1" s="1"/>
  <c r="AH93" i="1"/>
  <c r="AI93" i="1"/>
  <c r="CW93" i="1" s="1"/>
  <c r="AJ93" i="1"/>
  <c r="CX93" i="1" s="1"/>
  <c r="CQ93" i="1"/>
  <c r="P93" i="1" s="1"/>
  <c r="CS93" i="1"/>
  <c r="CV93" i="1"/>
  <c r="FR93" i="1"/>
  <c r="GL93" i="1"/>
  <c r="GO93" i="1"/>
  <c r="GP93" i="1"/>
  <c r="GV93" i="1"/>
  <c r="HC93" i="1" s="1"/>
  <c r="I94" i="1"/>
  <c r="E381" i="6" s="1"/>
  <c r="K94" i="1"/>
  <c r="AC94" i="1"/>
  <c r="H381" i="6" s="1"/>
  <c r="AE94" i="1"/>
  <c r="CS94" i="1" s="1"/>
  <c r="R94" i="1" s="1"/>
  <c r="AF94" i="1"/>
  <c r="AG94" i="1"/>
  <c r="AH94" i="1"/>
  <c r="CV94" i="1" s="1"/>
  <c r="U94" i="1" s="1"/>
  <c r="L382" i="6" s="1"/>
  <c r="Q382" i="6" s="1"/>
  <c r="AI94" i="1"/>
  <c r="CW94" i="1" s="1"/>
  <c r="V94" i="1" s="1"/>
  <c r="AJ94" i="1"/>
  <c r="CT94" i="1"/>
  <c r="S94" i="1" s="1"/>
  <c r="CY94" i="1" s="1"/>
  <c r="X94" i="1" s="1"/>
  <c r="T381" i="6" s="1"/>
  <c r="CU94" i="1"/>
  <c r="CX94" i="1"/>
  <c r="W94" i="1" s="1"/>
  <c r="FR94" i="1"/>
  <c r="GL94" i="1"/>
  <c r="GO94" i="1"/>
  <c r="GP94" i="1"/>
  <c r="GV94" i="1"/>
  <c r="HC94" i="1" s="1"/>
  <c r="GX94" i="1" s="1"/>
  <c r="I95" i="1"/>
  <c r="K95" i="1"/>
  <c r="AC95" i="1"/>
  <c r="AE95" i="1"/>
  <c r="AF95" i="1"/>
  <c r="AG95" i="1"/>
  <c r="AH95" i="1"/>
  <c r="AI95" i="1"/>
  <c r="AJ95" i="1"/>
  <c r="CU95" i="1"/>
  <c r="CV95" i="1"/>
  <c r="CW95" i="1"/>
  <c r="CX95" i="1"/>
  <c r="FR95" i="1"/>
  <c r="GL95" i="1"/>
  <c r="GO95" i="1"/>
  <c r="GP95" i="1"/>
  <c r="GV95" i="1"/>
  <c r="HC95" i="1"/>
  <c r="C96" i="1"/>
  <c r="D96" i="1"/>
  <c r="I96" i="1"/>
  <c r="K96" i="1"/>
  <c r="AC96" i="1"/>
  <c r="CQ96" i="1" s="1"/>
  <c r="P96" i="1" s="1"/>
  <c r="AE96" i="1"/>
  <c r="AD96" i="1" s="1"/>
  <c r="AF96" i="1"/>
  <c r="AG96" i="1"/>
  <c r="AH96" i="1"/>
  <c r="CV96" i="1" s="1"/>
  <c r="U96" i="1" s="1"/>
  <c r="AI96" i="1"/>
  <c r="CW96" i="1" s="1"/>
  <c r="V96" i="1" s="1"/>
  <c r="AJ96" i="1"/>
  <c r="CX96" i="1" s="1"/>
  <c r="W96" i="1" s="1"/>
  <c r="CS96" i="1"/>
  <c r="R96" i="1" s="1"/>
  <c r="CY96" i="1" s="1"/>
  <c r="X96" i="1" s="1"/>
  <c r="T386" i="6" s="1"/>
  <c r="K389" i="6" s="1"/>
  <c r="CT96" i="1"/>
  <c r="S96" i="1" s="1"/>
  <c r="K388" i="6" s="1"/>
  <c r="CU96" i="1"/>
  <c r="T96" i="1" s="1"/>
  <c r="FR96" i="1"/>
  <c r="GL96" i="1"/>
  <c r="GO96" i="1"/>
  <c r="GP96" i="1"/>
  <c r="GV96" i="1"/>
  <c r="HC96" i="1" s="1"/>
  <c r="GX96" i="1" s="1"/>
  <c r="I97" i="1"/>
  <c r="E393" i="6" s="1"/>
  <c r="K97" i="1"/>
  <c r="AC97" i="1"/>
  <c r="H393" i="6" s="1"/>
  <c r="AE97" i="1"/>
  <c r="AF97" i="1"/>
  <c r="AG97" i="1"/>
  <c r="CU97" i="1" s="1"/>
  <c r="T97" i="1" s="1"/>
  <c r="AH97" i="1"/>
  <c r="CV97" i="1" s="1"/>
  <c r="U97" i="1" s="1"/>
  <c r="L394" i="6" s="1"/>
  <c r="Q394" i="6" s="1"/>
  <c r="AI97" i="1"/>
  <c r="AJ97" i="1"/>
  <c r="CX97" i="1" s="1"/>
  <c r="W97" i="1" s="1"/>
  <c r="CT97" i="1"/>
  <c r="S97" i="1" s="1"/>
  <c r="CW97" i="1"/>
  <c r="FR97" i="1"/>
  <c r="GL97" i="1"/>
  <c r="GO97" i="1"/>
  <c r="GP97" i="1"/>
  <c r="GV97" i="1"/>
  <c r="HC97" i="1" s="1"/>
  <c r="GX97" i="1" s="1"/>
  <c r="C98" i="1"/>
  <c r="D98" i="1"/>
  <c r="AC98" i="1"/>
  <c r="AE98" i="1"/>
  <c r="H397" i="6" s="1"/>
  <c r="AF98" i="1"/>
  <c r="AG98" i="1"/>
  <c r="AH98" i="1"/>
  <c r="CV98" i="1" s="1"/>
  <c r="U98" i="1" s="1"/>
  <c r="AI98" i="1"/>
  <c r="CW98" i="1" s="1"/>
  <c r="V98" i="1" s="1"/>
  <c r="AJ98" i="1"/>
  <c r="CU98" i="1"/>
  <c r="T98" i="1" s="1"/>
  <c r="CX98" i="1"/>
  <c r="W98" i="1" s="1"/>
  <c r="FR98" i="1"/>
  <c r="GL98" i="1"/>
  <c r="GO98" i="1"/>
  <c r="GP98" i="1"/>
  <c r="GV98" i="1"/>
  <c r="HC98" i="1" s="1"/>
  <c r="GX98" i="1" s="1"/>
  <c r="I99" i="1"/>
  <c r="E402" i="6" s="1"/>
  <c r="T99" i="1"/>
  <c r="U99" i="1"/>
  <c r="AC99" i="1"/>
  <c r="AE99" i="1"/>
  <c r="AF99" i="1"/>
  <c r="CT99" i="1" s="1"/>
  <c r="S99" i="1" s="1"/>
  <c r="AG99" i="1"/>
  <c r="AH99" i="1"/>
  <c r="AI99" i="1"/>
  <c r="CW99" i="1" s="1"/>
  <c r="V99" i="1" s="1"/>
  <c r="AJ99" i="1"/>
  <c r="CQ99" i="1"/>
  <c r="P99" i="1" s="1"/>
  <c r="CU99" i="1"/>
  <c r="CV99" i="1"/>
  <c r="CX99" i="1"/>
  <c r="W99" i="1" s="1"/>
  <c r="FR99" i="1"/>
  <c r="GL99" i="1"/>
  <c r="GO99" i="1"/>
  <c r="GP99" i="1"/>
  <c r="GV99" i="1"/>
  <c r="HC99" i="1" s="1"/>
  <c r="GX99" i="1" s="1"/>
  <c r="I100" i="1"/>
  <c r="K100" i="1"/>
  <c r="AC100" i="1"/>
  <c r="AE100" i="1"/>
  <c r="AD100" i="1" s="1"/>
  <c r="AF100" i="1"/>
  <c r="AG100" i="1"/>
  <c r="CU100" i="1" s="1"/>
  <c r="AH100" i="1"/>
  <c r="CV100" i="1" s="1"/>
  <c r="U100" i="1" s="1"/>
  <c r="L405" i="6" s="1"/>
  <c r="Q405" i="6" s="1"/>
  <c r="AI100" i="1"/>
  <c r="AJ100" i="1"/>
  <c r="CX100" i="1" s="1"/>
  <c r="W100" i="1" s="1"/>
  <c r="CS100" i="1"/>
  <c r="CT100" i="1"/>
  <c r="CW100" i="1"/>
  <c r="FR100" i="1"/>
  <c r="GL100" i="1"/>
  <c r="GO100" i="1"/>
  <c r="GP100" i="1"/>
  <c r="GV100" i="1"/>
  <c r="HC100" i="1" s="1"/>
  <c r="I101" i="1"/>
  <c r="K101" i="1"/>
  <c r="AC101" i="1"/>
  <c r="H406" i="6" s="1"/>
  <c r="AD101" i="1"/>
  <c r="AE101" i="1"/>
  <c r="AF101" i="1"/>
  <c r="AG101" i="1"/>
  <c r="AH101" i="1"/>
  <c r="AI101" i="1"/>
  <c r="CW101" i="1" s="1"/>
  <c r="V101" i="1" s="1"/>
  <c r="AJ101" i="1"/>
  <c r="CQ101" i="1"/>
  <c r="P101" i="1" s="1"/>
  <c r="K406" i="6" s="1"/>
  <c r="J408" i="6" s="1"/>
  <c r="P408" i="6" s="1"/>
  <c r="CR101" i="1"/>
  <c r="Q101" i="1" s="1"/>
  <c r="CS101" i="1"/>
  <c r="CT101" i="1"/>
  <c r="S101" i="1" s="1"/>
  <c r="CU101" i="1"/>
  <c r="T101" i="1" s="1"/>
  <c r="CV101" i="1"/>
  <c r="U101" i="1" s="1"/>
  <c r="L408" i="6" s="1"/>
  <c r="Q408" i="6" s="1"/>
  <c r="CX101" i="1"/>
  <c r="W101" i="1" s="1"/>
  <c r="FR101" i="1"/>
  <c r="GL101" i="1"/>
  <c r="GO101" i="1"/>
  <c r="GP101" i="1"/>
  <c r="GV101" i="1"/>
  <c r="HC101" i="1" s="1"/>
  <c r="GX101" i="1" s="1"/>
  <c r="C102" i="1"/>
  <c r="D102" i="1"/>
  <c r="I102" i="1"/>
  <c r="K102" i="1"/>
  <c r="AC102" i="1"/>
  <c r="H413" i="6" s="1"/>
  <c r="AE102" i="1"/>
  <c r="AF102" i="1"/>
  <c r="AG102" i="1"/>
  <c r="CU102" i="1" s="1"/>
  <c r="T102" i="1" s="1"/>
  <c r="AH102" i="1"/>
  <c r="CV102" i="1" s="1"/>
  <c r="U102" i="1" s="1"/>
  <c r="AI102" i="1"/>
  <c r="CW102" i="1" s="1"/>
  <c r="AJ102" i="1"/>
  <c r="CR102" i="1"/>
  <c r="Q102" i="1" s="1"/>
  <c r="K411" i="6" s="1"/>
  <c r="CT102" i="1"/>
  <c r="S102" i="1" s="1"/>
  <c r="K410" i="6" s="1"/>
  <c r="CX102" i="1"/>
  <c r="W102" i="1" s="1"/>
  <c r="FR102" i="1"/>
  <c r="GL102" i="1"/>
  <c r="GO102" i="1"/>
  <c r="GP102" i="1"/>
  <c r="GV102" i="1"/>
  <c r="HC102" i="1" s="1"/>
  <c r="AC103" i="1"/>
  <c r="AE103" i="1"/>
  <c r="AF103" i="1"/>
  <c r="CT103" i="1" s="1"/>
  <c r="S103" i="1" s="1"/>
  <c r="AG103" i="1"/>
  <c r="AH103" i="1"/>
  <c r="AI103" i="1"/>
  <c r="CW103" i="1" s="1"/>
  <c r="V103" i="1" s="1"/>
  <c r="AJ103" i="1"/>
  <c r="CU103" i="1"/>
  <c r="T103" i="1" s="1"/>
  <c r="CV103" i="1"/>
  <c r="U103" i="1" s="1"/>
  <c r="L419" i="6" s="1"/>
  <c r="Q419" i="6" s="1"/>
  <c r="CX103" i="1"/>
  <c r="W103" i="1" s="1"/>
  <c r="FR103" i="1"/>
  <c r="GL103" i="1"/>
  <c r="GO103" i="1"/>
  <c r="GP103" i="1"/>
  <c r="GV103" i="1"/>
  <c r="HC103" i="1" s="1"/>
  <c r="GX103" i="1" s="1"/>
  <c r="C104" i="1"/>
  <c r="D104" i="1"/>
  <c r="I104" i="1"/>
  <c r="E420" i="6" s="1"/>
  <c r="K104" i="1"/>
  <c r="AC104" i="1"/>
  <c r="H424" i="6" s="1"/>
  <c r="AE104" i="1"/>
  <c r="AF104" i="1"/>
  <c r="AG104" i="1"/>
  <c r="CU104" i="1" s="1"/>
  <c r="T104" i="1" s="1"/>
  <c r="AH104" i="1"/>
  <c r="CV104" i="1" s="1"/>
  <c r="U104" i="1" s="1"/>
  <c r="AI104" i="1"/>
  <c r="CW104" i="1" s="1"/>
  <c r="AJ104" i="1"/>
  <c r="CT104" i="1"/>
  <c r="S104" i="1" s="1"/>
  <c r="K421" i="6" s="1"/>
  <c r="CX104" i="1"/>
  <c r="W104" i="1" s="1"/>
  <c r="FR104" i="1"/>
  <c r="GL104" i="1"/>
  <c r="GO104" i="1"/>
  <c r="GP104" i="1"/>
  <c r="GV104" i="1"/>
  <c r="HC104" i="1" s="1"/>
  <c r="GX104" i="1" s="1"/>
  <c r="W105" i="1"/>
  <c r="AC105" i="1"/>
  <c r="H429" i="6" s="1"/>
  <c r="AE105" i="1"/>
  <c r="AD105" i="1" s="1"/>
  <c r="AF105" i="1"/>
  <c r="AG105" i="1"/>
  <c r="CU105" i="1" s="1"/>
  <c r="T105" i="1" s="1"/>
  <c r="AH105" i="1"/>
  <c r="CV105" i="1" s="1"/>
  <c r="U105" i="1" s="1"/>
  <c r="L430" i="6" s="1"/>
  <c r="Q430" i="6" s="1"/>
  <c r="AI105" i="1"/>
  <c r="CW105" i="1" s="1"/>
  <c r="V105" i="1" s="1"/>
  <c r="AJ105" i="1"/>
  <c r="CS105" i="1"/>
  <c r="R105" i="1" s="1"/>
  <c r="CX105" i="1"/>
  <c r="FR105" i="1"/>
  <c r="GL105" i="1"/>
  <c r="GO105" i="1"/>
  <c r="GP105" i="1"/>
  <c r="GV105" i="1"/>
  <c r="HC105" i="1"/>
  <c r="GX105" i="1" s="1"/>
  <c r="C106" i="1"/>
  <c r="D106" i="1"/>
  <c r="W106" i="1"/>
  <c r="AC106" i="1"/>
  <c r="AE106" i="1"/>
  <c r="AD106" i="1" s="1"/>
  <c r="AF106" i="1"/>
  <c r="AG106" i="1"/>
  <c r="CU106" i="1" s="1"/>
  <c r="T106" i="1" s="1"/>
  <c r="AH106" i="1"/>
  <c r="AI106" i="1"/>
  <c r="CW106" i="1" s="1"/>
  <c r="V106" i="1" s="1"/>
  <c r="AJ106" i="1"/>
  <c r="CX106" i="1" s="1"/>
  <c r="CQ106" i="1"/>
  <c r="P106" i="1" s="1"/>
  <c r="CP106" i="1" s="1"/>
  <c r="O106" i="1" s="1"/>
  <c r="CR106" i="1"/>
  <c r="Q106" i="1" s="1"/>
  <c r="CS106" i="1"/>
  <c r="R106" i="1" s="1"/>
  <c r="CT106" i="1"/>
  <c r="S106" i="1" s="1"/>
  <c r="K432" i="6" s="1"/>
  <c r="CV106" i="1"/>
  <c r="U106" i="1" s="1"/>
  <c r="FR106" i="1"/>
  <c r="GL106" i="1"/>
  <c r="GO106" i="1"/>
  <c r="GP106" i="1"/>
  <c r="GV106" i="1"/>
  <c r="HC106" i="1"/>
  <c r="GX106" i="1" s="1"/>
  <c r="C107" i="1"/>
  <c r="D107" i="1"/>
  <c r="I107" i="1"/>
  <c r="E437" i="6" s="1"/>
  <c r="K107" i="1"/>
  <c r="AC107" i="1"/>
  <c r="AE107" i="1"/>
  <c r="AF107" i="1"/>
  <c r="AG107" i="1"/>
  <c r="CU107" i="1" s="1"/>
  <c r="AH107" i="1"/>
  <c r="CV107" i="1" s="1"/>
  <c r="U107" i="1" s="1"/>
  <c r="AI107" i="1"/>
  <c r="CW107" i="1" s="1"/>
  <c r="V107" i="1" s="1"/>
  <c r="AJ107" i="1"/>
  <c r="CS107" i="1"/>
  <c r="CT107" i="1"/>
  <c r="S107" i="1" s="1"/>
  <c r="K438" i="6" s="1"/>
  <c r="CX107" i="1"/>
  <c r="FR107" i="1"/>
  <c r="GL107" i="1"/>
  <c r="GO107" i="1"/>
  <c r="GP107" i="1"/>
  <c r="GV107" i="1"/>
  <c r="HC107" i="1"/>
  <c r="C108" i="1"/>
  <c r="D108" i="1"/>
  <c r="K108" i="1"/>
  <c r="AC108" i="1"/>
  <c r="AE108" i="1"/>
  <c r="AF108" i="1"/>
  <c r="AG108" i="1"/>
  <c r="CU108" i="1" s="1"/>
  <c r="AH108" i="1"/>
  <c r="CV108" i="1" s="1"/>
  <c r="AI108" i="1"/>
  <c r="CW108" i="1" s="1"/>
  <c r="AJ108" i="1"/>
  <c r="CS108" i="1"/>
  <c r="CT108" i="1"/>
  <c r="CX108" i="1"/>
  <c r="FR108" i="1"/>
  <c r="GL108" i="1"/>
  <c r="GO108" i="1"/>
  <c r="GP108" i="1"/>
  <c r="GV108" i="1"/>
  <c r="HC108" i="1"/>
  <c r="AC109" i="1"/>
  <c r="AE109" i="1"/>
  <c r="CS109" i="1" s="1"/>
  <c r="AF109" i="1"/>
  <c r="AG109" i="1"/>
  <c r="CU109" i="1" s="1"/>
  <c r="AH109" i="1"/>
  <c r="AI109" i="1"/>
  <c r="AJ109" i="1"/>
  <c r="CX109" i="1" s="1"/>
  <c r="CR109" i="1"/>
  <c r="CV109" i="1"/>
  <c r="CW109" i="1"/>
  <c r="FR109" i="1"/>
  <c r="GL109" i="1"/>
  <c r="GO109" i="1"/>
  <c r="GP109" i="1"/>
  <c r="GV109" i="1"/>
  <c r="HC109" i="1" s="1"/>
  <c r="AC110" i="1"/>
  <c r="AE110" i="1"/>
  <c r="AD110" i="1" s="1"/>
  <c r="AF110" i="1"/>
  <c r="AG110" i="1"/>
  <c r="AH110" i="1"/>
  <c r="AI110" i="1"/>
  <c r="AJ110" i="1"/>
  <c r="CS110" i="1"/>
  <c r="CU110" i="1"/>
  <c r="CV110" i="1"/>
  <c r="CW110" i="1"/>
  <c r="CX110" i="1"/>
  <c r="FR110" i="1"/>
  <c r="GL110" i="1"/>
  <c r="GO110" i="1"/>
  <c r="GP110" i="1"/>
  <c r="GV110" i="1"/>
  <c r="HC110" i="1" s="1"/>
  <c r="C111" i="1"/>
  <c r="D111" i="1"/>
  <c r="I111" i="1"/>
  <c r="E461" i="6" s="1"/>
  <c r="K111" i="1"/>
  <c r="T111" i="1"/>
  <c r="AC111" i="1"/>
  <c r="AE111" i="1"/>
  <c r="AD111" i="1" s="1"/>
  <c r="AF111" i="1"/>
  <c r="AG111" i="1"/>
  <c r="CU111" i="1" s="1"/>
  <c r="AH111" i="1"/>
  <c r="AI111" i="1"/>
  <c r="CW111" i="1" s="1"/>
  <c r="AJ111" i="1"/>
  <c r="CX111" i="1" s="1"/>
  <c r="W111" i="1" s="1"/>
  <c r="CQ111" i="1"/>
  <c r="CV111" i="1"/>
  <c r="U111" i="1" s="1"/>
  <c r="FR111" i="1"/>
  <c r="GL111" i="1"/>
  <c r="GO111" i="1"/>
  <c r="GP111" i="1"/>
  <c r="GV111" i="1"/>
  <c r="HC111" i="1"/>
  <c r="AC112" i="1"/>
  <c r="AE112" i="1"/>
  <c r="AD112" i="1" s="1"/>
  <c r="AF112" i="1"/>
  <c r="AG112" i="1"/>
  <c r="CU112" i="1" s="1"/>
  <c r="AH112" i="1"/>
  <c r="CV112" i="1" s="1"/>
  <c r="AI112" i="1"/>
  <c r="AJ112" i="1"/>
  <c r="CS112" i="1"/>
  <c r="CW112" i="1"/>
  <c r="CX112" i="1"/>
  <c r="FR112" i="1"/>
  <c r="GL112" i="1"/>
  <c r="GO112" i="1"/>
  <c r="GP112" i="1"/>
  <c r="GV112" i="1"/>
  <c r="HC112" i="1" s="1"/>
  <c r="I113" i="1"/>
  <c r="E471" i="6" s="1"/>
  <c r="K113" i="1"/>
  <c r="AC113" i="1"/>
  <c r="H471" i="6" s="1"/>
  <c r="AD113" i="1"/>
  <c r="AE113" i="1"/>
  <c r="AF113" i="1"/>
  <c r="AG113" i="1"/>
  <c r="AH113" i="1"/>
  <c r="CV113" i="1" s="1"/>
  <c r="U113" i="1" s="1"/>
  <c r="L472" i="6" s="1"/>
  <c r="Q472" i="6" s="1"/>
  <c r="AI113" i="1"/>
  <c r="AJ113" i="1"/>
  <c r="CX113" i="1" s="1"/>
  <c r="W113" i="1" s="1"/>
  <c r="CQ113" i="1"/>
  <c r="P113" i="1" s="1"/>
  <c r="K471" i="6" s="1"/>
  <c r="J472" i="6" s="1"/>
  <c r="P472" i="6" s="1"/>
  <c r="CR113" i="1"/>
  <c r="Q113" i="1" s="1"/>
  <c r="CS113" i="1"/>
  <c r="CT113" i="1"/>
  <c r="S113" i="1" s="1"/>
  <c r="CU113" i="1"/>
  <c r="T113" i="1" s="1"/>
  <c r="CW113" i="1"/>
  <c r="V113" i="1" s="1"/>
  <c r="FR113" i="1"/>
  <c r="GL113" i="1"/>
  <c r="GO113" i="1"/>
  <c r="GP113" i="1"/>
  <c r="GV113" i="1"/>
  <c r="HC113" i="1"/>
  <c r="GX113" i="1" s="1"/>
  <c r="C114" i="1"/>
  <c r="D114" i="1"/>
  <c r="I114" i="1"/>
  <c r="E473" i="6" s="1"/>
  <c r="K114" i="1"/>
  <c r="AC114" i="1"/>
  <c r="AE114" i="1"/>
  <c r="AF114" i="1"/>
  <c r="CT114" i="1" s="1"/>
  <c r="S114" i="1" s="1"/>
  <c r="K474" i="6" s="1"/>
  <c r="AG114" i="1"/>
  <c r="CU114" i="1" s="1"/>
  <c r="T114" i="1" s="1"/>
  <c r="AH114" i="1"/>
  <c r="CV114" i="1" s="1"/>
  <c r="AI114" i="1"/>
  <c r="AJ114" i="1"/>
  <c r="CX114" i="1" s="1"/>
  <c r="W114" i="1" s="1"/>
  <c r="CQ114" i="1"/>
  <c r="P114" i="1" s="1"/>
  <c r="K477" i="6" s="1"/>
  <c r="CW114" i="1"/>
  <c r="FR114" i="1"/>
  <c r="GL114" i="1"/>
  <c r="GO114" i="1"/>
  <c r="GP114" i="1"/>
  <c r="GV114" i="1"/>
  <c r="HC114" i="1"/>
  <c r="I115" i="1"/>
  <c r="E481" i="6" s="1"/>
  <c r="AC115" i="1"/>
  <c r="AE115" i="1"/>
  <c r="AD115" i="1" s="1"/>
  <c r="AF115" i="1"/>
  <c r="AG115" i="1"/>
  <c r="CU115" i="1" s="1"/>
  <c r="AH115" i="1"/>
  <c r="CV115" i="1" s="1"/>
  <c r="U115" i="1" s="1"/>
  <c r="AI115" i="1"/>
  <c r="CW115" i="1" s="1"/>
  <c r="V115" i="1" s="1"/>
  <c r="AJ115" i="1"/>
  <c r="CX115" i="1" s="1"/>
  <c r="CT115" i="1"/>
  <c r="S115" i="1" s="1"/>
  <c r="FR115" i="1"/>
  <c r="GL115" i="1"/>
  <c r="GO115" i="1"/>
  <c r="GP115" i="1"/>
  <c r="GV115" i="1"/>
  <c r="HC115" i="1" s="1"/>
  <c r="AC116" i="1"/>
  <c r="AE116" i="1"/>
  <c r="AD116" i="1" s="1"/>
  <c r="AF116" i="1"/>
  <c r="AG116" i="1"/>
  <c r="CU116" i="1" s="1"/>
  <c r="AH116" i="1"/>
  <c r="CV116" i="1" s="1"/>
  <c r="AI116" i="1"/>
  <c r="AJ116" i="1"/>
  <c r="CR116" i="1"/>
  <c r="CS116" i="1"/>
  <c r="CW116" i="1"/>
  <c r="CX116" i="1"/>
  <c r="FR116" i="1"/>
  <c r="GL116" i="1"/>
  <c r="GO116" i="1"/>
  <c r="GP116" i="1"/>
  <c r="GV116" i="1"/>
  <c r="HC116" i="1" s="1"/>
  <c r="I117" i="1"/>
  <c r="E484" i="6" s="1"/>
  <c r="K117" i="1"/>
  <c r="AC117" i="1"/>
  <c r="H484" i="6" s="1"/>
  <c r="AD117" i="1"/>
  <c r="AE117" i="1"/>
  <c r="AF117" i="1"/>
  <c r="AG117" i="1"/>
  <c r="CU117" i="1" s="1"/>
  <c r="T117" i="1" s="1"/>
  <c r="AH117" i="1"/>
  <c r="CV117" i="1" s="1"/>
  <c r="U117" i="1" s="1"/>
  <c r="L485" i="6" s="1"/>
  <c r="Q485" i="6" s="1"/>
  <c r="AI117" i="1"/>
  <c r="AJ117" i="1"/>
  <c r="CX117" i="1" s="1"/>
  <c r="W117" i="1" s="1"/>
  <c r="CQ117" i="1"/>
  <c r="P117" i="1" s="1"/>
  <c r="CR117" i="1"/>
  <c r="Q117" i="1" s="1"/>
  <c r="CS117" i="1"/>
  <c r="R117" i="1" s="1"/>
  <c r="CW117" i="1"/>
  <c r="V117" i="1" s="1"/>
  <c r="FR117" i="1"/>
  <c r="GL117" i="1"/>
  <c r="GO117" i="1"/>
  <c r="GP117" i="1"/>
  <c r="GV117" i="1"/>
  <c r="HC117" i="1"/>
  <c r="GX117" i="1" s="1"/>
  <c r="P118" i="1"/>
  <c r="K486" i="6" s="1"/>
  <c r="J487" i="6" s="1"/>
  <c r="P487" i="6" s="1"/>
  <c r="AC118" i="1"/>
  <c r="H486" i="6" s="1"/>
  <c r="AD118" i="1"/>
  <c r="AE118" i="1"/>
  <c r="AF118" i="1"/>
  <c r="AG118" i="1"/>
  <c r="AH118" i="1"/>
  <c r="AI118" i="1"/>
  <c r="CW118" i="1" s="1"/>
  <c r="V118" i="1" s="1"/>
  <c r="AJ118" i="1"/>
  <c r="CQ118" i="1"/>
  <c r="CR118" i="1"/>
  <c r="Q118" i="1" s="1"/>
  <c r="CS118" i="1"/>
  <c r="R118" i="1" s="1"/>
  <c r="CT118" i="1"/>
  <c r="S118" i="1" s="1"/>
  <c r="CU118" i="1"/>
  <c r="T118" i="1" s="1"/>
  <c r="CV118" i="1"/>
  <c r="U118" i="1" s="1"/>
  <c r="L487" i="6" s="1"/>
  <c r="Q487" i="6" s="1"/>
  <c r="CX118" i="1"/>
  <c r="W118" i="1" s="1"/>
  <c r="FR118" i="1"/>
  <c r="GL118" i="1"/>
  <c r="GO118" i="1"/>
  <c r="GP118" i="1"/>
  <c r="GV118" i="1"/>
  <c r="HC118" i="1"/>
  <c r="GX118" i="1" s="1"/>
  <c r="I119" i="1"/>
  <c r="K119" i="1"/>
  <c r="AC119" i="1"/>
  <c r="AE119" i="1"/>
  <c r="AD119" i="1" s="1"/>
  <c r="AF119" i="1"/>
  <c r="AG119" i="1"/>
  <c r="CU119" i="1" s="1"/>
  <c r="AH119" i="1"/>
  <c r="CV119" i="1" s="1"/>
  <c r="AI119" i="1"/>
  <c r="AJ119" i="1"/>
  <c r="CX119" i="1" s="1"/>
  <c r="W119" i="1" s="1"/>
  <c r="CQ119" i="1"/>
  <c r="CW119" i="1"/>
  <c r="FR119" i="1"/>
  <c r="GL119" i="1"/>
  <c r="GO119" i="1"/>
  <c r="GP119" i="1"/>
  <c r="GV119" i="1"/>
  <c r="HC119" i="1" s="1"/>
  <c r="AC120" i="1"/>
  <c r="H490" i="6" s="1"/>
  <c r="AE120" i="1"/>
  <c r="AD120" i="1" s="1"/>
  <c r="AB120" i="1" s="1"/>
  <c r="AF120" i="1"/>
  <c r="AG120" i="1"/>
  <c r="AH120" i="1"/>
  <c r="CV120" i="1" s="1"/>
  <c r="U120" i="1" s="1"/>
  <c r="L491" i="6" s="1"/>
  <c r="Q491" i="6" s="1"/>
  <c r="AI120" i="1"/>
  <c r="CW120" i="1" s="1"/>
  <c r="V120" i="1" s="1"/>
  <c r="AJ120" i="1"/>
  <c r="CX120" i="1" s="1"/>
  <c r="W120" i="1" s="1"/>
  <c r="CT120" i="1"/>
  <c r="S120" i="1" s="1"/>
  <c r="CU120" i="1"/>
  <c r="T120" i="1" s="1"/>
  <c r="FR120" i="1"/>
  <c r="GL120" i="1"/>
  <c r="GO120" i="1"/>
  <c r="GP120" i="1"/>
  <c r="GV120" i="1"/>
  <c r="HC120" i="1" s="1"/>
  <c r="GX120" i="1" s="1"/>
  <c r="C121" i="1"/>
  <c r="D121" i="1"/>
  <c r="U121" i="1"/>
  <c r="AC121" i="1"/>
  <c r="AE121" i="1"/>
  <c r="AD121" i="1" s="1"/>
  <c r="AF121" i="1"/>
  <c r="AG121" i="1"/>
  <c r="CU121" i="1" s="1"/>
  <c r="T121" i="1" s="1"/>
  <c r="AH121" i="1"/>
  <c r="CV121" i="1" s="1"/>
  <c r="AI121" i="1"/>
  <c r="CW121" i="1" s="1"/>
  <c r="V121" i="1" s="1"/>
  <c r="AJ121" i="1"/>
  <c r="CX121" i="1" s="1"/>
  <c r="W121" i="1" s="1"/>
  <c r="CQ121" i="1"/>
  <c r="P121" i="1" s="1"/>
  <c r="CS121" i="1"/>
  <c r="R121" i="1" s="1"/>
  <c r="FR121" i="1"/>
  <c r="GL121" i="1"/>
  <c r="GO121" i="1"/>
  <c r="GP121" i="1"/>
  <c r="GV121" i="1"/>
  <c r="HC121" i="1"/>
  <c r="GX121" i="1" s="1"/>
  <c r="C122" i="1"/>
  <c r="D122" i="1"/>
  <c r="AC122" i="1"/>
  <c r="CQ122" i="1" s="1"/>
  <c r="P122" i="1" s="1"/>
  <c r="AE122" i="1"/>
  <c r="AF122" i="1"/>
  <c r="AG122" i="1"/>
  <c r="CU122" i="1" s="1"/>
  <c r="T122" i="1" s="1"/>
  <c r="AH122" i="1"/>
  <c r="CV122" i="1" s="1"/>
  <c r="U122" i="1" s="1"/>
  <c r="AI122" i="1"/>
  <c r="CW122" i="1" s="1"/>
  <c r="V122" i="1" s="1"/>
  <c r="AJ122" i="1"/>
  <c r="CR122" i="1"/>
  <c r="Q122" i="1" s="1"/>
  <c r="K500" i="6" s="1"/>
  <c r="CS122" i="1"/>
  <c r="R122" i="1" s="1"/>
  <c r="K501" i="6" s="1"/>
  <c r="CX122" i="1"/>
  <c r="W122" i="1" s="1"/>
  <c r="FR122" i="1"/>
  <c r="GL122" i="1"/>
  <c r="GO122" i="1"/>
  <c r="GP122" i="1"/>
  <c r="GV122" i="1"/>
  <c r="HC122" i="1" s="1"/>
  <c r="GX122" i="1" s="1"/>
  <c r="C123" i="1"/>
  <c r="D123" i="1"/>
  <c r="I123" i="1"/>
  <c r="E506" i="6" s="1"/>
  <c r="K123" i="1"/>
  <c r="R123" i="1"/>
  <c r="K509" i="6" s="1"/>
  <c r="AC123" i="1"/>
  <c r="H510" i="6" s="1"/>
  <c r="AD123" i="1"/>
  <c r="AE123" i="1"/>
  <c r="AF123" i="1"/>
  <c r="AG123" i="1"/>
  <c r="AH123" i="1"/>
  <c r="AI123" i="1"/>
  <c r="AJ123" i="1"/>
  <c r="CX123" i="1" s="1"/>
  <c r="CQ123" i="1"/>
  <c r="CR123" i="1"/>
  <c r="Q123" i="1" s="1"/>
  <c r="K508" i="6" s="1"/>
  <c r="CS123" i="1"/>
  <c r="CT123" i="1"/>
  <c r="S123" i="1" s="1"/>
  <c r="CU123" i="1"/>
  <c r="T123" i="1" s="1"/>
  <c r="CV123" i="1"/>
  <c r="CW123" i="1"/>
  <c r="FR123" i="1"/>
  <c r="GL123" i="1"/>
  <c r="GO123" i="1"/>
  <c r="GP123" i="1"/>
  <c r="GV123" i="1"/>
  <c r="HC123" i="1"/>
  <c r="GX123" i="1" s="1"/>
  <c r="I124" i="1"/>
  <c r="AC124" i="1"/>
  <c r="CQ124" i="1" s="1"/>
  <c r="P124" i="1" s="1"/>
  <c r="AE124" i="1"/>
  <c r="AD124" i="1" s="1"/>
  <c r="AF124" i="1"/>
  <c r="AG124" i="1"/>
  <c r="AH124" i="1"/>
  <c r="AI124" i="1"/>
  <c r="CW124" i="1" s="1"/>
  <c r="V124" i="1" s="1"/>
  <c r="AJ124" i="1"/>
  <c r="CS124" i="1"/>
  <c r="CT124" i="1"/>
  <c r="S124" i="1" s="1"/>
  <c r="CU124" i="1"/>
  <c r="CV124" i="1"/>
  <c r="CX124" i="1"/>
  <c r="W124" i="1" s="1"/>
  <c r="FR124" i="1"/>
  <c r="GL124" i="1"/>
  <c r="GO124" i="1"/>
  <c r="GP124" i="1"/>
  <c r="GV124" i="1"/>
  <c r="HC124" i="1" s="1"/>
  <c r="I125" i="1"/>
  <c r="K125" i="1"/>
  <c r="AC125" i="1"/>
  <c r="AE125" i="1"/>
  <c r="AD125" i="1" s="1"/>
  <c r="AF125" i="1"/>
  <c r="AG125" i="1"/>
  <c r="CU125" i="1" s="1"/>
  <c r="AH125" i="1"/>
  <c r="CV125" i="1" s="1"/>
  <c r="U125" i="1" s="1"/>
  <c r="L518" i="6" s="1"/>
  <c r="Q518" i="6" s="1"/>
  <c r="AI125" i="1"/>
  <c r="CW125" i="1" s="1"/>
  <c r="V125" i="1" s="1"/>
  <c r="AJ125" i="1"/>
  <c r="CX125" i="1" s="1"/>
  <c r="CT125" i="1"/>
  <c r="S125" i="1" s="1"/>
  <c r="FR125" i="1"/>
  <c r="GL125" i="1"/>
  <c r="GO125" i="1"/>
  <c r="GP125" i="1"/>
  <c r="GV125" i="1"/>
  <c r="HC125" i="1" s="1"/>
  <c r="GX125" i="1" s="1"/>
  <c r="AC126" i="1"/>
  <c r="AE126" i="1"/>
  <c r="CS126" i="1" s="1"/>
  <c r="AF126" i="1"/>
  <c r="AG126" i="1"/>
  <c r="CU126" i="1" s="1"/>
  <c r="AH126" i="1"/>
  <c r="CV126" i="1" s="1"/>
  <c r="AI126" i="1"/>
  <c r="AJ126" i="1"/>
  <c r="CR126" i="1"/>
  <c r="CT126" i="1"/>
  <c r="CW126" i="1"/>
  <c r="CX126" i="1"/>
  <c r="FR126" i="1"/>
  <c r="GL126" i="1"/>
  <c r="GO126" i="1"/>
  <c r="GP126" i="1"/>
  <c r="GV126" i="1"/>
  <c r="HC126" i="1" s="1"/>
  <c r="C127" i="1"/>
  <c r="D127" i="1"/>
  <c r="I127" i="1"/>
  <c r="E521" i="6" s="1"/>
  <c r="K127" i="1"/>
  <c r="AC127" i="1"/>
  <c r="AE127" i="1"/>
  <c r="AF127" i="1"/>
  <c r="AG127" i="1"/>
  <c r="CU127" i="1" s="1"/>
  <c r="T127" i="1" s="1"/>
  <c r="AH127" i="1"/>
  <c r="CV127" i="1" s="1"/>
  <c r="U127" i="1" s="1"/>
  <c r="AI127" i="1"/>
  <c r="CW127" i="1" s="1"/>
  <c r="V127" i="1" s="1"/>
  <c r="AJ127" i="1"/>
  <c r="CR127" i="1"/>
  <c r="Q127" i="1" s="1"/>
  <c r="K523" i="6" s="1"/>
  <c r="CT127" i="1"/>
  <c r="S127" i="1" s="1"/>
  <c r="K522" i="6" s="1"/>
  <c r="CX127" i="1"/>
  <c r="W127" i="1" s="1"/>
  <c r="FR127" i="1"/>
  <c r="GL127" i="1"/>
  <c r="GN127" i="1"/>
  <c r="GP127" i="1"/>
  <c r="GV127" i="1"/>
  <c r="HC127" i="1" s="1"/>
  <c r="GX127" i="1" s="1"/>
  <c r="I128" i="1"/>
  <c r="K128" i="1"/>
  <c r="AC128" i="1"/>
  <c r="H530" i="6" s="1"/>
  <c r="AE128" i="1"/>
  <c r="CS128" i="1" s="1"/>
  <c r="R128" i="1" s="1"/>
  <c r="AF128" i="1"/>
  <c r="AG128" i="1"/>
  <c r="CU128" i="1" s="1"/>
  <c r="T128" i="1" s="1"/>
  <c r="AH128" i="1"/>
  <c r="AI128" i="1"/>
  <c r="CW128" i="1" s="1"/>
  <c r="AJ128" i="1"/>
  <c r="CX128" i="1" s="1"/>
  <c r="W128" i="1" s="1"/>
  <c r="CQ128" i="1"/>
  <c r="P128" i="1" s="1"/>
  <c r="K530" i="6" s="1"/>
  <c r="J531" i="6" s="1"/>
  <c r="P531" i="6" s="1"/>
  <c r="CV128" i="1"/>
  <c r="FR128" i="1"/>
  <c r="GL128" i="1"/>
  <c r="GO128" i="1"/>
  <c r="GP128" i="1"/>
  <c r="GV128" i="1"/>
  <c r="HC128" i="1"/>
  <c r="GX128" i="1" s="1"/>
  <c r="I129" i="1"/>
  <c r="K129" i="1"/>
  <c r="W129" i="1"/>
  <c r="AC129" i="1"/>
  <c r="H532" i="6" s="1"/>
  <c r="AE129" i="1"/>
  <c r="CS129" i="1" s="1"/>
  <c r="R129" i="1" s="1"/>
  <c r="AF129" i="1"/>
  <c r="AG129" i="1"/>
  <c r="CU129" i="1" s="1"/>
  <c r="T129" i="1" s="1"/>
  <c r="AH129" i="1"/>
  <c r="CV129" i="1" s="1"/>
  <c r="U129" i="1" s="1"/>
  <c r="L533" i="6" s="1"/>
  <c r="Q533" i="6" s="1"/>
  <c r="AI129" i="1"/>
  <c r="AJ129" i="1"/>
  <c r="CR129" i="1"/>
  <c r="Q129" i="1" s="1"/>
  <c r="CT129" i="1"/>
  <c r="S129" i="1" s="1"/>
  <c r="CW129" i="1"/>
  <c r="CX129" i="1"/>
  <c r="FR129" i="1"/>
  <c r="GL129" i="1"/>
  <c r="GO129" i="1"/>
  <c r="GP129" i="1"/>
  <c r="GV129" i="1"/>
  <c r="HC129" i="1" s="1"/>
  <c r="C130" i="1"/>
  <c r="D130" i="1"/>
  <c r="I130" i="1"/>
  <c r="E534" i="6" s="1"/>
  <c r="K130" i="1"/>
  <c r="AC130" i="1"/>
  <c r="AE130" i="1"/>
  <c r="CR130" i="1" s="1"/>
  <c r="Q130" i="1" s="1"/>
  <c r="K536" i="6" s="1"/>
  <c r="AF130" i="1"/>
  <c r="AG130" i="1"/>
  <c r="AH130" i="1"/>
  <c r="CV130" i="1" s="1"/>
  <c r="U130" i="1" s="1"/>
  <c r="AI130" i="1"/>
  <c r="CW130" i="1" s="1"/>
  <c r="AJ130" i="1"/>
  <c r="CU130" i="1"/>
  <c r="T130" i="1" s="1"/>
  <c r="CX130" i="1"/>
  <c r="FR130" i="1"/>
  <c r="GL130" i="1"/>
  <c r="GO130" i="1"/>
  <c r="GP130" i="1"/>
  <c r="GV130" i="1"/>
  <c r="HC130" i="1"/>
  <c r="GX130" i="1" s="1"/>
  <c r="C132" i="1"/>
  <c r="D132" i="1"/>
  <c r="I132" i="1"/>
  <c r="K132" i="1"/>
  <c r="AC132" i="1"/>
  <c r="H550" i="6" s="1"/>
  <c r="AE132" i="1"/>
  <c r="CR132" i="1" s="1"/>
  <c r="Q132" i="1" s="1"/>
  <c r="K548" i="6" s="1"/>
  <c r="AF132" i="1"/>
  <c r="AG132" i="1"/>
  <c r="AH132" i="1"/>
  <c r="AI132" i="1"/>
  <c r="CW132" i="1" s="1"/>
  <c r="V132" i="1" s="1"/>
  <c r="AJ132" i="1"/>
  <c r="CX132" i="1" s="1"/>
  <c r="W132" i="1" s="1"/>
  <c r="CQ132" i="1"/>
  <c r="P132" i="1" s="1"/>
  <c r="K550" i="6" s="1"/>
  <c r="CU132" i="1"/>
  <c r="T132" i="1" s="1"/>
  <c r="CV132" i="1"/>
  <c r="U132" i="1" s="1"/>
  <c r="FR132" i="1"/>
  <c r="GL132" i="1"/>
  <c r="GO132" i="1"/>
  <c r="GP132" i="1"/>
  <c r="GV132" i="1"/>
  <c r="HC132" i="1" s="1"/>
  <c r="GX132" i="1" s="1"/>
  <c r="I133" i="1"/>
  <c r="K133" i="1"/>
  <c r="O133" i="1"/>
  <c r="P133" i="1"/>
  <c r="Q133" i="1"/>
  <c r="R133" i="1"/>
  <c r="S133" i="1"/>
  <c r="T133" i="1"/>
  <c r="U133" i="1"/>
  <c r="L556" i="6" s="1"/>
  <c r="Q556" i="6" s="1"/>
  <c r="V133" i="1"/>
  <c r="W133" i="1"/>
  <c r="X133" i="1"/>
  <c r="T555" i="6" s="1"/>
  <c r="Y133" i="1"/>
  <c r="V555" i="6" s="1"/>
  <c r="AB133" i="1"/>
  <c r="AC133" i="1"/>
  <c r="AD133" i="1"/>
  <c r="AE133" i="1"/>
  <c r="AF133" i="1"/>
  <c r="AG133" i="1"/>
  <c r="AH133" i="1"/>
  <c r="AI133" i="1"/>
  <c r="AJ133" i="1"/>
  <c r="FR133" i="1"/>
  <c r="GL133" i="1"/>
  <c r="GO133" i="1"/>
  <c r="GP133" i="1"/>
  <c r="GV133" i="1"/>
  <c r="GX133" i="1"/>
  <c r="C134" i="1"/>
  <c r="D134" i="1"/>
  <c r="I134" i="1"/>
  <c r="K134" i="1"/>
  <c r="AC134" i="1"/>
  <c r="AD134" i="1"/>
  <c r="AE134" i="1"/>
  <c r="AF134" i="1"/>
  <c r="AG134" i="1"/>
  <c r="CU134" i="1" s="1"/>
  <c r="AH134" i="1"/>
  <c r="CV134" i="1" s="1"/>
  <c r="AI134" i="1"/>
  <c r="CW134" i="1" s="1"/>
  <c r="AJ134" i="1"/>
  <c r="CQ134" i="1"/>
  <c r="CR134" i="1"/>
  <c r="Q134" i="1" s="1"/>
  <c r="K560" i="6" s="1"/>
  <c r="CS134" i="1"/>
  <c r="CX134" i="1"/>
  <c r="FR134" i="1"/>
  <c r="GL134" i="1"/>
  <c r="GO134" i="1"/>
  <c r="GP134" i="1"/>
  <c r="GV134" i="1"/>
  <c r="HC134" i="1" s="1"/>
  <c r="GX134" i="1" s="1"/>
  <c r="C136" i="1"/>
  <c r="D136" i="1"/>
  <c r="I136" i="1"/>
  <c r="E569" i="6" s="1"/>
  <c r="K136" i="1"/>
  <c r="AC136" i="1"/>
  <c r="H573" i="6" s="1"/>
  <c r="AE136" i="1"/>
  <c r="AF136" i="1"/>
  <c r="AG136" i="1"/>
  <c r="CU136" i="1" s="1"/>
  <c r="T136" i="1" s="1"/>
  <c r="AH136" i="1"/>
  <c r="CV136" i="1" s="1"/>
  <c r="U136" i="1" s="1"/>
  <c r="AI136" i="1"/>
  <c r="AJ136" i="1"/>
  <c r="CR136" i="1"/>
  <c r="Q136" i="1" s="1"/>
  <c r="K571" i="6" s="1"/>
  <c r="CT136" i="1"/>
  <c r="S136" i="1" s="1"/>
  <c r="CW136" i="1"/>
  <c r="V136" i="1" s="1"/>
  <c r="CX136" i="1"/>
  <c r="FR136" i="1"/>
  <c r="GL136" i="1"/>
  <c r="GO136" i="1"/>
  <c r="GP136" i="1"/>
  <c r="GV136" i="1"/>
  <c r="HC136" i="1" s="1"/>
  <c r="C137" i="1"/>
  <c r="D137" i="1"/>
  <c r="I137" i="1"/>
  <c r="E578" i="6" s="1"/>
  <c r="K137" i="1"/>
  <c r="S137" i="1"/>
  <c r="K579" i="6" s="1"/>
  <c r="AC137" i="1"/>
  <c r="AE137" i="1"/>
  <c r="CS137" i="1" s="1"/>
  <c r="R137" i="1" s="1"/>
  <c r="AF137" i="1"/>
  <c r="AG137" i="1"/>
  <c r="AH137" i="1"/>
  <c r="CV137" i="1" s="1"/>
  <c r="U137" i="1" s="1"/>
  <c r="AI137" i="1"/>
  <c r="CW137" i="1" s="1"/>
  <c r="V137" i="1" s="1"/>
  <c r="AJ137" i="1"/>
  <c r="CX137" i="1" s="1"/>
  <c r="W137" i="1" s="1"/>
  <c r="CT137" i="1"/>
  <c r="CU137" i="1"/>
  <c r="T137" i="1" s="1"/>
  <c r="CZ137" i="1"/>
  <c r="Y137" i="1" s="1"/>
  <c r="V578" i="6" s="1"/>
  <c r="K581" i="6" s="1"/>
  <c r="FR137" i="1"/>
  <c r="GL137" i="1"/>
  <c r="GO137" i="1"/>
  <c r="GP137" i="1"/>
  <c r="GV137" i="1"/>
  <c r="HC137" i="1" s="1"/>
  <c r="GX137" i="1" s="1"/>
  <c r="C138" i="1"/>
  <c r="D138" i="1"/>
  <c r="I138" i="1"/>
  <c r="AC138" i="1"/>
  <c r="AE138" i="1"/>
  <c r="CS138" i="1" s="1"/>
  <c r="R138" i="1" s="1"/>
  <c r="AF138" i="1"/>
  <c r="AG138" i="1"/>
  <c r="AH138" i="1"/>
  <c r="AI138" i="1"/>
  <c r="CW138" i="1" s="1"/>
  <c r="V138" i="1" s="1"/>
  <c r="AJ138" i="1"/>
  <c r="CX138" i="1" s="1"/>
  <c r="W138" i="1" s="1"/>
  <c r="CQ138" i="1"/>
  <c r="P138" i="1" s="1"/>
  <c r="CU138" i="1"/>
  <c r="T138" i="1" s="1"/>
  <c r="CV138" i="1"/>
  <c r="FR138" i="1"/>
  <c r="GL138" i="1"/>
  <c r="GO138" i="1"/>
  <c r="GP138" i="1"/>
  <c r="GV138" i="1"/>
  <c r="HC138" i="1" s="1"/>
  <c r="GX138" i="1" s="1"/>
  <c r="I139" i="1"/>
  <c r="K139" i="1"/>
  <c r="O139" i="1"/>
  <c r="P139" i="1"/>
  <c r="Q139" i="1"/>
  <c r="R139" i="1"/>
  <c r="S139" i="1"/>
  <c r="T139" i="1"/>
  <c r="U139" i="1"/>
  <c r="L591" i="6" s="1"/>
  <c r="Q591" i="6" s="1"/>
  <c r="V139" i="1"/>
  <c r="W139" i="1"/>
  <c r="X139" i="1"/>
  <c r="T590" i="6" s="1"/>
  <c r="Y139" i="1"/>
  <c r="V590" i="6" s="1"/>
  <c r="AB139" i="1"/>
  <c r="H590" i="6" s="1"/>
  <c r="AC139" i="1"/>
  <c r="AD139" i="1"/>
  <c r="AE139" i="1"/>
  <c r="AF139" i="1"/>
  <c r="AG139" i="1"/>
  <c r="AH139" i="1"/>
  <c r="AI139" i="1"/>
  <c r="AJ139" i="1"/>
  <c r="CP139" i="1"/>
  <c r="GM139" i="1" s="1"/>
  <c r="FR139" i="1"/>
  <c r="GL139" i="1"/>
  <c r="GO139" i="1"/>
  <c r="GP139" i="1"/>
  <c r="GV139" i="1"/>
  <c r="GX139" i="1"/>
  <c r="C140" i="1"/>
  <c r="D140" i="1"/>
  <c r="I140" i="1"/>
  <c r="E592" i="6" s="1"/>
  <c r="K140" i="1"/>
  <c r="AC140" i="1"/>
  <c r="H596" i="6" s="1"/>
  <c r="AE140" i="1"/>
  <c r="AF140" i="1"/>
  <c r="CT140" i="1" s="1"/>
  <c r="S140" i="1" s="1"/>
  <c r="AG140" i="1"/>
  <c r="AH140" i="1"/>
  <c r="AI140" i="1"/>
  <c r="CW140" i="1" s="1"/>
  <c r="V140" i="1" s="1"/>
  <c r="AJ140" i="1"/>
  <c r="CU140" i="1"/>
  <c r="T140" i="1" s="1"/>
  <c r="CV140" i="1"/>
  <c r="U140" i="1" s="1"/>
  <c r="CX140" i="1"/>
  <c r="W140" i="1" s="1"/>
  <c r="FR140" i="1"/>
  <c r="GL140" i="1"/>
  <c r="GO140" i="1"/>
  <c r="GP140" i="1"/>
  <c r="GV140" i="1"/>
  <c r="HC140" i="1" s="1"/>
  <c r="GX140" i="1" s="1"/>
  <c r="C141" i="1"/>
  <c r="D141" i="1"/>
  <c r="I141" i="1"/>
  <c r="K141" i="1"/>
  <c r="AC141" i="1"/>
  <c r="AE141" i="1"/>
  <c r="AF141" i="1"/>
  <c r="CT141" i="1" s="1"/>
  <c r="S141" i="1" s="1"/>
  <c r="K602" i="6" s="1"/>
  <c r="AG141" i="1"/>
  <c r="CU141" i="1" s="1"/>
  <c r="AH141" i="1"/>
  <c r="CV141" i="1" s="1"/>
  <c r="U141" i="1" s="1"/>
  <c r="AI141" i="1"/>
  <c r="CW141" i="1" s="1"/>
  <c r="V141" i="1" s="1"/>
  <c r="AJ141" i="1"/>
  <c r="CX141" i="1" s="1"/>
  <c r="W141" i="1" s="1"/>
  <c r="CR141" i="1"/>
  <c r="Q141" i="1" s="1"/>
  <c r="K603" i="6" s="1"/>
  <c r="FR141" i="1"/>
  <c r="GL141" i="1"/>
  <c r="GO141" i="1"/>
  <c r="GP141" i="1"/>
  <c r="GV141" i="1"/>
  <c r="HC141" i="1" s="1"/>
  <c r="GX141" i="1" s="1"/>
  <c r="K142" i="1"/>
  <c r="AC142" i="1"/>
  <c r="AE142" i="1"/>
  <c r="AF142" i="1"/>
  <c r="AG142" i="1"/>
  <c r="CU142" i="1" s="1"/>
  <c r="AH142" i="1"/>
  <c r="CV142" i="1" s="1"/>
  <c r="AI142" i="1"/>
  <c r="AJ142" i="1"/>
  <c r="CT142" i="1"/>
  <c r="CW142" i="1"/>
  <c r="CX142" i="1"/>
  <c r="FR142" i="1"/>
  <c r="GL142" i="1"/>
  <c r="GO142" i="1"/>
  <c r="GP142" i="1"/>
  <c r="GV142" i="1"/>
  <c r="HC142" i="1" s="1"/>
  <c r="C143" i="1"/>
  <c r="D143" i="1"/>
  <c r="I143" i="1"/>
  <c r="E612" i="6" s="1"/>
  <c r="K143" i="1"/>
  <c r="AC143" i="1"/>
  <c r="H616" i="6" s="1"/>
  <c r="AE143" i="1"/>
  <c r="AF143" i="1"/>
  <c r="CT143" i="1" s="1"/>
  <c r="S143" i="1" s="1"/>
  <c r="K613" i="6" s="1"/>
  <c r="AG143" i="1"/>
  <c r="CU143" i="1" s="1"/>
  <c r="T143" i="1" s="1"/>
  <c r="AH143" i="1"/>
  <c r="AI143" i="1"/>
  <c r="CW143" i="1" s="1"/>
  <c r="AJ143" i="1"/>
  <c r="CQ143" i="1"/>
  <c r="P143" i="1" s="1"/>
  <c r="CR143" i="1"/>
  <c r="Q143" i="1" s="1"/>
  <c r="K614" i="6" s="1"/>
  <c r="CV143" i="1"/>
  <c r="U143" i="1" s="1"/>
  <c r="CX143" i="1"/>
  <c r="W143" i="1" s="1"/>
  <c r="FR143" i="1"/>
  <c r="GL143" i="1"/>
  <c r="GO143" i="1"/>
  <c r="GP143" i="1"/>
  <c r="GV143" i="1"/>
  <c r="HC143" i="1" s="1"/>
  <c r="GX143" i="1" s="1"/>
  <c r="I144" i="1"/>
  <c r="E621" i="6" s="1"/>
  <c r="AC144" i="1"/>
  <c r="H621" i="6" s="1"/>
  <c r="AE144" i="1"/>
  <c r="CS144" i="1" s="1"/>
  <c r="R144" i="1" s="1"/>
  <c r="AF144" i="1"/>
  <c r="AG144" i="1"/>
  <c r="CU144" i="1" s="1"/>
  <c r="AH144" i="1"/>
  <c r="CV144" i="1" s="1"/>
  <c r="U144" i="1" s="1"/>
  <c r="L622" i="6" s="1"/>
  <c r="Q622" i="6" s="1"/>
  <c r="AI144" i="1"/>
  <c r="CW144" i="1" s="1"/>
  <c r="V144" i="1" s="1"/>
  <c r="AJ144" i="1"/>
  <c r="CT144" i="1"/>
  <c r="S144" i="1" s="1"/>
  <c r="CX144" i="1"/>
  <c r="W144" i="1" s="1"/>
  <c r="FR144" i="1"/>
  <c r="GL144" i="1"/>
  <c r="GO144" i="1"/>
  <c r="GP144" i="1"/>
  <c r="GV144" i="1"/>
  <c r="HC144" i="1" s="1"/>
  <c r="GX144" i="1" s="1"/>
  <c r="C145" i="1"/>
  <c r="D145" i="1"/>
  <c r="I145" i="1"/>
  <c r="E623" i="6" s="1"/>
  <c r="K145" i="1"/>
  <c r="AC145" i="1"/>
  <c r="CQ145" i="1" s="1"/>
  <c r="P145" i="1" s="1"/>
  <c r="K627" i="6" s="1"/>
  <c r="AE145" i="1"/>
  <c r="AF145" i="1"/>
  <c r="AG145" i="1"/>
  <c r="CU145" i="1" s="1"/>
  <c r="AH145" i="1"/>
  <c r="CV145" i="1" s="1"/>
  <c r="U145" i="1" s="1"/>
  <c r="AI145" i="1"/>
  <c r="CW145" i="1" s="1"/>
  <c r="V145" i="1" s="1"/>
  <c r="AJ145" i="1"/>
  <c r="CS145" i="1"/>
  <c r="CT145" i="1"/>
  <c r="CX145" i="1"/>
  <c r="FR145" i="1"/>
  <c r="GL145" i="1"/>
  <c r="GO145" i="1"/>
  <c r="GP145" i="1"/>
  <c r="GV145" i="1"/>
  <c r="HC145" i="1" s="1"/>
  <c r="GX145" i="1" s="1"/>
  <c r="I146" i="1"/>
  <c r="K146" i="1"/>
  <c r="T146" i="1"/>
  <c r="AC146" i="1"/>
  <c r="AE146" i="1"/>
  <c r="AD146" i="1" s="1"/>
  <c r="AF146" i="1"/>
  <c r="AG146" i="1"/>
  <c r="CU146" i="1" s="1"/>
  <c r="AH146" i="1"/>
  <c r="AI146" i="1"/>
  <c r="CW146" i="1" s="1"/>
  <c r="AJ146" i="1"/>
  <c r="CX146" i="1" s="1"/>
  <c r="W146" i="1" s="1"/>
  <c r="CQ146" i="1"/>
  <c r="P146" i="1" s="1"/>
  <c r="CS146" i="1"/>
  <c r="R146" i="1" s="1"/>
  <c r="CV146" i="1"/>
  <c r="U146" i="1" s="1"/>
  <c r="L633" i="6" s="1"/>
  <c r="Q633" i="6" s="1"/>
  <c r="FR146" i="1"/>
  <c r="GL146" i="1"/>
  <c r="GO146" i="1"/>
  <c r="GP146" i="1"/>
  <c r="GV146" i="1"/>
  <c r="HC146" i="1"/>
  <c r="GX146" i="1" s="1"/>
  <c r="C147" i="1"/>
  <c r="D147" i="1"/>
  <c r="I147" i="1"/>
  <c r="E634" i="6" s="1"/>
  <c r="K147" i="1"/>
  <c r="AC147" i="1"/>
  <c r="AE147" i="1"/>
  <c r="CS147" i="1" s="1"/>
  <c r="R147" i="1" s="1"/>
  <c r="K637" i="6" s="1"/>
  <c r="AF147" i="1"/>
  <c r="AG147" i="1"/>
  <c r="AH147" i="1"/>
  <c r="CV147" i="1" s="1"/>
  <c r="U147" i="1" s="1"/>
  <c r="AI147" i="1"/>
  <c r="CW147" i="1" s="1"/>
  <c r="V147" i="1" s="1"/>
  <c r="AJ147" i="1"/>
  <c r="CX147" i="1" s="1"/>
  <c r="W147" i="1" s="1"/>
  <c r="CT147" i="1"/>
  <c r="S147" i="1" s="1"/>
  <c r="K635" i="6" s="1"/>
  <c r="CU147" i="1"/>
  <c r="T147" i="1" s="1"/>
  <c r="FR147" i="1"/>
  <c r="GL147" i="1"/>
  <c r="GO147" i="1"/>
  <c r="GP147" i="1"/>
  <c r="GV147" i="1"/>
  <c r="HC147" i="1"/>
  <c r="GX147" i="1" s="1"/>
  <c r="AC148" i="1"/>
  <c r="AD148" i="1"/>
  <c r="AE148" i="1"/>
  <c r="AF148" i="1"/>
  <c r="AG148" i="1"/>
  <c r="CU148" i="1" s="1"/>
  <c r="AH148" i="1"/>
  <c r="AI148" i="1"/>
  <c r="CW148" i="1" s="1"/>
  <c r="AJ148" i="1"/>
  <c r="CX148" i="1" s="1"/>
  <c r="CQ148" i="1"/>
  <c r="CR148" i="1"/>
  <c r="CS148" i="1"/>
  <c r="CT148" i="1"/>
  <c r="CV148" i="1"/>
  <c r="FR148" i="1"/>
  <c r="GL148" i="1"/>
  <c r="GO148" i="1"/>
  <c r="GP148" i="1"/>
  <c r="GV148" i="1"/>
  <c r="HC148" i="1" s="1"/>
  <c r="T149" i="1"/>
  <c r="AC149" i="1"/>
  <c r="H646" i="6" s="1"/>
  <c r="AE149" i="1"/>
  <c r="AD149" i="1" s="1"/>
  <c r="AB149" i="1" s="1"/>
  <c r="AF149" i="1"/>
  <c r="AG149" i="1"/>
  <c r="AH149" i="1"/>
  <c r="CV149" i="1" s="1"/>
  <c r="U149" i="1" s="1"/>
  <c r="L647" i="6" s="1"/>
  <c r="Q647" i="6" s="1"/>
  <c r="AI149" i="1"/>
  <c r="CW149" i="1" s="1"/>
  <c r="V149" i="1" s="1"/>
  <c r="AJ149" i="1"/>
  <c r="CX149" i="1" s="1"/>
  <c r="W149" i="1" s="1"/>
  <c r="CQ149" i="1"/>
  <c r="P149" i="1" s="1"/>
  <c r="K646" i="6" s="1"/>
  <c r="J647" i="6" s="1"/>
  <c r="P647" i="6" s="1"/>
  <c r="CS149" i="1"/>
  <c r="R149" i="1" s="1"/>
  <c r="CU149" i="1"/>
  <c r="FR149" i="1"/>
  <c r="GL149" i="1"/>
  <c r="GO149" i="1"/>
  <c r="GP149" i="1"/>
  <c r="GV149" i="1"/>
  <c r="HC149" i="1" s="1"/>
  <c r="GX149" i="1" s="1"/>
  <c r="AC150" i="1"/>
  <c r="H648" i="6" s="1"/>
  <c r="AE150" i="1"/>
  <c r="AD150" i="1" s="1"/>
  <c r="AF150" i="1"/>
  <c r="CT150" i="1" s="1"/>
  <c r="S150" i="1" s="1"/>
  <c r="CZ150" i="1" s="1"/>
  <c r="Y150" i="1" s="1"/>
  <c r="V648" i="6" s="1"/>
  <c r="AG150" i="1"/>
  <c r="CU150" i="1" s="1"/>
  <c r="T150" i="1" s="1"/>
  <c r="AH150" i="1"/>
  <c r="CV150" i="1" s="1"/>
  <c r="U150" i="1" s="1"/>
  <c r="L649" i="6" s="1"/>
  <c r="Q649" i="6" s="1"/>
  <c r="AI150" i="1"/>
  <c r="CW150" i="1" s="1"/>
  <c r="V150" i="1" s="1"/>
  <c r="AJ150" i="1"/>
  <c r="CX150" i="1" s="1"/>
  <c r="W150" i="1" s="1"/>
  <c r="CQ150" i="1"/>
  <c r="P150" i="1" s="1"/>
  <c r="K648" i="6" s="1"/>
  <c r="J649" i="6" s="1"/>
  <c r="P649" i="6" s="1"/>
  <c r="CS150" i="1"/>
  <c r="R150" i="1" s="1"/>
  <c r="FR150" i="1"/>
  <c r="GL150" i="1"/>
  <c r="GO150" i="1"/>
  <c r="GP150" i="1"/>
  <c r="GV150" i="1"/>
  <c r="HC150" i="1" s="1"/>
  <c r="GX150" i="1" s="1"/>
  <c r="C152" i="1"/>
  <c r="D152" i="1"/>
  <c r="R152" i="1"/>
  <c r="AC152" i="1"/>
  <c r="CQ152" i="1" s="1"/>
  <c r="P152" i="1" s="1"/>
  <c r="CP152" i="1" s="1"/>
  <c r="O152" i="1" s="1"/>
  <c r="AD152" i="1"/>
  <c r="AE152" i="1"/>
  <c r="AF152" i="1"/>
  <c r="CT152" i="1" s="1"/>
  <c r="S152" i="1" s="1"/>
  <c r="AG152" i="1"/>
  <c r="CU152" i="1" s="1"/>
  <c r="T152" i="1" s="1"/>
  <c r="AH152" i="1"/>
  <c r="CV152" i="1" s="1"/>
  <c r="U152" i="1" s="1"/>
  <c r="AI152" i="1"/>
  <c r="AJ152" i="1"/>
  <c r="CX152" i="1" s="1"/>
  <c r="W152" i="1" s="1"/>
  <c r="CR152" i="1"/>
  <c r="Q152" i="1" s="1"/>
  <c r="CS152" i="1"/>
  <c r="CW152" i="1"/>
  <c r="V152" i="1" s="1"/>
  <c r="FR152" i="1"/>
  <c r="GL152" i="1"/>
  <c r="GO152" i="1"/>
  <c r="GP152" i="1"/>
  <c r="GV152" i="1"/>
  <c r="HC152" i="1" s="1"/>
  <c r="GX152" i="1" s="1"/>
  <c r="C153" i="1"/>
  <c r="D153" i="1"/>
  <c r="AC153" i="1"/>
  <c r="AE153" i="1"/>
  <c r="AD153" i="1" s="1"/>
  <c r="AF153" i="1"/>
  <c r="AG153" i="1"/>
  <c r="AH153" i="1"/>
  <c r="AI153" i="1"/>
  <c r="CW153" i="1" s="1"/>
  <c r="V153" i="1" s="1"/>
  <c r="AJ153" i="1"/>
  <c r="CX153" i="1" s="1"/>
  <c r="W153" i="1" s="1"/>
  <c r="CQ153" i="1"/>
  <c r="P153" i="1" s="1"/>
  <c r="CU153" i="1"/>
  <c r="T153" i="1" s="1"/>
  <c r="CV153" i="1"/>
  <c r="U153" i="1" s="1"/>
  <c r="FR153" i="1"/>
  <c r="GL153" i="1"/>
  <c r="GO153" i="1"/>
  <c r="GP153" i="1"/>
  <c r="GV153" i="1"/>
  <c r="HC153" i="1" s="1"/>
  <c r="GX153" i="1" s="1"/>
  <c r="C154" i="1"/>
  <c r="D154" i="1"/>
  <c r="I154" i="1"/>
  <c r="K154" i="1"/>
  <c r="AC154" i="1"/>
  <c r="AE154" i="1"/>
  <c r="AD154" i="1" s="1"/>
  <c r="AB154" i="1" s="1"/>
  <c r="AF154" i="1"/>
  <c r="AG154" i="1"/>
  <c r="AH154" i="1"/>
  <c r="AI154" i="1"/>
  <c r="AJ154" i="1"/>
  <c r="CX154" i="1" s="1"/>
  <c r="W154" i="1" s="1"/>
  <c r="CQ154" i="1"/>
  <c r="CS154" i="1"/>
  <c r="R154" i="1" s="1"/>
  <c r="CT154" i="1"/>
  <c r="S154" i="1" s="1"/>
  <c r="K667" i="6" s="1"/>
  <c r="CU154" i="1"/>
  <c r="CV154" i="1"/>
  <c r="CW154" i="1"/>
  <c r="FR154" i="1"/>
  <c r="GL154" i="1"/>
  <c r="GO154" i="1"/>
  <c r="GP154" i="1"/>
  <c r="CD178" i="1" s="1"/>
  <c r="CD22" i="1" s="1"/>
  <c r="GV154" i="1"/>
  <c r="HC154" i="1" s="1"/>
  <c r="GX154" i="1" s="1"/>
  <c r="C155" i="1"/>
  <c r="D155" i="1"/>
  <c r="I155" i="1"/>
  <c r="K155" i="1"/>
  <c r="AC155" i="1"/>
  <c r="AE155" i="1"/>
  <c r="CR155" i="1" s="1"/>
  <c r="Q155" i="1" s="1"/>
  <c r="K678" i="6" s="1"/>
  <c r="AF155" i="1"/>
  <c r="AG155" i="1"/>
  <c r="AH155" i="1"/>
  <c r="AI155" i="1"/>
  <c r="CW155" i="1" s="1"/>
  <c r="V155" i="1" s="1"/>
  <c r="AJ155" i="1"/>
  <c r="CX155" i="1" s="1"/>
  <c r="W155" i="1" s="1"/>
  <c r="CU155" i="1"/>
  <c r="T155" i="1" s="1"/>
  <c r="CV155" i="1"/>
  <c r="U155" i="1" s="1"/>
  <c r="FR155" i="1"/>
  <c r="GL155" i="1"/>
  <c r="GO155" i="1"/>
  <c r="GP155" i="1"/>
  <c r="GV155" i="1"/>
  <c r="HC155" i="1" s="1"/>
  <c r="AC156" i="1"/>
  <c r="AE156" i="1"/>
  <c r="CS156" i="1" s="1"/>
  <c r="AF156" i="1"/>
  <c r="CT156" i="1" s="1"/>
  <c r="AG156" i="1"/>
  <c r="AH156" i="1"/>
  <c r="AI156" i="1"/>
  <c r="CW156" i="1" s="1"/>
  <c r="AJ156" i="1"/>
  <c r="CX156" i="1" s="1"/>
  <c r="CU156" i="1"/>
  <c r="CV156" i="1"/>
  <c r="FR156" i="1"/>
  <c r="GL156" i="1"/>
  <c r="GO156" i="1"/>
  <c r="GP156" i="1"/>
  <c r="GV156" i="1"/>
  <c r="HC156" i="1" s="1"/>
  <c r="P157" i="1"/>
  <c r="K686" i="6" s="1"/>
  <c r="J687" i="6" s="1"/>
  <c r="P687" i="6" s="1"/>
  <c r="AC157" i="1"/>
  <c r="H686" i="6" s="1"/>
  <c r="AE157" i="1"/>
  <c r="CS157" i="1" s="1"/>
  <c r="R157" i="1" s="1"/>
  <c r="AF157" i="1"/>
  <c r="AG157" i="1"/>
  <c r="CU157" i="1" s="1"/>
  <c r="T157" i="1" s="1"/>
  <c r="AH157" i="1"/>
  <c r="AI157" i="1"/>
  <c r="CW157" i="1" s="1"/>
  <c r="V157" i="1" s="1"/>
  <c r="AJ157" i="1"/>
  <c r="CX157" i="1" s="1"/>
  <c r="W157" i="1" s="1"/>
  <c r="CQ157" i="1"/>
  <c r="CV157" i="1"/>
  <c r="U157" i="1" s="1"/>
  <c r="L687" i="6" s="1"/>
  <c r="Q687" i="6" s="1"/>
  <c r="FR157" i="1"/>
  <c r="GL157" i="1"/>
  <c r="GO157" i="1"/>
  <c r="GP157" i="1"/>
  <c r="GV157" i="1"/>
  <c r="HC157" i="1" s="1"/>
  <c r="GX157" i="1"/>
  <c r="P158" i="1"/>
  <c r="S158" i="1"/>
  <c r="AC158" i="1"/>
  <c r="CQ158" i="1" s="1"/>
  <c r="AE158" i="1"/>
  <c r="CR158" i="1" s="1"/>
  <c r="Q158" i="1" s="1"/>
  <c r="K689" i="6" s="1"/>
  <c r="J691" i="6" s="1"/>
  <c r="P691" i="6" s="1"/>
  <c r="AF158" i="1"/>
  <c r="AG158" i="1"/>
  <c r="AH158" i="1"/>
  <c r="CV158" i="1" s="1"/>
  <c r="U158" i="1" s="1"/>
  <c r="L691" i="6" s="1"/>
  <c r="Q691" i="6" s="1"/>
  <c r="AI158" i="1"/>
  <c r="CW158" i="1" s="1"/>
  <c r="V158" i="1" s="1"/>
  <c r="AJ158" i="1"/>
  <c r="CX158" i="1" s="1"/>
  <c r="W158" i="1" s="1"/>
  <c r="CT158" i="1"/>
  <c r="CU158" i="1"/>
  <c r="T158" i="1" s="1"/>
  <c r="FR158" i="1"/>
  <c r="GL158" i="1"/>
  <c r="GO158" i="1"/>
  <c r="GP158" i="1"/>
  <c r="GV158" i="1"/>
  <c r="HC158" i="1" s="1"/>
  <c r="GX158" i="1" s="1"/>
  <c r="C160" i="1"/>
  <c r="D160" i="1"/>
  <c r="I160" i="1"/>
  <c r="E694" i="6" s="1"/>
  <c r="K160" i="1"/>
  <c r="AC160" i="1"/>
  <c r="AD160" i="1"/>
  <c r="AE160" i="1"/>
  <c r="AF160" i="1"/>
  <c r="AG160" i="1"/>
  <c r="CU160" i="1" s="1"/>
  <c r="T160" i="1" s="1"/>
  <c r="AH160" i="1"/>
  <c r="CV160" i="1" s="1"/>
  <c r="U160" i="1" s="1"/>
  <c r="AI160" i="1"/>
  <c r="CW160" i="1" s="1"/>
  <c r="AJ160" i="1"/>
  <c r="CR160" i="1"/>
  <c r="Q160" i="1" s="1"/>
  <c r="K696" i="6" s="1"/>
  <c r="CS160" i="1"/>
  <c r="CT160" i="1"/>
  <c r="S160" i="1" s="1"/>
  <c r="K695" i="6" s="1"/>
  <c r="CX160" i="1"/>
  <c r="W160" i="1" s="1"/>
  <c r="FR160" i="1"/>
  <c r="GL160" i="1"/>
  <c r="GO160" i="1"/>
  <c r="GP160" i="1"/>
  <c r="GV160" i="1"/>
  <c r="HC160" i="1" s="1"/>
  <c r="C161" i="1"/>
  <c r="D161" i="1"/>
  <c r="Q161" i="1"/>
  <c r="K704" i="6" s="1"/>
  <c r="AC161" i="1"/>
  <c r="AD161" i="1"/>
  <c r="AE161" i="1"/>
  <c r="AF161" i="1"/>
  <c r="CT161" i="1" s="1"/>
  <c r="S161" i="1" s="1"/>
  <c r="K703" i="6" s="1"/>
  <c r="AG161" i="1"/>
  <c r="CU161" i="1" s="1"/>
  <c r="T161" i="1" s="1"/>
  <c r="AH161" i="1"/>
  <c r="AI161" i="1"/>
  <c r="AJ161" i="1"/>
  <c r="CX161" i="1" s="1"/>
  <c r="W161" i="1" s="1"/>
  <c r="CR161" i="1"/>
  <c r="CV161" i="1"/>
  <c r="U161" i="1" s="1"/>
  <c r="CW161" i="1"/>
  <c r="V161" i="1" s="1"/>
  <c r="FR161" i="1"/>
  <c r="GL161" i="1"/>
  <c r="GN161" i="1"/>
  <c r="GP161" i="1"/>
  <c r="GV161" i="1"/>
  <c r="HC161" i="1" s="1"/>
  <c r="GX161" i="1" s="1"/>
  <c r="C162" i="1"/>
  <c r="D162" i="1"/>
  <c r="AC162" i="1"/>
  <c r="H715" i="6" s="1"/>
  <c r="AE162" i="1"/>
  <c r="AF162" i="1"/>
  <c r="CT162" i="1" s="1"/>
  <c r="S162" i="1" s="1"/>
  <c r="AG162" i="1"/>
  <c r="CU162" i="1" s="1"/>
  <c r="T162" i="1" s="1"/>
  <c r="AH162" i="1"/>
  <c r="AI162" i="1"/>
  <c r="AJ162" i="1"/>
  <c r="CX162" i="1" s="1"/>
  <c r="W162" i="1" s="1"/>
  <c r="CQ162" i="1"/>
  <c r="P162" i="1" s="1"/>
  <c r="CR162" i="1"/>
  <c r="Q162" i="1" s="1"/>
  <c r="K713" i="6" s="1"/>
  <c r="CV162" i="1"/>
  <c r="U162" i="1" s="1"/>
  <c r="CW162" i="1"/>
  <c r="V162" i="1" s="1"/>
  <c r="FR162" i="1"/>
  <c r="GL162" i="1"/>
  <c r="GO162" i="1"/>
  <c r="GP162" i="1"/>
  <c r="GV162" i="1"/>
  <c r="HC162" i="1" s="1"/>
  <c r="GX162" i="1"/>
  <c r="P163" i="1"/>
  <c r="K720" i="6" s="1"/>
  <c r="J721" i="6" s="1"/>
  <c r="P721" i="6" s="1"/>
  <c r="AC163" i="1"/>
  <c r="H720" i="6" s="1"/>
  <c r="AE163" i="1"/>
  <c r="CS163" i="1" s="1"/>
  <c r="R163" i="1" s="1"/>
  <c r="AF163" i="1"/>
  <c r="AG163" i="1"/>
  <c r="AH163" i="1"/>
  <c r="CV163" i="1" s="1"/>
  <c r="U163" i="1" s="1"/>
  <c r="L721" i="6" s="1"/>
  <c r="Q721" i="6" s="1"/>
  <c r="AI163" i="1"/>
  <c r="CW163" i="1" s="1"/>
  <c r="V163" i="1" s="1"/>
  <c r="AJ163" i="1"/>
  <c r="CX163" i="1" s="1"/>
  <c r="W163" i="1" s="1"/>
  <c r="CQ163" i="1"/>
  <c r="CU163" i="1"/>
  <c r="T163" i="1" s="1"/>
  <c r="FR163" i="1"/>
  <c r="GL163" i="1"/>
  <c r="GO163" i="1"/>
  <c r="GP163" i="1"/>
  <c r="GV163" i="1"/>
  <c r="HC163" i="1" s="1"/>
  <c r="GX163" i="1"/>
  <c r="C164" i="1"/>
  <c r="D164" i="1"/>
  <c r="P164" i="1"/>
  <c r="AC164" i="1"/>
  <c r="CQ164" i="1" s="1"/>
  <c r="AE164" i="1"/>
  <c r="AF164" i="1"/>
  <c r="CT164" i="1" s="1"/>
  <c r="S164" i="1" s="1"/>
  <c r="K723" i="6" s="1"/>
  <c r="AG164" i="1"/>
  <c r="CU164" i="1" s="1"/>
  <c r="T164" i="1" s="1"/>
  <c r="AH164" i="1"/>
  <c r="CV164" i="1" s="1"/>
  <c r="U164" i="1" s="1"/>
  <c r="AI164" i="1"/>
  <c r="AJ164" i="1"/>
  <c r="CS164" i="1"/>
  <c r="R164" i="1" s="1"/>
  <c r="CW164" i="1"/>
  <c r="V164" i="1" s="1"/>
  <c r="CX164" i="1"/>
  <c r="W164" i="1" s="1"/>
  <c r="FR164" i="1"/>
  <c r="GL164" i="1"/>
  <c r="GO164" i="1"/>
  <c r="GP164" i="1"/>
  <c r="GV164" i="1"/>
  <c r="HC164" i="1"/>
  <c r="GX164" i="1" s="1"/>
  <c r="C165" i="1"/>
  <c r="D165" i="1"/>
  <c r="I165" i="1"/>
  <c r="K165" i="1"/>
  <c r="AC165" i="1"/>
  <c r="AE165" i="1"/>
  <c r="AF165" i="1"/>
  <c r="AG165" i="1"/>
  <c r="CU165" i="1" s="1"/>
  <c r="T165" i="1" s="1"/>
  <c r="AH165" i="1"/>
  <c r="CV165" i="1" s="1"/>
  <c r="U165" i="1" s="1"/>
  <c r="AI165" i="1"/>
  <c r="CW165" i="1" s="1"/>
  <c r="V165" i="1" s="1"/>
  <c r="AJ165" i="1"/>
  <c r="CX165" i="1" s="1"/>
  <c r="W165" i="1" s="1"/>
  <c r="CT165" i="1"/>
  <c r="S165" i="1" s="1"/>
  <c r="K731" i="6" s="1"/>
  <c r="FR165" i="1"/>
  <c r="GL165" i="1"/>
  <c r="GO165" i="1"/>
  <c r="GP165" i="1"/>
  <c r="GV165" i="1"/>
  <c r="HC165" i="1" s="1"/>
  <c r="GX165" i="1" s="1"/>
  <c r="C166" i="1"/>
  <c r="D166" i="1"/>
  <c r="I166" i="1"/>
  <c r="K166" i="1"/>
  <c r="AC166" i="1"/>
  <c r="AE166" i="1"/>
  <c r="CS166" i="1" s="1"/>
  <c r="R166" i="1" s="1"/>
  <c r="K743" i="6" s="1"/>
  <c r="AF166" i="1"/>
  <c r="CT166" i="1" s="1"/>
  <c r="S166" i="1" s="1"/>
  <c r="K741" i="6" s="1"/>
  <c r="AG166" i="1"/>
  <c r="CU166" i="1" s="1"/>
  <c r="T166" i="1" s="1"/>
  <c r="AH166" i="1"/>
  <c r="AI166" i="1"/>
  <c r="AJ166" i="1"/>
  <c r="CX166" i="1" s="1"/>
  <c r="W166" i="1" s="1"/>
  <c r="CV166" i="1"/>
  <c r="U166" i="1" s="1"/>
  <c r="CW166" i="1"/>
  <c r="V166" i="1" s="1"/>
  <c r="FR166" i="1"/>
  <c r="GL166" i="1"/>
  <c r="GO166" i="1"/>
  <c r="GP166" i="1"/>
  <c r="GV166" i="1"/>
  <c r="HC166" i="1"/>
  <c r="AC167" i="1"/>
  <c r="AE167" i="1"/>
  <c r="AD167" i="1" s="1"/>
  <c r="AB167" i="1" s="1"/>
  <c r="AF167" i="1"/>
  <c r="AG167" i="1"/>
  <c r="CU167" i="1" s="1"/>
  <c r="AH167" i="1"/>
  <c r="AI167" i="1"/>
  <c r="CW167" i="1" s="1"/>
  <c r="AJ167" i="1"/>
  <c r="CX167" i="1" s="1"/>
  <c r="CQ167" i="1"/>
  <c r="CS167" i="1"/>
  <c r="CT167" i="1"/>
  <c r="CV167" i="1"/>
  <c r="FR167" i="1"/>
  <c r="GL167" i="1"/>
  <c r="GO167" i="1"/>
  <c r="GP167" i="1"/>
  <c r="GV167" i="1"/>
  <c r="HC167" i="1" s="1"/>
  <c r="AC168" i="1"/>
  <c r="H750" i="6" s="1"/>
  <c r="AE168" i="1"/>
  <c r="AF168" i="1"/>
  <c r="AG168" i="1"/>
  <c r="CU168" i="1" s="1"/>
  <c r="T168" i="1" s="1"/>
  <c r="AH168" i="1"/>
  <c r="AI168" i="1"/>
  <c r="CW168" i="1" s="1"/>
  <c r="V168" i="1" s="1"/>
  <c r="AJ168" i="1"/>
  <c r="CX168" i="1" s="1"/>
  <c r="W168" i="1" s="1"/>
  <c r="CT168" i="1"/>
  <c r="S168" i="1" s="1"/>
  <c r="CV168" i="1"/>
  <c r="U168" i="1" s="1"/>
  <c r="L751" i="6" s="1"/>
  <c r="Q751" i="6" s="1"/>
  <c r="FR168" i="1"/>
  <c r="GL168" i="1"/>
  <c r="GO168" i="1"/>
  <c r="GP168" i="1"/>
  <c r="GV168" i="1"/>
  <c r="HC168" i="1"/>
  <c r="GX168" i="1" s="1"/>
  <c r="C169" i="1"/>
  <c r="D169" i="1"/>
  <c r="I169" i="1"/>
  <c r="E752" i="6" s="1"/>
  <c r="K169" i="1"/>
  <c r="AC169" i="1"/>
  <c r="H756" i="6" s="1"/>
  <c r="AE169" i="1"/>
  <c r="AF169" i="1"/>
  <c r="AG169" i="1"/>
  <c r="AH169" i="1"/>
  <c r="CV169" i="1" s="1"/>
  <c r="U169" i="1" s="1"/>
  <c r="AI169" i="1"/>
  <c r="CW169" i="1" s="1"/>
  <c r="V169" i="1" s="1"/>
  <c r="AJ169" i="1"/>
  <c r="CX169" i="1" s="1"/>
  <c r="W169" i="1" s="1"/>
  <c r="CU169" i="1"/>
  <c r="T169" i="1" s="1"/>
  <c r="FR169" i="1"/>
  <c r="GL169" i="1"/>
  <c r="GO169" i="1"/>
  <c r="GP169" i="1"/>
  <c r="GV169" i="1"/>
  <c r="HC169" i="1"/>
  <c r="GX169" i="1" s="1"/>
  <c r="K170" i="1"/>
  <c r="AC170" i="1"/>
  <c r="AE170" i="1"/>
  <c r="AD170" i="1" s="1"/>
  <c r="AF170" i="1"/>
  <c r="AG170" i="1"/>
  <c r="AH170" i="1"/>
  <c r="CV170" i="1" s="1"/>
  <c r="AI170" i="1"/>
  <c r="CW170" i="1" s="1"/>
  <c r="AJ170" i="1"/>
  <c r="CX170" i="1" s="1"/>
  <c r="CQ170" i="1"/>
  <c r="CS170" i="1"/>
  <c r="CU170" i="1"/>
  <c r="FR170" i="1"/>
  <c r="GL170" i="1"/>
  <c r="GO170" i="1"/>
  <c r="GP170" i="1"/>
  <c r="GV170" i="1"/>
  <c r="HC170" i="1"/>
  <c r="AC171" i="1"/>
  <c r="AE171" i="1"/>
  <c r="CR171" i="1" s="1"/>
  <c r="Q171" i="1" s="1"/>
  <c r="AF171" i="1"/>
  <c r="AG171" i="1"/>
  <c r="AH171" i="1"/>
  <c r="AI171" i="1"/>
  <c r="CW171" i="1" s="1"/>
  <c r="V171" i="1" s="1"/>
  <c r="AJ171" i="1"/>
  <c r="CX171" i="1" s="1"/>
  <c r="W171" i="1" s="1"/>
  <c r="CU171" i="1"/>
  <c r="T171" i="1" s="1"/>
  <c r="CV171" i="1"/>
  <c r="U171" i="1" s="1"/>
  <c r="L765" i="6" s="1"/>
  <c r="Q765" i="6" s="1"/>
  <c r="FR171" i="1"/>
  <c r="GL171" i="1"/>
  <c r="GO171" i="1"/>
  <c r="GP171" i="1"/>
  <c r="GV171" i="1"/>
  <c r="HC171" i="1" s="1"/>
  <c r="GX171" i="1" s="1"/>
  <c r="I173" i="1"/>
  <c r="K175" i="1" s="1"/>
  <c r="K173" i="1"/>
  <c r="O173" i="1"/>
  <c r="P173" i="1"/>
  <c r="Q173" i="1"/>
  <c r="R173" i="1"/>
  <c r="S173" i="1"/>
  <c r="T173" i="1"/>
  <c r="U173" i="1"/>
  <c r="L769" i="6" s="1"/>
  <c r="Q769" i="6" s="1"/>
  <c r="V173" i="1"/>
  <c r="W173" i="1"/>
  <c r="X173" i="1"/>
  <c r="T768" i="6" s="1"/>
  <c r="Y173" i="1"/>
  <c r="V768" i="6" s="1"/>
  <c r="AB173" i="1"/>
  <c r="AC173" i="1"/>
  <c r="AD173" i="1"/>
  <c r="AE173" i="1"/>
  <c r="AF173" i="1"/>
  <c r="AG173" i="1"/>
  <c r="AH173" i="1"/>
  <c r="AI173" i="1"/>
  <c r="AJ173" i="1"/>
  <c r="FR173" i="1"/>
  <c r="GL173" i="1"/>
  <c r="GO173" i="1"/>
  <c r="GP173" i="1"/>
  <c r="GV173" i="1"/>
  <c r="GX173" i="1"/>
  <c r="I174" i="1"/>
  <c r="K174" i="1"/>
  <c r="O174" i="1"/>
  <c r="P174" i="1"/>
  <c r="Q174" i="1"/>
  <c r="R174" i="1"/>
  <c r="S174" i="1"/>
  <c r="T174" i="1"/>
  <c r="U174" i="1"/>
  <c r="L771" i="6" s="1"/>
  <c r="Q771" i="6" s="1"/>
  <c r="V174" i="1"/>
  <c r="W174" i="1"/>
  <c r="X174" i="1"/>
  <c r="T770" i="6" s="1"/>
  <c r="Y174" i="1"/>
  <c r="V770" i="6" s="1"/>
  <c r="AB174" i="1"/>
  <c r="AC174" i="1"/>
  <c r="AD174" i="1"/>
  <c r="AE174" i="1"/>
  <c r="AF174" i="1"/>
  <c r="AG174" i="1"/>
  <c r="AH174" i="1"/>
  <c r="AI174" i="1"/>
  <c r="AJ174" i="1"/>
  <c r="FR174" i="1"/>
  <c r="GL174" i="1"/>
  <c r="GO174" i="1"/>
  <c r="GP174" i="1"/>
  <c r="GV174" i="1"/>
  <c r="GX174" i="1"/>
  <c r="I175" i="1"/>
  <c r="O175" i="1"/>
  <c r="P175" i="1"/>
  <c r="Q175" i="1"/>
  <c r="R175" i="1"/>
  <c r="S175" i="1"/>
  <c r="T175" i="1"/>
  <c r="U175" i="1"/>
  <c r="L774" i="6" s="1"/>
  <c r="Q774" i="6" s="1"/>
  <c r="V175" i="1"/>
  <c r="W175" i="1"/>
  <c r="X175" i="1"/>
  <c r="T772" i="6" s="1"/>
  <c r="Y175" i="1"/>
  <c r="V772" i="6" s="1"/>
  <c r="AB175" i="1"/>
  <c r="AC175" i="1"/>
  <c r="AD175" i="1"/>
  <c r="AE175" i="1"/>
  <c r="AF175" i="1"/>
  <c r="AG175" i="1"/>
  <c r="AH175" i="1"/>
  <c r="AI175" i="1"/>
  <c r="AJ175" i="1"/>
  <c r="FR175" i="1"/>
  <c r="GL175" i="1"/>
  <c r="GO175" i="1"/>
  <c r="GP175" i="1"/>
  <c r="GV175" i="1"/>
  <c r="GX175" i="1"/>
  <c r="AC176" i="1"/>
  <c r="AE176" i="1"/>
  <c r="AD176" i="1" s="1"/>
  <c r="AF176" i="1"/>
  <c r="AG176" i="1"/>
  <c r="CU176" i="1" s="1"/>
  <c r="AH176" i="1"/>
  <c r="AI176" i="1"/>
  <c r="AJ176" i="1"/>
  <c r="CX176" i="1" s="1"/>
  <c r="CQ176" i="1"/>
  <c r="CR176" i="1"/>
  <c r="CS176" i="1"/>
  <c r="CT176" i="1"/>
  <c r="CV176" i="1"/>
  <c r="CW176" i="1"/>
  <c r="FR176" i="1"/>
  <c r="GL176" i="1"/>
  <c r="GO176" i="1"/>
  <c r="GP176" i="1"/>
  <c r="GV176" i="1"/>
  <c r="HC176" i="1"/>
  <c r="B178" i="1"/>
  <c r="B22" i="1" s="1"/>
  <c r="C178" i="1"/>
  <c r="C22" i="1" s="1"/>
  <c r="D178" i="1"/>
  <c r="D22" i="1" s="1"/>
  <c r="F178" i="1"/>
  <c r="F22" i="1" s="1"/>
  <c r="G178" i="1"/>
  <c r="BX178" i="1"/>
  <c r="BX22" i="1" s="1"/>
  <c r="CK178" i="1"/>
  <c r="CK22" i="1" s="1"/>
  <c r="CL178" i="1"/>
  <c r="CL22" i="1" s="1"/>
  <c r="B208" i="1"/>
  <c r="B18" i="1" s="1"/>
  <c r="C208" i="1"/>
  <c r="C18" i="1" s="1"/>
  <c r="D208" i="1"/>
  <c r="D18" i="1" s="1"/>
  <c r="F208" i="1"/>
  <c r="F18" i="1" s="1"/>
  <c r="G208" i="1"/>
  <c r="B20" i="2"/>
  <c r="B21" i="2"/>
  <c r="B22" i="2"/>
  <c r="B23" i="2"/>
  <c r="B24" i="2"/>
  <c r="B25" i="2"/>
  <c r="B26" i="2"/>
  <c r="B27" i="2"/>
  <c r="B28" i="2"/>
  <c r="B29" i="2"/>
  <c r="B30" i="2"/>
  <c r="B32" i="2"/>
  <c r="B33" i="2"/>
  <c r="B35" i="2"/>
  <c r="B36" i="2"/>
  <c r="B37" i="2"/>
  <c r="B39" i="2"/>
  <c r="B40" i="2"/>
  <c r="B41" i="2"/>
  <c r="B42" i="2"/>
  <c r="B43" i="2"/>
  <c r="B44" i="2"/>
  <c r="B45" i="2"/>
  <c r="B46" i="2"/>
  <c r="L701" i="6" l="1"/>
  <c r="Q701" i="6" s="1"/>
  <c r="L700" i="6"/>
  <c r="L631" i="6"/>
  <c r="Q631" i="6" s="1"/>
  <c r="L630" i="6"/>
  <c r="L664" i="6"/>
  <c r="Q664" i="6" s="1"/>
  <c r="L663" i="6"/>
  <c r="CY152" i="1"/>
  <c r="X152" i="1" s="1"/>
  <c r="T652" i="6" s="1"/>
  <c r="K654" i="6" s="1"/>
  <c r="K653" i="6"/>
  <c r="K593" i="6"/>
  <c r="L583" i="6"/>
  <c r="Q583" i="6" s="1"/>
  <c r="L582" i="6"/>
  <c r="L553" i="6"/>
  <c r="L554" i="6"/>
  <c r="Q554" i="6" s="1"/>
  <c r="L380" i="6"/>
  <c r="Q380" i="6" s="1"/>
  <c r="L378" i="6"/>
  <c r="CZ88" i="1"/>
  <c r="Y88" i="1" s="1"/>
  <c r="V351" i="6" s="1"/>
  <c r="CY88" i="1"/>
  <c r="X88" i="1" s="1"/>
  <c r="T351" i="6" s="1"/>
  <c r="L737" i="6"/>
  <c r="L738" i="6"/>
  <c r="Q738" i="6" s="1"/>
  <c r="L760" i="6"/>
  <c r="Q760" i="6" s="1"/>
  <c r="L759" i="6"/>
  <c r="L529" i="6"/>
  <c r="Q529" i="6" s="1"/>
  <c r="L528" i="6"/>
  <c r="K712" i="6"/>
  <c r="L718" i="6"/>
  <c r="L719" i="6"/>
  <c r="Q719" i="6" s="1"/>
  <c r="K570" i="6"/>
  <c r="L576" i="6"/>
  <c r="L577" i="6"/>
  <c r="Q577" i="6" s="1"/>
  <c r="L505" i="6"/>
  <c r="Q505" i="6" s="1"/>
  <c r="L504" i="6"/>
  <c r="L435" i="6"/>
  <c r="L436" i="6"/>
  <c r="Q436" i="6" s="1"/>
  <c r="L340" i="6"/>
  <c r="Q340" i="6" s="1"/>
  <c r="L339" i="6"/>
  <c r="CY154" i="1"/>
  <c r="X154" i="1" s="1"/>
  <c r="T665" i="6" s="1"/>
  <c r="K671" i="6" s="1"/>
  <c r="K669" i="6"/>
  <c r="CZ154" i="1"/>
  <c r="Y154" i="1" s="1"/>
  <c r="V665" i="6" s="1"/>
  <c r="K672" i="6" s="1"/>
  <c r="G22" i="1"/>
  <c r="A778" i="6"/>
  <c r="AD165" i="1"/>
  <c r="AB165" i="1" s="1"/>
  <c r="H732" i="6"/>
  <c r="H733" i="6"/>
  <c r="R733" i="6" s="1"/>
  <c r="U720" i="6"/>
  <c r="S720" i="6"/>
  <c r="CP175" i="1"/>
  <c r="H772" i="6"/>
  <c r="CP174" i="1"/>
  <c r="H770" i="6"/>
  <c r="CP173" i="1"/>
  <c r="H768" i="6"/>
  <c r="CS171" i="1"/>
  <c r="R171" i="1" s="1"/>
  <c r="AD171" i="1"/>
  <c r="CQ169" i="1"/>
  <c r="P169" i="1" s="1"/>
  <c r="K756" i="6" s="1"/>
  <c r="CQ168" i="1"/>
  <c r="P168" i="1" s="1"/>
  <c r="K750" i="6" s="1"/>
  <c r="J751" i="6" s="1"/>
  <c r="P751" i="6" s="1"/>
  <c r="CR167" i="1"/>
  <c r="CQ166" i="1"/>
  <c r="P166" i="1" s="1"/>
  <c r="K744" i="6" s="1"/>
  <c r="H744" i="6"/>
  <c r="I167" i="1"/>
  <c r="U748" i="6" s="1"/>
  <c r="E739" i="6"/>
  <c r="C740" i="6"/>
  <c r="CR165" i="1"/>
  <c r="Q165" i="1" s="1"/>
  <c r="K732" i="6" s="1"/>
  <c r="C730" i="6"/>
  <c r="E729" i="6"/>
  <c r="AD164" i="1"/>
  <c r="AB164" i="1" s="1"/>
  <c r="H724" i="6"/>
  <c r="CR163" i="1"/>
  <c r="Q163" i="1" s="1"/>
  <c r="G721" i="6"/>
  <c r="O721" i="6" s="1"/>
  <c r="W721" i="6"/>
  <c r="CS162" i="1"/>
  <c r="R162" i="1" s="1"/>
  <c r="K714" i="6" s="1"/>
  <c r="H713" i="6"/>
  <c r="H714" i="6"/>
  <c r="R714" i="6" s="1"/>
  <c r="CS161" i="1"/>
  <c r="R161" i="1" s="1"/>
  <c r="H705" i="6"/>
  <c r="R705" i="6" s="1"/>
  <c r="H704" i="6"/>
  <c r="U694" i="6"/>
  <c r="H699" i="6" s="1"/>
  <c r="S694" i="6"/>
  <c r="H698" i="6" s="1"/>
  <c r="H695" i="6"/>
  <c r="CR157" i="1"/>
  <c r="Q157" i="1" s="1"/>
  <c r="W687" i="6"/>
  <c r="G687" i="6"/>
  <c r="O687" i="6" s="1"/>
  <c r="GX155" i="1"/>
  <c r="CS155" i="1"/>
  <c r="R155" i="1" s="1"/>
  <c r="AD155" i="1"/>
  <c r="U154" i="1"/>
  <c r="CR154" i="1"/>
  <c r="Q154" i="1" s="1"/>
  <c r="K668" i="6" s="1"/>
  <c r="CR153" i="1"/>
  <c r="Q153" i="1" s="1"/>
  <c r="K660" i="6" s="1"/>
  <c r="AB150" i="1"/>
  <c r="G647" i="6"/>
  <c r="O647" i="6" s="1"/>
  <c r="W647" i="6"/>
  <c r="V148" i="1"/>
  <c r="K148" i="1"/>
  <c r="CR146" i="1"/>
  <c r="Q146" i="1" s="1"/>
  <c r="T145" i="1"/>
  <c r="CQ144" i="1"/>
  <c r="P144" i="1" s="1"/>
  <c r="T144" i="1"/>
  <c r="V143" i="1"/>
  <c r="CS143" i="1"/>
  <c r="R143" i="1" s="1"/>
  <c r="K615" i="6" s="1"/>
  <c r="H615" i="6"/>
  <c r="R615" i="6" s="1"/>
  <c r="H614" i="6"/>
  <c r="CS141" i="1"/>
  <c r="H604" i="6"/>
  <c r="R604" i="6" s="1"/>
  <c r="H603" i="6"/>
  <c r="R141" i="1"/>
  <c r="K604" i="6" s="1"/>
  <c r="E601" i="6"/>
  <c r="U590" i="6"/>
  <c r="S590" i="6"/>
  <c r="E590" i="6"/>
  <c r="CR138" i="1"/>
  <c r="Q138" i="1" s="1"/>
  <c r="AD138" i="1"/>
  <c r="CR137" i="1"/>
  <c r="Q137" i="1" s="1"/>
  <c r="U569" i="6"/>
  <c r="H575" i="6" s="1"/>
  <c r="S569" i="6"/>
  <c r="H574" i="6" s="1"/>
  <c r="H570" i="6"/>
  <c r="CT134" i="1"/>
  <c r="S134" i="1" s="1"/>
  <c r="K559" i="6" s="1"/>
  <c r="U557" i="6"/>
  <c r="H564" i="6" s="1"/>
  <c r="S557" i="6"/>
  <c r="H563" i="6" s="1"/>
  <c r="H559" i="6"/>
  <c r="S555" i="6"/>
  <c r="E555" i="6"/>
  <c r="U555" i="6"/>
  <c r="CX304" i="3"/>
  <c r="E545" i="6"/>
  <c r="C546" i="6"/>
  <c r="U532" i="6"/>
  <c r="S532" i="6"/>
  <c r="CR128" i="1"/>
  <c r="Q128" i="1" s="1"/>
  <c r="AD128" i="1"/>
  <c r="AB128" i="1" s="1"/>
  <c r="U128" i="1"/>
  <c r="L531" i="6" s="1"/>
  <c r="Q531" i="6" s="1"/>
  <c r="E530" i="6"/>
  <c r="S521" i="6"/>
  <c r="H526" i="6" s="1"/>
  <c r="H522" i="6"/>
  <c r="U521" i="6"/>
  <c r="H527" i="6" s="1"/>
  <c r="CR125" i="1"/>
  <c r="Q125" i="1" s="1"/>
  <c r="T125" i="1"/>
  <c r="H509" i="6"/>
  <c r="R509" i="6" s="1"/>
  <c r="H508" i="6"/>
  <c r="CT122" i="1"/>
  <c r="S122" i="1" s="1"/>
  <c r="K499" i="6" s="1"/>
  <c r="S498" i="6"/>
  <c r="H502" i="6" s="1"/>
  <c r="H499" i="6"/>
  <c r="U498" i="6"/>
  <c r="H503" i="6" s="1"/>
  <c r="CQ120" i="1"/>
  <c r="P120" i="1" s="1"/>
  <c r="K490" i="6" s="1"/>
  <c r="J491" i="6" s="1"/>
  <c r="P491" i="6" s="1"/>
  <c r="CS119" i="1"/>
  <c r="U119" i="1"/>
  <c r="L489" i="6" s="1"/>
  <c r="Q489" i="6" s="1"/>
  <c r="H488" i="6"/>
  <c r="U486" i="6"/>
  <c r="S486" i="6"/>
  <c r="CT117" i="1"/>
  <c r="S117" i="1" s="1"/>
  <c r="U484" i="6"/>
  <c r="S484" i="6"/>
  <c r="CT116" i="1"/>
  <c r="CR115" i="1"/>
  <c r="Q115" i="1" s="1"/>
  <c r="T115" i="1"/>
  <c r="AD114" i="1"/>
  <c r="H475" i="6"/>
  <c r="H476" i="6"/>
  <c r="R476" i="6" s="1"/>
  <c r="U471" i="6"/>
  <c r="S471" i="6"/>
  <c r="CT112" i="1"/>
  <c r="GX111" i="1"/>
  <c r="CR111" i="1"/>
  <c r="Q111" i="1" s="1"/>
  <c r="K463" i="6" s="1"/>
  <c r="CT110" i="1"/>
  <c r="CQ105" i="1"/>
  <c r="P105" i="1" s="1"/>
  <c r="K429" i="6" s="1"/>
  <c r="J430" i="6" s="1"/>
  <c r="P430" i="6" s="1"/>
  <c r="H421" i="6"/>
  <c r="U420" i="6"/>
  <c r="H426" i="6" s="1"/>
  <c r="S420" i="6"/>
  <c r="H425" i="6" s="1"/>
  <c r="CQ102" i="1"/>
  <c r="W408" i="6"/>
  <c r="G408" i="6"/>
  <c r="O408" i="6" s="1"/>
  <c r="CS99" i="1"/>
  <c r="R99" i="1" s="1"/>
  <c r="CR99" i="1"/>
  <c r="Q99" i="1" s="1"/>
  <c r="CR98" i="1"/>
  <c r="Q98" i="1" s="1"/>
  <c r="K397" i="6" s="1"/>
  <c r="U393" i="6"/>
  <c r="S393" i="6"/>
  <c r="CZ96" i="1"/>
  <c r="Y96" i="1" s="1"/>
  <c r="V386" i="6" s="1"/>
  <c r="K390" i="6" s="1"/>
  <c r="J392" i="6" s="1"/>
  <c r="P392" i="6" s="1"/>
  <c r="GX95" i="1"/>
  <c r="U95" i="1"/>
  <c r="L385" i="6" s="1"/>
  <c r="Q385" i="6" s="1"/>
  <c r="H383" i="6"/>
  <c r="S333" i="6"/>
  <c r="H337" i="6" s="1"/>
  <c r="H334" i="6"/>
  <c r="U333" i="6"/>
  <c r="H338" i="6" s="1"/>
  <c r="CT85" i="1"/>
  <c r="S85" i="1" s="1"/>
  <c r="K334" i="6" s="1"/>
  <c r="CY81" i="1"/>
  <c r="X81" i="1" s="1"/>
  <c r="T313" i="6" s="1"/>
  <c r="K314" i="6"/>
  <c r="U76" i="1"/>
  <c r="E297" i="6"/>
  <c r="L222" i="6"/>
  <c r="L223" i="6"/>
  <c r="Q223" i="6" s="1"/>
  <c r="K205" i="6"/>
  <c r="CZ54" i="1"/>
  <c r="Y54" i="1" s="1"/>
  <c r="V198" i="6" s="1"/>
  <c r="L190" i="6"/>
  <c r="Q190" i="6" s="1"/>
  <c r="L189" i="6"/>
  <c r="S748" i="6"/>
  <c r="G18" i="1"/>
  <c r="AF782" i="6"/>
  <c r="A782" i="6"/>
  <c r="I176" i="1"/>
  <c r="E775" i="6" s="1"/>
  <c r="C773" i="6"/>
  <c r="U772" i="6"/>
  <c r="S772" i="6"/>
  <c r="E772" i="6"/>
  <c r="S770" i="6"/>
  <c r="E770" i="6"/>
  <c r="U770" i="6"/>
  <c r="S768" i="6"/>
  <c r="E768" i="6"/>
  <c r="U768" i="6"/>
  <c r="CQ171" i="1"/>
  <c r="P171" i="1" s="1"/>
  <c r="H764" i="6"/>
  <c r="CT170" i="1"/>
  <c r="CT169" i="1"/>
  <c r="H753" i="6"/>
  <c r="U752" i="6"/>
  <c r="H758" i="6" s="1"/>
  <c r="S752" i="6"/>
  <c r="H757" i="6" s="1"/>
  <c r="U750" i="6"/>
  <c r="S750" i="6"/>
  <c r="H748" i="6"/>
  <c r="W748" i="6" s="1"/>
  <c r="U729" i="6"/>
  <c r="H736" i="6" s="1"/>
  <c r="S729" i="6"/>
  <c r="H735" i="6" s="1"/>
  <c r="H731" i="6"/>
  <c r="L728" i="6"/>
  <c r="Q728" i="6" s="1"/>
  <c r="L727" i="6"/>
  <c r="GX160" i="1"/>
  <c r="V160" i="1"/>
  <c r="H697" i="6"/>
  <c r="R697" i="6" s="1"/>
  <c r="H696" i="6"/>
  <c r="U688" i="6"/>
  <c r="S688" i="6"/>
  <c r="CP158" i="1"/>
  <c r="O158" i="1" s="1"/>
  <c r="CQ155" i="1"/>
  <c r="P155" i="1" s="1"/>
  <c r="H680" i="6"/>
  <c r="S155" i="1"/>
  <c r="K677" i="6" s="1"/>
  <c r="C676" i="6"/>
  <c r="E675" i="6"/>
  <c r="T154" i="1"/>
  <c r="P154" i="1"/>
  <c r="H670" i="6"/>
  <c r="L656" i="6"/>
  <c r="L657" i="6"/>
  <c r="Q657" i="6" s="1"/>
  <c r="G649" i="6"/>
  <c r="O649" i="6" s="1"/>
  <c r="W649" i="6"/>
  <c r="CT149" i="1"/>
  <c r="S149" i="1" s="1"/>
  <c r="U646" i="6"/>
  <c r="S646" i="6"/>
  <c r="I148" i="1"/>
  <c r="H635" i="6"/>
  <c r="U634" i="6"/>
  <c r="H640" i="6" s="1"/>
  <c r="S634" i="6"/>
  <c r="H639" i="6" s="1"/>
  <c r="K632" i="6"/>
  <c r="J633" i="6" s="1"/>
  <c r="P633" i="6" s="1"/>
  <c r="AB146" i="1"/>
  <c r="H632" i="6"/>
  <c r="V146" i="1"/>
  <c r="E632" i="6"/>
  <c r="S145" i="1"/>
  <c r="K624" i="6" s="1"/>
  <c r="H624" i="6"/>
  <c r="S623" i="6"/>
  <c r="H628" i="6" s="1"/>
  <c r="U623" i="6"/>
  <c r="H629" i="6" s="1"/>
  <c r="S621" i="6"/>
  <c r="U621" i="6"/>
  <c r="CQ142" i="1"/>
  <c r="L608" i="6"/>
  <c r="L609" i="6"/>
  <c r="Q609" i="6" s="1"/>
  <c r="CQ141" i="1"/>
  <c r="P141" i="1" s="1"/>
  <c r="K605" i="6" s="1"/>
  <c r="H605" i="6"/>
  <c r="H593" i="6"/>
  <c r="U592" i="6"/>
  <c r="H598" i="6" s="1"/>
  <c r="S592" i="6"/>
  <c r="H597" i="6" s="1"/>
  <c r="AB138" i="1"/>
  <c r="CX319" i="3"/>
  <c r="E584" i="6"/>
  <c r="S578" i="6"/>
  <c r="H580" i="6" s="1"/>
  <c r="H579" i="6"/>
  <c r="U578" i="6"/>
  <c r="H581" i="6" s="1"/>
  <c r="W136" i="1"/>
  <c r="CS136" i="1"/>
  <c r="R136" i="1" s="1"/>
  <c r="K572" i="6" s="1"/>
  <c r="H572" i="6"/>
  <c r="R572" i="6" s="1"/>
  <c r="H571" i="6"/>
  <c r="R134" i="1"/>
  <c r="K561" i="6" s="1"/>
  <c r="H560" i="6"/>
  <c r="H561" i="6"/>
  <c r="R561" i="6" s="1"/>
  <c r="CT130" i="1"/>
  <c r="S130" i="1" s="1"/>
  <c r="K535" i="6" s="1"/>
  <c r="H535" i="6"/>
  <c r="U534" i="6"/>
  <c r="H540" i="6" s="1"/>
  <c r="S534" i="6"/>
  <c r="H539" i="6" s="1"/>
  <c r="GX129" i="1"/>
  <c r="E532" i="6"/>
  <c r="G531" i="6"/>
  <c r="O531" i="6" s="1"/>
  <c r="W531" i="6"/>
  <c r="CS127" i="1"/>
  <c r="R127" i="1" s="1"/>
  <c r="H524" i="6"/>
  <c r="R524" i="6" s="1"/>
  <c r="H523" i="6"/>
  <c r="W125" i="1"/>
  <c r="U516" i="6"/>
  <c r="S516" i="6"/>
  <c r="U514" i="6"/>
  <c r="S514" i="6"/>
  <c r="U124" i="1"/>
  <c r="E514" i="6"/>
  <c r="AD122" i="1"/>
  <c r="H501" i="6"/>
  <c r="R501" i="6" s="1"/>
  <c r="H500" i="6"/>
  <c r="CT121" i="1"/>
  <c r="S121" i="1" s="1"/>
  <c r="K493" i="6" s="1"/>
  <c r="S492" i="6"/>
  <c r="H494" i="6" s="1"/>
  <c r="H493" i="6"/>
  <c r="U492" i="6"/>
  <c r="H495" i="6" s="1"/>
  <c r="U490" i="6"/>
  <c r="S490" i="6"/>
  <c r="T119" i="1"/>
  <c r="AB116" i="1"/>
  <c r="W115" i="1"/>
  <c r="U481" i="6"/>
  <c r="S481" i="6"/>
  <c r="CS114" i="1"/>
  <c r="R114" i="1" s="1"/>
  <c r="K476" i="6" s="1"/>
  <c r="U114" i="1"/>
  <c r="H477" i="6"/>
  <c r="R113" i="1"/>
  <c r="P111" i="1"/>
  <c r="K465" i="6" s="1"/>
  <c r="AB111" i="1"/>
  <c r="H465" i="6"/>
  <c r="L444" i="6"/>
  <c r="L445" i="6"/>
  <c r="Q445" i="6" s="1"/>
  <c r="CQ107" i="1"/>
  <c r="P107" i="1" s="1"/>
  <c r="K441" i="6" s="1"/>
  <c r="H441" i="6"/>
  <c r="H432" i="6"/>
  <c r="U431" i="6"/>
  <c r="H434" i="6" s="1"/>
  <c r="S431" i="6"/>
  <c r="H433" i="6" s="1"/>
  <c r="AB96" i="1"/>
  <c r="T95" i="1"/>
  <c r="CT87" i="1"/>
  <c r="S87" i="1" s="1"/>
  <c r="U349" i="6"/>
  <c r="S349" i="6"/>
  <c r="V87" i="1"/>
  <c r="E349" i="6"/>
  <c r="R84" i="1"/>
  <c r="K328" i="6" s="1"/>
  <c r="E313" i="6"/>
  <c r="I83" i="1"/>
  <c r="S83" i="1" s="1"/>
  <c r="K265" i="6"/>
  <c r="K257" i="6"/>
  <c r="L263" i="6"/>
  <c r="Q263" i="6" s="1"/>
  <c r="L262" i="6"/>
  <c r="L210" i="6"/>
  <c r="Q210" i="6" s="1"/>
  <c r="L208" i="6"/>
  <c r="L196" i="6"/>
  <c r="L197" i="6"/>
  <c r="Q197" i="6" s="1"/>
  <c r="L180" i="6"/>
  <c r="L181" i="6"/>
  <c r="Q181" i="6" s="1"/>
  <c r="U764" i="6"/>
  <c r="S764" i="6"/>
  <c r="H741" i="6"/>
  <c r="S739" i="6"/>
  <c r="U739" i="6"/>
  <c r="AB161" i="1"/>
  <c r="H706" i="6"/>
  <c r="CS158" i="1"/>
  <c r="R158" i="1" s="1"/>
  <c r="CY158" i="1" s="1"/>
  <c r="X158" i="1" s="1"/>
  <c r="H689" i="6"/>
  <c r="H690" i="6"/>
  <c r="R690" i="6" s="1"/>
  <c r="L685" i="6"/>
  <c r="Q685" i="6" s="1"/>
  <c r="L683" i="6"/>
  <c r="CT155" i="1"/>
  <c r="S675" i="6"/>
  <c r="H677" i="6"/>
  <c r="U675" i="6"/>
  <c r="U665" i="6"/>
  <c r="H672" i="6" s="1"/>
  <c r="H667" i="6"/>
  <c r="S665" i="6"/>
  <c r="H671" i="6" s="1"/>
  <c r="E665" i="6"/>
  <c r="C666" i="6"/>
  <c r="BY178" i="1"/>
  <c r="CT153" i="1"/>
  <c r="S153" i="1" s="1"/>
  <c r="H659" i="6"/>
  <c r="S658" i="6"/>
  <c r="H661" i="6" s="1"/>
  <c r="U658" i="6"/>
  <c r="H662" i="6" s="1"/>
  <c r="U148" i="1"/>
  <c r="L645" i="6" s="1"/>
  <c r="Q645" i="6" s="1"/>
  <c r="T148" i="1"/>
  <c r="H643" i="6"/>
  <c r="AD147" i="1"/>
  <c r="H637" i="6"/>
  <c r="R637" i="6" s="1"/>
  <c r="H636" i="6"/>
  <c r="CT146" i="1"/>
  <c r="S146" i="1" s="1"/>
  <c r="CP146" i="1" s="1"/>
  <c r="O146" i="1" s="1"/>
  <c r="U632" i="6"/>
  <c r="S632" i="6"/>
  <c r="AD145" i="1"/>
  <c r="H625" i="6"/>
  <c r="H626" i="6"/>
  <c r="R626" i="6" s="1"/>
  <c r="CP143" i="1"/>
  <c r="O143" i="1" s="1"/>
  <c r="K616" i="6"/>
  <c r="L600" i="6"/>
  <c r="Q600" i="6" s="1"/>
  <c r="L599" i="6"/>
  <c r="CS140" i="1"/>
  <c r="R140" i="1" s="1"/>
  <c r="K595" i="6" s="1"/>
  <c r="H594" i="6"/>
  <c r="H595" i="6"/>
  <c r="R595" i="6" s="1"/>
  <c r="HD139" i="1"/>
  <c r="K590" i="6"/>
  <c r="J591" i="6" s="1"/>
  <c r="P591" i="6" s="1"/>
  <c r="H585" i="6"/>
  <c r="U584" i="6"/>
  <c r="H587" i="6" s="1"/>
  <c r="S584" i="6"/>
  <c r="H586" i="6" s="1"/>
  <c r="C558" i="6"/>
  <c r="E557" i="6"/>
  <c r="U545" i="6"/>
  <c r="H552" i="6" s="1"/>
  <c r="S545" i="6"/>
  <c r="H551" i="6" s="1"/>
  <c r="H547" i="6"/>
  <c r="AD130" i="1"/>
  <c r="H537" i="6"/>
  <c r="R537" i="6" s="1"/>
  <c r="H536" i="6"/>
  <c r="G533" i="6"/>
  <c r="O533" i="6" s="1"/>
  <c r="W533" i="6"/>
  <c r="U530" i="6"/>
  <c r="S530" i="6"/>
  <c r="CQ127" i="1"/>
  <c r="P127" i="1" s="1"/>
  <c r="K525" i="6" s="1"/>
  <c r="H525" i="6"/>
  <c r="L497" i="6"/>
  <c r="Q497" i="6" s="1"/>
  <c r="L496" i="6"/>
  <c r="CT119" i="1"/>
  <c r="S119" i="1" s="1"/>
  <c r="S488" i="6"/>
  <c r="U488" i="6"/>
  <c r="P119" i="1"/>
  <c r="K488" i="6" s="1"/>
  <c r="J489" i="6" s="1"/>
  <c r="P489" i="6" s="1"/>
  <c r="E488" i="6"/>
  <c r="CQ116" i="1"/>
  <c r="L470" i="6"/>
  <c r="Q470" i="6" s="1"/>
  <c r="L468" i="6"/>
  <c r="H462" i="6"/>
  <c r="U461" i="6"/>
  <c r="S461" i="6"/>
  <c r="L428" i="6"/>
  <c r="Q428" i="6" s="1"/>
  <c r="L427" i="6"/>
  <c r="CQ100" i="1"/>
  <c r="H404" i="6"/>
  <c r="L392" i="6"/>
  <c r="Q392" i="6" s="1"/>
  <c r="L391" i="6"/>
  <c r="E383" i="6"/>
  <c r="C384" i="6"/>
  <c r="AD94" i="1"/>
  <c r="CR94" i="1"/>
  <c r="U93" i="1"/>
  <c r="E379" i="6"/>
  <c r="AD91" i="1"/>
  <c r="H367" i="6"/>
  <c r="CR91" i="1"/>
  <c r="Q91" i="1" s="1"/>
  <c r="K367" i="6" s="1"/>
  <c r="L364" i="6"/>
  <c r="Q364" i="6" s="1"/>
  <c r="L363" i="6"/>
  <c r="AD87" i="1"/>
  <c r="CR87" i="1"/>
  <c r="L296" i="6"/>
  <c r="L298" i="6"/>
  <c r="Q298" i="6" s="1"/>
  <c r="L129" i="6"/>
  <c r="Q129" i="6" s="1"/>
  <c r="L128" i="6"/>
  <c r="L106" i="6"/>
  <c r="L107" i="6"/>
  <c r="Q107" i="6" s="1"/>
  <c r="AD169" i="1"/>
  <c r="H755" i="6"/>
  <c r="R755" i="6" s="1"/>
  <c r="H754" i="6"/>
  <c r="CP162" i="1"/>
  <c r="O162" i="1" s="1"/>
  <c r="K715" i="6"/>
  <c r="CQ161" i="1"/>
  <c r="P161" i="1" s="1"/>
  <c r="U686" i="6"/>
  <c r="S686" i="6"/>
  <c r="U775" i="6"/>
  <c r="S775" i="6"/>
  <c r="CT171" i="1"/>
  <c r="S171" i="1" s="1"/>
  <c r="CR170" i="1"/>
  <c r="CS169" i="1"/>
  <c r="W751" i="6"/>
  <c r="G751" i="6"/>
  <c r="O751" i="6" s="1"/>
  <c r="GX167" i="1"/>
  <c r="L749" i="6"/>
  <c r="Q749" i="6" s="1"/>
  <c r="L747" i="6"/>
  <c r="AD166" i="1"/>
  <c r="AB166" i="1" s="1"/>
  <c r="H743" i="6"/>
  <c r="R743" i="6" s="1"/>
  <c r="H742" i="6"/>
  <c r="CS165" i="1"/>
  <c r="R165" i="1" s="1"/>
  <c r="CQ165" i="1"/>
  <c r="P165" i="1" s="1"/>
  <c r="K734" i="6" s="1"/>
  <c r="H734" i="6"/>
  <c r="H723" i="6"/>
  <c r="U722" i="6"/>
  <c r="H726" i="6" s="1"/>
  <c r="S722" i="6"/>
  <c r="H725" i="6" s="1"/>
  <c r="CT163" i="1"/>
  <c r="S163" i="1" s="1"/>
  <c r="H712" i="6"/>
  <c r="U711" i="6"/>
  <c r="H717" i="6" s="1"/>
  <c r="S711" i="6"/>
  <c r="H716" i="6" s="1"/>
  <c r="L710" i="6"/>
  <c r="Q710" i="6" s="1"/>
  <c r="L709" i="6"/>
  <c r="U702" i="6"/>
  <c r="H708" i="6" s="1"/>
  <c r="S702" i="6"/>
  <c r="H707" i="6" s="1"/>
  <c r="H703" i="6"/>
  <c r="AD158" i="1"/>
  <c r="AB158" i="1" s="1"/>
  <c r="CT157" i="1"/>
  <c r="S157" i="1" s="1"/>
  <c r="H678" i="6"/>
  <c r="H679" i="6"/>
  <c r="R679" i="6" s="1"/>
  <c r="V154" i="1"/>
  <c r="H668" i="6"/>
  <c r="H669" i="6"/>
  <c r="R669" i="6" s="1"/>
  <c r="CS153" i="1"/>
  <c r="R153" i="1" s="1"/>
  <c r="H660" i="6"/>
  <c r="H653" i="6"/>
  <c r="U652" i="6"/>
  <c r="H655" i="6" s="1"/>
  <c r="S652" i="6"/>
  <c r="H654" i="6" s="1"/>
  <c r="U648" i="6"/>
  <c r="S648" i="6"/>
  <c r="CR149" i="1"/>
  <c r="Q149" i="1" s="1"/>
  <c r="W148" i="1"/>
  <c r="U643" i="6"/>
  <c r="S643" i="6"/>
  <c r="L641" i="6"/>
  <c r="L642" i="6"/>
  <c r="Q642" i="6" s="1"/>
  <c r="CQ147" i="1"/>
  <c r="P147" i="1" s="1"/>
  <c r="K638" i="6" s="1"/>
  <c r="H638" i="6"/>
  <c r="W145" i="1"/>
  <c r="CR145" i="1"/>
  <c r="Q145" i="1" s="1"/>
  <c r="K625" i="6" s="1"/>
  <c r="H627" i="6"/>
  <c r="CR144" i="1"/>
  <c r="Q144" i="1" s="1"/>
  <c r="W622" i="6"/>
  <c r="G622" i="6"/>
  <c r="O622" i="6" s="1"/>
  <c r="L619" i="6"/>
  <c r="L620" i="6"/>
  <c r="Q620" i="6" s="1"/>
  <c r="H613" i="6"/>
  <c r="U612" i="6"/>
  <c r="H618" i="6" s="1"/>
  <c r="S612" i="6"/>
  <c r="H617" i="6" s="1"/>
  <c r="U601" i="6"/>
  <c r="H607" i="6" s="1"/>
  <c r="H602" i="6"/>
  <c r="S601" i="6"/>
  <c r="H606" i="6" s="1"/>
  <c r="GN139" i="1"/>
  <c r="G591" i="6"/>
  <c r="O591" i="6" s="1"/>
  <c r="W591" i="6"/>
  <c r="CT138" i="1"/>
  <c r="S138" i="1" s="1"/>
  <c r="K585" i="6" s="1"/>
  <c r="CY137" i="1"/>
  <c r="X137" i="1" s="1"/>
  <c r="T578" i="6" s="1"/>
  <c r="K580" i="6" s="1"/>
  <c r="J583" i="6" s="1"/>
  <c r="P583" i="6" s="1"/>
  <c r="AD137" i="1"/>
  <c r="GX136" i="1"/>
  <c r="CQ136" i="1"/>
  <c r="P136" i="1" s="1"/>
  <c r="K573" i="6" s="1"/>
  <c r="P134" i="1"/>
  <c r="T134" i="1"/>
  <c r="H562" i="6"/>
  <c r="CP133" i="1"/>
  <c r="H555" i="6"/>
  <c r="CT132" i="1"/>
  <c r="S132" i="1" s="1"/>
  <c r="K547" i="6" s="1"/>
  <c r="CS132" i="1"/>
  <c r="R132" i="1" s="1"/>
  <c r="K549" i="6" s="1"/>
  <c r="H549" i="6"/>
  <c r="R549" i="6" s="1"/>
  <c r="H548" i="6"/>
  <c r="L541" i="6"/>
  <c r="L542" i="6"/>
  <c r="Q542" i="6" s="1"/>
  <c r="CQ130" i="1"/>
  <c r="P130" i="1" s="1"/>
  <c r="K538" i="6" s="1"/>
  <c r="H538" i="6"/>
  <c r="CQ129" i="1"/>
  <c r="CT128" i="1"/>
  <c r="S128" i="1" s="1"/>
  <c r="CQ126" i="1"/>
  <c r="CS125" i="1"/>
  <c r="R125" i="1" s="1"/>
  <c r="CQ125" i="1"/>
  <c r="P125" i="1" s="1"/>
  <c r="H516" i="6"/>
  <c r="C517" i="6"/>
  <c r="E516" i="6"/>
  <c r="CR124" i="1"/>
  <c r="Q124" i="1" s="1"/>
  <c r="H514" i="6"/>
  <c r="W514" i="6" s="1"/>
  <c r="CY123" i="1"/>
  <c r="X123" i="1" s="1"/>
  <c r="T506" i="6" s="1"/>
  <c r="K507" i="6"/>
  <c r="U506" i="6"/>
  <c r="S506" i="6"/>
  <c r="H507" i="6"/>
  <c r="CR121" i="1"/>
  <c r="Q121" i="1" s="1"/>
  <c r="CS120" i="1"/>
  <c r="R120" i="1" s="1"/>
  <c r="W491" i="6"/>
  <c r="G491" i="6"/>
  <c r="O491" i="6" s="1"/>
  <c r="V119" i="1"/>
  <c r="G487" i="6"/>
  <c r="O487" i="6" s="1"/>
  <c r="W487" i="6"/>
  <c r="CP117" i="1"/>
  <c r="O117" i="1" s="1"/>
  <c r="K484" i="6"/>
  <c r="J485" i="6" s="1"/>
  <c r="P485" i="6" s="1"/>
  <c r="G485" i="6"/>
  <c r="O485" i="6" s="1"/>
  <c r="W485" i="6"/>
  <c r="GX115" i="1"/>
  <c r="CS115" i="1"/>
  <c r="R115" i="1" s="1"/>
  <c r="CQ115" i="1"/>
  <c r="P115" i="1" s="1"/>
  <c r="CP115" i="1" s="1"/>
  <c r="O115" i="1" s="1"/>
  <c r="K481" i="6" s="1"/>
  <c r="H481" i="6"/>
  <c r="W481" i="6" s="1"/>
  <c r="H474" i="6"/>
  <c r="U473" i="6"/>
  <c r="S473" i="6"/>
  <c r="W472" i="6"/>
  <c r="G472" i="6"/>
  <c r="O472" i="6" s="1"/>
  <c r="CQ112" i="1"/>
  <c r="I112" i="1"/>
  <c r="T112" i="1" s="1"/>
  <c r="CT111" i="1"/>
  <c r="S111" i="1" s="1"/>
  <c r="K462" i="6" s="1"/>
  <c r="V111" i="1"/>
  <c r="CS111" i="1"/>
  <c r="R111" i="1" s="1"/>
  <c r="H464" i="6"/>
  <c r="R464" i="6" s="1"/>
  <c r="H463" i="6"/>
  <c r="CT109" i="1"/>
  <c r="CQ108" i="1"/>
  <c r="G430" i="6"/>
  <c r="O430" i="6" s="1"/>
  <c r="W430" i="6"/>
  <c r="CQ103" i="1"/>
  <c r="P103" i="1" s="1"/>
  <c r="K418" i="6" s="1"/>
  <c r="J419" i="6" s="1"/>
  <c r="P419" i="6" s="1"/>
  <c r="H418" i="6"/>
  <c r="L417" i="6"/>
  <c r="Q417" i="6" s="1"/>
  <c r="L416" i="6"/>
  <c r="U402" i="6"/>
  <c r="S402" i="6"/>
  <c r="L403" i="6"/>
  <c r="Q403" i="6" s="1"/>
  <c r="L401" i="6"/>
  <c r="H398" i="6"/>
  <c r="CQ98" i="1"/>
  <c r="P98" i="1" s="1"/>
  <c r="V95" i="1"/>
  <c r="G382" i="6"/>
  <c r="O382" i="6" s="1"/>
  <c r="W382" i="6"/>
  <c r="U379" i="6"/>
  <c r="S379" i="6"/>
  <c r="CT93" i="1"/>
  <c r="S93" i="1" s="1"/>
  <c r="L370" i="6"/>
  <c r="L371" i="6"/>
  <c r="Q371" i="6" s="1"/>
  <c r="U351" i="6"/>
  <c r="S351" i="6"/>
  <c r="CS87" i="1"/>
  <c r="R87" i="1" s="1"/>
  <c r="S341" i="6"/>
  <c r="H345" i="6" s="1"/>
  <c r="U341" i="6"/>
  <c r="H346" i="6" s="1"/>
  <c r="H342" i="6"/>
  <c r="CT86" i="1"/>
  <c r="S86" i="1" s="1"/>
  <c r="K342" i="6" s="1"/>
  <c r="L332" i="6"/>
  <c r="Q332" i="6" s="1"/>
  <c r="L331" i="6"/>
  <c r="AB81" i="1"/>
  <c r="H317" i="6"/>
  <c r="CP80" i="1"/>
  <c r="O80" i="1" s="1"/>
  <c r="K283" i="6"/>
  <c r="CY57" i="1"/>
  <c r="X57" i="1" s="1"/>
  <c r="T211" i="6" s="1"/>
  <c r="CZ57" i="1"/>
  <c r="Y57" i="1" s="1"/>
  <c r="V211" i="6" s="1"/>
  <c r="CY42" i="1"/>
  <c r="X42" i="1" s="1"/>
  <c r="T124" i="6" s="1"/>
  <c r="K126" i="6" s="1"/>
  <c r="K125" i="6"/>
  <c r="CQ110" i="1"/>
  <c r="CQ109" i="1"/>
  <c r="S437" i="6"/>
  <c r="H442" i="6" s="1"/>
  <c r="H438" i="6"/>
  <c r="U437" i="6"/>
  <c r="H443" i="6" s="1"/>
  <c r="CT105" i="1"/>
  <c r="S105" i="1" s="1"/>
  <c r="U429" i="6"/>
  <c r="S429" i="6"/>
  <c r="V104" i="1"/>
  <c r="H423" i="6"/>
  <c r="R423" i="6" s="1"/>
  <c r="H422" i="6"/>
  <c r="S409" i="6"/>
  <c r="H414" i="6" s="1"/>
  <c r="H410" i="6"/>
  <c r="U409" i="6"/>
  <c r="H415" i="6" s="1"/>
  <c r="U406" i="6"/>
  <c r="S406" i="6"/>
  <c r="C407" i="6"/>
  <c r="E406" i="6"/>
  <c r="S404" i="6"/>
  <c r="U404" i="6"/>
  <c r="P100" i="1"/>
  <c r="K404" i="6" s="1"/>
  <c r="J405" i="6" s="1"/>
  <c r="P405" i="6" s="1"/>
  <c r="E404" i="6"/>
  <c r="H402" i="6"/>
  <c r="W402" i="6" s="1"/>
  <c r="V97" i="1"/>
  <c r="CX169" i="3"/>
  <c r="E386" i="6"/>
  <c r="C387" i="6"/>
  <c r="V93" i="1"/>
  <c r="AB93" i="1"/>
  <c r="H373" i="6"/>
  <c r="R373" i="6" s="1"/>
  <c r="U372" i="6"/>
  <c r="S372" i="6"/>
  <c r="S357" i="6"/>
  <c r="H361" i="6" s="1"/>
  <c r="H358" i="6"/>
  <c r="U357" i="6"/>
  <c r="H362" i="6" s="1"/>
  <c r="H353" i="6"/>
  <c r="R353" i="6" s="1"/>
  <c r="H352" i="6"/>
  <c r="AD86" i="1"/>
  <c r="H343" i="6"/>
  <c r="H344" i="6"/>
  <c r="R344" i="6" s="1"/>
  <c r="U86" i="1"/>
  <c r="E341" i="6"/>
  <c r="CS85" i="1"/>
  <c r="R85" i="1" s="1"/>
  <c r="K336" i="6" s="1"/>
  <c r="H335" i="6"/>
  <c r="H336" i="6"/>
  <c r="R336" i="6" s="1"/>
  <c r="S325" i="6"/>
  <c r="H329" i="6" s="1"/>
  <c r="H326" i="6"/>
  <c r="U325" i="6"/>
  <c r="H330" i="6" s="1"/>
  <c r="T83" i="1"/>
  <c r="H323" i="6"/>
  <c r="H314" i="6"/>
  <c r="S313" i="6"/>
  <c r="U313" i="6"/>
  <c r="W80" i="1"/>
  <c r="U307" i="6"/>
  <c r="H310" i="6" s="1"/>
  <c r="S307" i="6"/>
  <c r="H309" i="6" s="1"/>
  <c r="H308" i="6"/>
  <c r="CP78" i="1"/>
  <c r="O78" i="1" s="1"/>
  <c r="CS77" i="1"/>
  <c r="R77" i="1" s="1"/>
  <c r="U77" i="1"/>
  <c r="L300" i="6" s="1"/>
  <c r="Q300" i="6" s="1"/>
  <c r="H299" i="6"/>
  <c r="GX76" i="1"/>
  <c r="AB76" i="1"/>
  <c r="U290" i="6"/>
  <c r="S290" i="6"/>
  <c r="H292" i="6"/>
  <c r="U280" i="6"/>
  <c r="S280" i="6"/>
  <c r="U272" i="6"/>
  <c r="H277" i="6" s="1"/>
  <c r="S272" i="6"/>
  <c r="H276" i="6" s="1"/>
  <c r="H273" i="6"/>
  <c r="Q72" i="1"/>
  <c r="K274" i="6" s="1"/>
  <c r="E272" i="6"/>
  <c r="S256" i="6"/>
  <c r="H260" i="6" s="1"/>
  <c r="H257" i="6"/>
  <c r="U256" i="6"/>
  <c r="H261" i="6" s="1"/>
  <c r="I69" i="1"/>
  <c r="S254" i="6" s="1"/>
  <c r="CS68" i="1"/>
  <c r="R68" i="1" s="1"/>
  <c r="CZ68" i="1" s="1"/>
  <c r="Y68" i="1" s="1"/>
  <c r="V252" i="6" s="1"/>
  <c r="CQ68" i="1"/>
  <c r="P68" i="1" s="1"/>
  <c r="H252" i="6"/>
  <c r="W252" i="6" s="1"/>
  <c r="T67" i="1"/>
  <c r="H248" i="6"/>
  <c r="CS66" i="1"/>
  <c r="R66" i="1" s="1"/>
  <c r="L242" i="6"/>
  <c r="L243" i="6"/>
  <c r="Q243" i="6" s="1"/>
  <c r="U226" i="6"/>
  <c r="H229" i="6" s="1"/>
  <c r="S226" i="6"/>
  <c r="H228" i="6" s="1"/>
  <c r="H227" i="6"/>
  <c r="CT61" i="1"/>
  <c r="S61" i="1" s="1"/>
  <c r="CZ61" i="1" s="1"/>
  <c r="Y61" i="1" s="1"/>
  <c r="V224" i="6" s="1"/>
  <c r="U224" i="6"/>
  <c r="S224" i="6"/>
  <c r="G214" i="6"/>
  <c r="O214" i="6" s="1"/>
  <c r="W214" i="6"/>
  <c r="CQ56" i="1"/>
  <c r="H205" i="6"/>
  <c r="CR54" i="1"/>
  <c r="Q54" i="1" s="1"/>
  <c r="G199" i="6"/>
  <c r="O199" i="6" s="1"/>
  <c r="W199" i="6"/>
  <c r="CR53" i="1"/>
  <c r="Q53" i="1" s="1"/>
  <c r="CP53" i="1" s="1"/>
  <c r="O53" i="1" s="1"/>
  <c r="C192" i="6"/>
  <c r="E191" i="6"/>
  <c r="H176" i="6"/>
  <c r="H177" i="6"/>
  <c r="R177" i="6" s="1"/>
  <c r="U168" i="6"/>
  <c r="S168" i="6"/>
  <c r="V48" i="1"/>
  <c r="H161" i="6"/>
  <c r="H162" i="6"/>
  <c r="R162" i="6" s="1"/>
  <c r="CR46" i="1"/>
  <c r="AD45" i="1"/>
  <c r="H146" i="6"/>
  <c r="H147" i="6"/>
  <c r="R147" i="6" s="1"/>
  <c r="U130" i="6"/>
  <c r="H137" i="6" s="1"/>
  <c r="H132" i="6"/>
  <c r="S130" i="6"/>
  <c r="H136" i="6" s="1"/>
  <c r="C131" i="6"/>
  <c r="E130" i="6"/>
  <c r="H125" i="6"/>
  <c r="U124" i="6"/>
  <c r="H127" i="6" s="1"/>
  <c r="S124" i="6"/>
  <c r="H126" i="6" s="1"/>
  <c r="U114" i="6"/>
  <c r="H121" i="6" s="1"/>
  <c r="S114" i="6"/>
  <c r="H120" i="6" s="1"/>
  <c r="H116" i="6"/>
  <c r="CR39" i="1"/>
  <c r="Q39" i="1" s="1"/>
  <c r="P38" i="1"/>
  <c r="K108" i="6" s="1"/>
  <c r="J109" i="6" s="1"/>
  <c r="P109" i="6" s="1"/>
  <c r="H108" i="6"/>
  <c r="CQ37" i="1"/>
  <c r="P37" i="1" s="1"/>
  <c r="K103" i="6" s="1"/>
  <c r="U36" i="1"/>
  <c r="L98" i="6" s="1"/>
  <c r="Q98" i="6" s="1"/>
  <c r="C87" i="6"/>
  <c r="E86" i="6"/>
  <c r="I36" i="1"/>
  <c r="U96" i="6" s="1"/>
  <c r="CT33" i="1"/>
  <c r="S33" i="1" s="1"/>
  <c r="U80" i="6"/>
  <c r="S80" i="6"/>
  <c r="S30" i="1"/>
  <c r="K64" i="6" s="1"/>
  <c r="W30" i="1"/>
  <c r="U63" i="6"/>
  <c r="H68" i="6" s="1"/>
  <c r="H64" i="6"/>
  <c r="S63" i="6"/>
  <c r="H67" i="6" s="1"/>
  <c r="V29" i="1"/>
  <c r="H58" i="6"/>
  <c r="R58" i="6" s="1"/>
  <c r="H57" i="6"/>
  <c r="AD29" i="1"/>
  <c r="CR29" i="1"/>
  <c r="Q29" i="1" s="1"/>
  <c r="K57" i="6" s="1"/>
  <c r="V26" i="1"/>
  <c r="AD26" i="1"/>
  <c r="H45" i="6"/>
  <c r="H46" i="6"/>
  <c r="R46" i="6" s="1"/>
  <c r="CR26" i="1"/>
  <c r="Q26" i="1" s="1"/>
  <c r="K45" i="6" s="1"/>
  <c r="DG385" i="3"/>
  <c r="DF385" i="3"/>
  <c r="DJ385" i="3" s="1"/>
  <c r="DH385" i="3"/>
  <c r="DI385" i="3"/>
  <c r="AD108" i="1"/>
  <c r="H440" i="6"/>
  <c r="R440" i="6" s="1"/>
  <c r="H439" i="6"/>
  <c r="AB106" i="1"/>
  <c r="U418" i="6"/>
  <c r="S418" i="6"/>
  <c r="CS102" i="1"/>
  <c r="R102" i="1" s="1"/>
  <c r="K412" i="6" s="1"/>
  <c r="H412" i="6"/>
  <c r="R412" i="6" s="1"/>
  <c r="H411" i="6"/>
  <c r="P102" i="1"/>
  <c r="K413" i="6" s="1"/>
  <c r="E409" i="6"/>
  <c r="CT98" i="1"/>
  <c r="S98" i="1" s="1"/>
  <c r="K396" i="6" s="1"/>
  <c r="U395" i="6"/>
  <c r="H400" i="6" s="1"/>
  <c r="S395" i="6"/>
  <c r="H396" i="6"/>
  <c r="W394" i="6"/>
  <c r="G394" i="6"/>
  <c r="O394" i="6" s="1"/>
  <c r="U386" i="6"/>
  <c r="H390" i="6" s="1"/>
  <c r="H388" i="6"/>
  <c r="S386" i="6"/>
  <c r="H389" i="6" s="1"/>
  <c r="W95" i="1"/>
  <c r="CT95" i="1"/>
  <c r="S95" i="1" s="1"/>
  <c r="S383" i="6"/>
  <c r="U383" i="6"/>
  <c r="T94" i="1"/>
  <c r="U381" i="6"/>
  <c r="S381" i="6"/>
  <c r="H379" i="6"/>
  <c r="W379" i="6" s="1"/>
  <c r="CT91" i="1"/>
  <c r="S91" i="1" s="1"/>
  <c r="K366" i="6" s="1"/>
  <c r="U365" i="6"/>
  <c r="H369" i="6" s="1"/>
  <c r="S365" i="6"/>
  <c r="H368" i="6" s="1"/>
  <c r="H366" i="6"/>
  <c r="AD90" i="1"/>
  <c r="H360" i="6"/>
  <c r="R360" i="6" s="1"/>
  <c r="H359" i="6"/>
  <c r="AB88" i="1"/>
  <c r="P87" i="1"/>
  <c r="K349" i="6" s="1"/>
  <c r="J350" i="6" s="1"/>
  <c r="P350" i="6" s="1"/>
  <c r="T87" i="1"/>
  <c r="H349" i="6"/>
  <c r="V84" i="1"/>
  <c r="AD84" i="1"/>
  <c r="H327" i="6"/>
  <c r="H328" i="6"/>
  <c r="R328" i="6" s="1"/>
  <c r="S323" i="6"/>
  <c r="U323" i="6"/>
  <c r="W81" i="1"/>
  <c r="H315" i="6"/>
  <c r="H316" i="6"/>
  <c r="R316" i="6" s="1"/>
  <c r="CZ80" i="1"/>
  <c r="Y80" i="1" s="1"/>
  <c r="V307" i="6" s="1"/>
  <c r="K310" i="6" s="1"/>
  <c r="K308" i="6"/>
  <c r="R76" i="1"/>
  <c r="H297" i="6"/>
  <c r="W297" i="6" s="1"/>
  <c r="AD75" i="1"/>
  <c r="AB75" i="1" s="1"/>
  <c r="H293" i="6"/>
  <c r="CS72" i="1"/>
  <c r="H274" i="6"/>
  <c r="H275" i="6"/>
  <c r="R275" i="6" s="1"/>
  <c r="U71" i="1"/>
  <c r="GX70" i="1"/>
  <c r="CS70" i="1"/>
  <c r="R70" i="1" s="1"/>
  <c r="H258" i="6"/>
  <c r="H259" i="6"/>
  <c r="R259" i="6" s="1"/>
  <c r="S69" i="1"/>
  <c r="U68" i="1"/>
  <c r="CR68" i="1"/>
  <c r="Q68" i="1" s="1"/>
  <c r="U244" i="6"/>
  <c r="S244" i="6"/>
  <c r="H245" i="6"/>
  <c r="CR66" i="1"/>
  <c r="CT60" i="1"/>
  <c r="S60" i="1" s="1"/>
  <c r="K218" i="6" s="1"/>
  <c r="H218" i="6"/>
  <c r="U217" i="6"/>
  <c r="H221" i="6" s="1"/>
  <c r="S217" i="6"/>
  <c r="H220" i="6" s="1"/>
  <c r="S213" i="6"/>
  <c r="U213" i="6"/>
  <c r="AB57" i="1"/>
  <c r="T56" i="1"/>
  <c r="U209" i="6"/>
  <c r="S209" i="6"/>
  <c r="S191" i="6"/>
  <c r="H194" i="6" s="1"/>
  <c r="H193" i="6"/>
  <c r="U191" i="6"/>
  <c r="H195" i="6" s="1"/>
  <c r="W52" i="1"/>
  <c r="S182" i="6"/>
  <c r="H187" i="6" s="1"/>
  <c r="H184" i="6"/>
  <c r="U182" i="6"/>
  <c r="H188" i="6" s="1"/>
  <c r="CQ48" i="1"/>
  <c r="P48" i="1" s="1"/>
  <c r="K163" i="6" s="1"/>
  <c r="H163" i="6"/>
  <c r="K49" i="1"/>
  <c r="C159" i="6"/>
  <c r="E158" i="6"/>
  <c r="CQ47" i="1"/>
  <c r="L151" i="6"/>
  <c r="Q151" i="6" s="1"/>
  <c r="L150" i="6"/>
  <c r="C144" i="6"/>
  <c r="E143" i="6"/>
  <c r="AB44" i="1"/>
  <c r="AD43" i="1"/>
  <c r="H134" i="6"/>
  <c r="R134" i="6" s="1"/>
  <c r="H133" i="6"/>
  <c r="CZ42" i="1"/>
  <c r="Y42" i="1" s="1"/>
  <c r="V124" i="6" s="1"/>
  <c r="K127" i="6" s="1"/>
  <c r="CY41" i="1"/>
  <c r="X41" i="1" s="1"/>
  <c r="T114" i="6" s="1"/>
  <c r="K120" i="6" s="1"/>
  <c r="CZ41" i="1"/>
  <c r="Y41" i="1" s="1"/>
  <c r="V114" i="6" s="1"/>
  <c r="K121" i="6" s="1"/>
  <c r="K116" i="6"/>
  <c r="AD41" i="1"/>
  <c r="H118" i="6"/>
  <c r="R118" i="6" s="1"/>
  <c r="H117" i="6"/>
  <c r="C115" i="6"/>
  <c r="E114" i="6"/>
  <c r="T39" i="1"/>
  <c r="U110" i="6"/>
  <c r="S110" i="6"/>
  <c r="T38" i="1"/>
  <c r="U108" i="6"/>
  <c r="S108" i="6"/>
  <c r="V36" i="1"/>
  <c r="AD36" i="1"/>
  <c r="CS36" i="1"/>
  <c r="R36" i="1" s="1"/>
  <c r="L94" i="6"/>
  <c r="L95" i="6"/>
  <c r="Q95" i="6" s="1"/>
  <c r="U86" i="6"/>
  <c r="H93" i="6" s="1"/>
  <c r="H88" i="6"/>
  <c r="S86" i="6"/>
  <c r="H92" i="6" s="1"/>
  <c r="T26" i="1"/>
  <c r="U26" i="1"/>
  <c r="H47" i="6"/>
  <c r="L42" i="6"/>
  <c r="Q42" i="6" s="1"/>
  <c r="L41" i="6"/>
  <c r="DH390" i="3"/>
  <c r="DI390" i="3"/>
  <c r="DJ390" i="3" s="1"/>
  <c r="DF196" i="3"/>
  <c r="DG196" i="3"/>
  <c r="DI196" i="3"/>
  <c r="DJ196" i="3" s="1"/>
  <c r="V81" i="1"/>
  <c r="U81" i="1"/>
  <c r="L312" i="6"/>
  <c r="Q312" i="6" s="1"/>
  <c r="L311" i="6"/>
  <c r="AB80" i="1"/>
  <c r="U301" i="6"/>
  <c r="S301" i="6"/>
  <c r="U299" i="6"/>
  <c r="S299" i="6"/>
  <c r="P76" i="1"/>
  <c r="P75" i="1"/>
  <c r="L289" i="6"/>
  <c r="Q289" i="6" s="1"/>
  <c r="L288" i="6"/>
  <c r="H283" i="6"/>
  <c r="S282" i="6"/>
  <c r="H286" i="6" s="1"/>
  <c r="U282" i="6"/>
  <c r="H287" i="6" s="1"/>
  <c r="CQ73" i="1"/>
  <c r="P73" i="1" s="1"/>
  <c r="K280" i="6" s="1"/>
  <c r="J281" i="6" s="1"/>
  <c r="P281" i="6" s="1"/>
  <c r="H280" i="6"/>
  <c r="L278" i="6"/>
  <c r="L279" i="6"/>
  <c r="Q279" i="6" s="1"/>
  <c r="U264" i="6"/>
  <c r="H269" i="6" s="1"/>
  <c r="S264" i="6"/>
  <c r="H268" i="6" s="1"/>
  <c r="H265" i="6"/>
  <c r="R265" i="6" s="1"/>
  <c r="Q69" i="1"/>
  <c r="H254" i="6"/>
  <c r="U252" i="6"/>
  <c r="S252" i="6"/>
  <c r="H247" i="6"/>
  <c r="R247" i="6" s="1"/>
  <c r="H246" i="6"/>
  <c r="H239" i="6"/>
  <c r="U238" i="6"/>
  <c r="H241" i="6" s="1"/>
  <c r="S238" i="6"/>
  <c r="H240" i="6" s="1"/>
  <c r="CQ64" i="1"/>
  <c r="P64" i="1" s="1"/>
  <c r="H234" i="6"/>
  <c r="W233" i="6"/>
  <c r="G233" i="6"/>
  <c r="O233" i="6" s="1"/>
  <c r="L231" i="6"/>
  <c r="Q231" i="6" s="1"/>
  <c r="L230" i="6"/>
  <c r="G225" i="6"/>
  <c r="O225" i="6" s="1"/>
  <c r="W225" i="6"/>
  <c r="AD60" i="1"/>
  <c r="AB60" i="1" s="1"/>
  <c r="H219" i="6"/>
  <c r="CP57" i="1"/>
  <c r="O57" i="1" s="1"/>
  <c r="K211" i="6"/>
  <c r="J212" i="6" s="1"/>
  <c r="P212" i="6" s="1"/>
  <c r="G212" i="6"/>
  <c r="O212" i="6" s="1"/>
  <c r="W212" i="6"/>
  <c r="CT55" i="1"/>
  <c r="S55" i="1" s="1"/>
  <c r="K202" i="6" s="1"/>
  <c r="S200" i="6"/>
  <c r="H202" i="6"/>
  <c r="R202" i="6" s="1"/>
  <c r="U200" i="6"/>
  <c r="C201" i="6"/>
  <c r="E200" i="6"/>
  <c r="U198" i="6"/>
  <c r="S198" i="6"/>
  <c r="V52" i="1"/>
  <c r="H186" i="6"/>
  <c r="R186" i="6" s="1"/>
  <c r="H185" i="6"/>
  <c r="E173" i="6"/>
  <c r="C174" i="6"/>
  <c r="H168" i="6"/>
  <c r="CZ48" i="1"/>
  <c r="Y48" i="1" s="1"/>
  <c r="V158" i="6" s="1"/>
  <c r="K165" i="6" s="1"/>
  <c r="K162" i="6"/>
  <c r="W39" i="1"/>
  <c r="S39" i="1"/>
  <c r="W38" i="1"/>
  <c r="AD37" i="1"/>
  <c r="H102" i="6"/>
  <c r="R102" i="6" s="1"/>
  <c r="H101" i="6"/>
  <c r="AD35" i="1"/>
  <c r="H89" i="6"/>
  <c r="H90" i="6"/>
  <c r="R90" i="6" s="1"/>
  <c r="CS35" i="1"/>
  <c r="R35" i="1" s="1"/>
  <c r="K90" i="6" s="1"/>
  <c r="L76" i="6"/>
  <c r="Q76" i="6" s="1"/>
  <c r="L75" i="6"/>
  <c r="CQ28" i="1"/>
  <c r="DF405" i="3"/>
  <c r="DJ405" i="3" s="1"/>
  <c r="DH405" i="3"/>
  <c r="DG386" i="3"/>
  <c r="DH386" i="3"/>
  <c r="DI386" i="3"/>
  <c r="CS78" i="1"/>
  <c r="R78" i="1" s="1"/>
  <c r="K303" i="6" s="1"/>
  <c r="H302" i="6"/>
  <c r="H303" i="6"/>
  <c r="R303" i="6" s="1"/>
  <c r="W77" i="1"/>
  <c r="E299" i="6"/>
  <c r="T76" i="1"/>
  <c r="U297" i="6"/>
  <c r="S297" i="6"/>
  <c r="CZ75" i="1"/>
  <c r="Y75" i="1" s="1"/>
  <c r="V290" i="6" s="1"/>
  <c r="E290" i="6"/>
  <c r="C291" i="6"/>
  <c r="CS74" i="1"/>
  <c r="R74" i="1" s="1"/>
  <c r="CY74" i="1" s="1"/>
  <c r="X74" i="1" s="1"/>
  <c r="T282" i="6" s="1"/>
  <c r="K286" i="6" s="1"/>
  <c r="H284" i="6"/>
  <c r="CZ73" i="1"/>
  <c r="Y73" i="1" s="1"/>
  <c r="V280" i="6" s="1"/>
  <c r="CS71" i="1"/>
  <c r="R71" i="1" s="1"/>
  <c r="K267" i="6" s="1"/>
  <c r="H267" i="6"/>
  <c r="R267" i="6" s="1"/>
  <c r="H266" i="6"/>
  <c r="P69" i="1"/>
  <c r="T69" i="1"/>
  <c r="L253" i="6"/>
  <c r="Q253" i="6" s="1"/>
  <c r="L251" i="6"/>
  <c r="CZ66" i="1"/>
  <c r="Y66" i="1" s="1"/>
  <c r="V238" i="6" s="1"/>
  <c r="K241" i="6" s="1"/>
  <c r="K239" i="6"/>
  <c r="U234" i="6"/>
  <c r="S234" i="6"/>
  <c r="S232" i="6"/>
  <c r="U232" i="6"/>
  <c r="CP61" i="1"/>
  <c r="O61" i="1" s="1"/>
  <c r="K224" i="6"/>
  <c r="J225" i="6" s="1"/>
  <c r="P225" i="6" s="1"/>
  <c r="U211" i="6"/>
  <c r="S211" i="6"/>
  <c r="AD55" i="1"/>
  <c r="H203" i="6"/>
  <c r="H204" i="6"/>
  <c r="R204" i="6" s="1"/>
  <c r="C183" i="6"/>
  <c r="E182" i="6"/>
  <c r="S173" i="6"/>
  <c r="H178" i="6" s="1"/>
  <c r="U173" i="6"/>
  <c r="H179" i="6" s="1"/>
  <c r="H175" i="6"/>
  <c r="U49" i="1"/>
  <c r="L170" i="6" s="1"/>
  <c r="Q170" i="6" s="1"/>
  <c r="C169" i="6"/>
  <c r="E168" i="6"/>
  <c r="L166" i="6"/>
  <c r="L167" i="6"/>
  <c r="Q167" i="6" s="1"/>
  <c r="U158" i="6"/>
  <c r="H165" i="6" s="1"/>
  <c r="S158" i="6"/>
  <c r="H164" i="6" s="1"/>
  <c r="H160" i="6"/>
  <c r="R160" i="6" s="1"/>
  <c r="U143" i="6"/>
  <c r="H149" i="6" s="1"/>
  <c r="S143" i="6"/>
  <c r="H148" i="6" s="1"/>
  <c r="H145" i="6"/>
  <c r="CP42" i="1"/>
  <c r="O42" i="1" s="1"/>
  <c r="GN42" i="1" s="1"/>
  <c r="CQ39" i="1"/>
  <c r="P39" i="1" s="1"/>
  <c r="H110" i="6"/>
  <c r="Q38" i="1"/>
  <c r="E108" i="6"/>
  <c r="GX36" i="1"/>
  <c r="P36" i="1"/>
  <c r="K96" i="6" s="1"/>
  <c r="J98" i="6" s="1"/>
  <c r="P98" i="6" s="1"/>
  <c r="AB33" i="1"/>
  <c r="T30" i="1"/>
  <c r="H56" i="6"/>
  <c r="U55" i="6"/>
  <c r="H60" i="6" s="1"/>
  <c r="S55" i="6"/>
  <c r="H59" i="6" s="1"/>
  <c r="DF389" i="3"/>
  <c r="DI389" i="3"/>
  <c r="DJ389" i="3" s="1"/>
  <c r="DF243" i="3"/>
  <c r="DH243" i="3"/>
  <c r="U99" i="6"/>
  <c r="H105" i="6" s="1"/>
  <c r="S99" i="6"/>
  <c r="H104" i="6" s="1"/>
  <c r="H100" i="6"/>
  <c r="H96" i="6"/>
  <c r="CQ35" i="1"/>
  <c r="P35" i="1" s="1"/>
  <c r="K91" i="6" s="1"/>
  <c r="H91" i="6"/>
  <c r="H82" i="6"/>
  <c r="R82" i="6" s="1"/>
  <c r="H81" i="6"/>
  <c r="AB32" i="1"/>
  <c r="H72" i="6"/>
  <c r="U71" i="6"/>
  <c r="H74" i="6" s="1"/>
  <c r="S71" i="6"/>
  <c r="H73" i="6" s="1"/>
  <c r="H66" i="6"/>
  <c r="R66" i="6" s="1"/>
  <c r="H65" i="6"/>
  <c r="U29" i="1"/>
  <c r="AB27" i="1"/>
  <c r="H38" i="6"/>
  <c r="U37" i="6"/>
  <c r="H40" i="6" s="1"/>
  <c r="S37" i="6"/>
  <c r="H39" i="6" s="1"/>
  <c r="DH403" i="3"/>
  <c r="DI397" i="3"/>
  <c r="DF396" i="3"/>
  <c r="DI395" i="3"/>
  <c r="DI384" i="3"/>
  <c r="DH377" i="3"/>
  <c r="DI255" i="3"/>
  <c r="DF251" i="3"/>
  <c r="DJ251" i="3" s="1"/>
  <c r="DI247" i="3"/>
  <c r="DF246" i="3"/>
  <c r="DJ246" i="3" s="1"/>
  <c r="DH172" i="3"/>
  <c r="DF39" i="3"/>
  <c r="DJ39" i="3" s="1"/>
  <c r="DH39" i="3"/>
  <c r="DI39" i="3"/>
  <c r="DF31" i="3"/>
  <c r="DH31" i="3"/>
  <c r="DI31" i="3"/>
  <c r="CX19" i="3"/>
  <c r="E71" i="6"/>
  <c r="U30" i="1"/>
  <c r="T29" i="1"/>
  <c r="P29" i="1"/>
  <c r="CP29" i="1" s="1"/>
  <c r="O29" i="1" s="1"/>
  <c r="AB29" i="1"/>
  <c r="CT26" i="1"/>
  <c r="S26" i="1" s="1"/>
  <c r="K44" i="6" s="1"/>
  <c r="U43" i="6"/>
  <c r="H44" i="6"/>
  <c r="R44" i="6" s="1"/>
  <c r="S43" i="6"/>
  <c r="W25" i="1"/>
  <c r="E37" i="6"/>
  <c r="DI409" i="3"/>
  <c r="DI401" i="3"/>
  <c r="DH397" i="3"/>
  <c r="DH395" i="3"/>
  <c r="DI393" i="3"/>
  <c r="DH391" i="3"/>
  <c r="DF384" i="3"/>
  <c r="DH383" i="3"/>
  <c r="DF377" i="3"/>
  <c r="DI258" i="3"/>
  <c r="DI257" i="3"/>
  <c r="DH244" i="3"/>
  <c r="DI242" i="3"/>
  <c r="DH240" i="3"/>
  <c r="DH166" i="3"/>
  <c r="DF166" i="3"/>
  <c r="DJ166" i="3" s="1"/>
  <c r="DG166" i="3"/>
  <c r="DF95" i="3"/>
  <c r="DJ95" i="3" s="1"/>
  <c r="DI95" i="3"/>
  <c r="DI403" i="3"/>
  <c r="DG396" i="3"/>
  <c r="DJ396" i="3" s="1"/>
  <c r="DI377" i="3"/>
  <c r="DJ377" i="3" s="1"/>
  <c r="DH251" i="3"/>
  <c r="DH246" i="3"/>
  <c r="DG162" i="3"/>
  <c r="DJ162" i="3" s="1"/>
  <c r="DI162" i="3"/>
  <c r="DF94" i="3"/>
  <c r="DJ94" i="3" s="1"/>
  <c r="DH38" i="3"/>
  <c r="DF30" i="3"/>
  <c r="DF38" i="3"/>
  <c r="DJ38" i="3" s="1"/>
  <c r="DH29" i="3"/>
  <c r="DH30" i="3"/>
  <c r="U176" i="1"/>
  <c r="L776" i="6" s="1"/>
  <c r="Q776" i="6" s="1"/>
  <c r="V176" i="1"/>
  <c r="W176" i="1"/>
  <c r="T176" i="1"/>
  <c r="BY22" i="1"/>
  <c r="AP178" i="1"/>
  <c r="CY149" i="1"/>
  <c r="X149" i="1" s="1"/>
  <c r="T646" i="6" s="1"/>
  <c r="CZ149" i="1"/>
  <c r="Y149" i="1" s="1"/>
  <c r="V646" i="6" s="1"/>
  <c r="Q176" i="1"/>
  <c r="AO178" i="1"/>
  <c r="GX176" i="1"/>
  <c r="GM175" i="1"/>
  <c r="AB171" i="1"/>
  <c r="K176" i="1"/>
  <c r="CX447" i="3"/>
  <c r="CX449" i="3"/>
  <c r="CX451" i="3"/>
  <c r="CX453" i="3"/>
  <c r="CX441" i="3"/>
  <c r="CX430" i="3"/>
  <c r="CX435" i="3"/>
  <c r="CX440" i="3"/>
  <c r="CX446" i="3"/>
  <c r="CX431" i="3"/>
  <c r="CX432" i="3"/>
  <c r="CX437" i="3"/>
  <c r="CX442" i="3"/>
  <c r="CX433" i="3"/>
  <c r="CX448" i="3"/>
  <c r="CX434" i="3"/>
  <c r="I170" i="1"/>
  <c r="H761" i="6" s="1"/>
  <c r="CY164" i="1"/>
  <c r="X164" i="1" s="1"/>
  <c r="T722" i="6" s="1"/>
  <c r="K725" i="6" s="1"/>
  <c r="CZ164" i="1"/>
  <c r="Y164" i="1" s="1"/>
  <c r="V722" i="6" s="1"/>
  <c r="K726" i="6" s="1"/>
  <c r="CZ161" i="1"/>
  <c r="Y161" i="1" s="1"/>
  <c r="V702" i="6" s="1"/>
  <c r="K708" i="6" s="1"/>
  <c r="BC178" i="1"/>
  <c r="S169" i="1"/>
  <c r="K753" i="6" s="1"/>
  <c r="P167" i="1"/>
  <c r="AD162" i="1"/>
  <c r="AB162" i="1" s="1"/>
  <c r="S176" i="1"/>
  <c r="GN175" i="1"/>
  <c r="AB170" i="1"/>
  <c r="R169" i="1"/>
  <c r="K755" i="6" s="1"/>
  <c r="W167" i="1"/>
  <c r="CP163" i="1"/>
  <c r="O163" i="1" s="1"/>
  <c r="CZ162" i="1"/>
  <c r="Y162" i="1" s="1"/>
  <c r="CR156" i="1"/>
  <c r="AB152" i="1"/>
  <c r="CY144" i="1"/>
  <c r="X144" i="1" s="1"/>
  <c r="R176" i="1"/>
  <c r="AB176" i="1"/>
  <c r="CR169" i="1"/>
  <c r="Q169" i="1" s="1"/>
  <c r="K754" i="6" s="1"/>
  <c r="AB169" i="1"/>
  <c r="CP165" i="1"/>
  <c r="O165" i="1" s="1"/>
  <c r="CP157" i="1"/>
  <c r="O157" i="1" s="1"/>
  <c r="CQ156" i="1"/>
  <c r="AD156" i="1"/>
  <c r="AB156" i="1" s="1"/>
  <c r="CZ155" i="1"/>
  <c r="Y155" i="1" s="1"/>
  <c r="CY146" i="1"/>
  <c r="X146" i="1" s="1"/>
  <c r="T632" i="6" s="1"/>
  <c r="CZ146" i="1"/>
  <c r="Y146" i="1" s="1"/>
  <c r="V632" i="6" s="1"/>
  <c r="CY138" i="1"/>
  <c r="X138" i="1" s="1"/>
  <c r="CZ138" i="1"/>
  <c r="Y138" i="1" s="1"/>
  <c r="V584" i="6" s="1"/>
  <c r="K587" i="6" s="1"/>
  <c r="CP127" i="1"/>
  <c r="O127" i="1" s="1"/>
  <c r="CY147" i="1"/>
  <c r="X147" i="1" s="1"/>
  <c r="T634" i="6" s="1"/>
  <c r="K639" i="6" s="1"/>
  <c r="CZ147" i="1"/>
  <c r="Y147" i="1" s="1"/>
  <c r="V634" i="6" s="1"/>
  <c r="K640" i="6" s="1"/>
  <c r="CY128" i="1"/>
  <c r="X128" i="1" s="1"/>
  <c r="T530" i="6" s="1"/>
  <c r="CZ128" i="1"/>
  <c r="Y128" i="1" s="1"/>
  <c r="V530" i="6" s="1"/>
  <c r="CY105" i="1"/>
  <c r="X105" i="1" s="1"/>
  <c r="T429" i="6" s="1"/>
  <c r="CZ105" i="1"/>
  <c r="Y105" i="1" s="1"/>
  <c r="V429" i="6" s="1"/>
  <c r="AU178" i="1"/>
  <c r="P176" i="1"/>
  <c r="U170" i="1"/>
  <c r="L763" i="6" s="1"/>
  <c r="Q763" i="6" s="1"/>
  <c r="Q167" i="1"/>
  <c r="CY163" i="1"/>
  <c r="X163" i="1" s="1"/>
  <c r="T720" i="6" s="1"/>
  <c r="CZ163" i="1"/>
  <c r="Y163" i="1" s="1"/>
  <c r="V720" i="6" s="1"/>
  <c r="AB155" i="1"/>
  <c r="AB153" i="1"/>
  <c r="CP149" i="1"/>
  <c r="O149" i="1" s="1"/>
  <c r="CP145" i="1"/>
  <c r="O145" i="1" s="1"/>
  <c r="GX142" i="1"/>
  <c r="CY134" i="1"/>
  <c r="X134" i="1" s="1"/>
  <c r="T557" i="6" s="1"/>
  <c r="K563" i="6" s="1"/>
  <c r="CZ134" i="1"/>
  <c r="Y134" i="1" s="1"/>
  <c r="V557" i="6" s="1"/>
  <c r="K564" i="6" s="1"/>
  <c r="CY114" i="1"/>
  <c r="X114" i="1" s="1"/>
  <c r="T473" i="6" s="1"/>
  <c r="CZ114" i="1"/>
  <c r="Y114" i="1" s="1"/>
  <c r="V473" i="6" s="1"/>
  <c r="CZ113" i="1"/>
  <c r="Y113" i="1" s="1"/>
  <c r="V471" i="6" s="1"/>
  <c r="CY113" i="1"/>
  <c r="X113" i="1" s="1"/>
  <c r="T471" i="6" s="1"/>
  <c r="GM173" i="1"/>
  <c r="GN173" i="1"/>
  <c r="CY168" i="1"/>
  <c r="X168" i="1" s="1"/>
  <c r="T750" i="6" s="1"/>
  <c r="AD168" i="1"/>
  <c r="AB168" i="1" s="1"/>
  <c r="CR168" i="1"/>
  <c r="Q168" i="1" s="1"/>
  <c r="CY157" i="1"/>
  <c r="X157" i="1" s="1"/>
  <c r="T686" i="6" s="1"/>
  <c r="CZ157" i="1"/>
  <c r="Y157" i="1" s="1"/>
  <c r="V686" i="6" s="1"/>
  <c r="CZ152" i="1"/>
  <c r="Y152" i="1" s="1"/>
  <c r="GM143" i="1"/>
  <c r="GN143" i="1"/>
  <c r="AD142" i="1"/>
  <c r="AB142" i="1" s="1"/>
  <c r="CR142" i="1"/>
  <c r="AB137" i="1"/>
  <c r="CQ137" i="1"/>
  <c r="P137" i="1" s="1"/>
  <c r="CP137" i="1" s="1"/>
  <c r="O137" i="1" s="1"/>
  <c r="CY129" i="1"/>
  <c r="X129" i="1" s="1"/>
  <c r="T532" i="6" s="1"/>
  <c r="CZ129" i="1"/>
  <c r="Y129" i="1" s="1"/>
  <c r="V532" i="6" s="1"/>
  <c r="CP128" i="1"/>
  <c r="O128" i="1" s="1"/>
  <c r="CY121" i="1"/>
  <c r="X121" i="1" s="1"/>
  <c r="T492" i="6" s="1"/>
  <c r="K494" i="6" s="1"/>
  <c r="CZ121" i="1"/>
  <c r="Y121" i="1" s="1"/>
  <c r="V492" i="6" s="1"/>
  <c r="K495" i="6" s="1"/>
  <c r="CS168" i="1"/>
  <c r="R168" i="1" s="1"/>
  <c r="CZ168" i="1" s="1"/>
  <c r="Y168" i="1" s="1"/>
  <c r="V750" i="6" s="1"/>
  <c r="CP168" i="1"/>
  <c r="O168" i="1" s="1"/>
  <c r="CZ143" i="1"/>
  <c r="Y143" i="1" s="1"/>
  <c r="V612" i="6" s="1"/>
  <c r="K618" i="6" s="1"/>
  <c r="CS142" i="1"/>
  <c r="GN133" i="1"/>
  <c r="GM133" i="1"/>
  <c r="CY132" i="1"/>
  <c r="X132" i="1" s="1"/>
  <c r="T545" i="6" s="1"/>
  <c r="K551" i="6" s="1"/>
  <c r="CZ132" i="1"/>
  <c r="Y132" i="1" s="1"/>
  <c r="V545" i="6" s="1"/>
  <c r="K552" i="6" s="1"/>
  <c r="CP130" i="1"/>
  <c r="O130" i="1" s="1"/>
  <c r="CY120" i="1"/>
  <c r="X120" i="1" s="1"/>
  <c r="T490" i="6" s="1"/>
  <c r="CZ120" i="1"/>
  <c r="Y120" i="1" s="1"/>
  <c r="V490" i="6" s="1"/>
  <c r="AB160" i="1"/>
  <c r="CQ160" i="1"/>
  <c r="P160" i="1" s="1"/>
  <c r="CP160" i="1" s="1"/>
  <c r="O160" i="1" s="1"/>
  <c r="CY166" i="1"/>
  <c r="X166" i="1" s="1"/>
  <c r="T739" i="6" s="1"/>
  <c r="CZ166" i="1"/>
  <c r="Y166" i="1" s="1"/>
  <c r="V739" i="6" s="1"/>
  <c r="BZ178" i="1"/>
  <c r="CG178" i="1" s="1"/>
  <c r="CZ141" i="1"/>
  <c r="Y141" i="1" s="1"/>
  <c r="V601" i="6" s="1"/>
  <c r="K607" i="6" s="1"/>
  <c r="CY141" i="1"/>
  <c r="X141" i="1" s="1"/>
  <c r="T601" i="6" s="1"/>
  <c r="K606" i="6" s="1"/>
  <c r="CP141" i="1"/>
  <c r="O141" i="1" s="1"/>
  <c r="CP121" i="1"/>
  <c r="O121" i="1" s="1"/>
  <c r="GN174" i="1"/>
  <c r="GM174" i="1"/>
  <c r="CP136" i="1"/>
  <c r="O136" i="1" s="1"/>
  <c r="CP132" i="1"/>
  <c r="O132" i="1" s="1"/>
  <c r="CP111" i="1"/>
  <c r="O111" i="1" s="1"/>
  <c r="CY107" i="1"/>
  <c r="X107" i="1" s="1"/>
  <c r="T437" i="6" s="1"/>
  <c r="K442" i="6" s="1"/>
  <c r="CZ171" i="1"/>
  <c r="Y171" i="1" s="1"/>
  <c r="GX166" i="1"/>
  <c r="CY150" i="1"/>
  <c r="X150" i="1" s="1"/>
  <c r="T648" i="6" s="1"/>
  <c r="Q148" i="1"/>
  <c r="CX344" i="3"/>
  <c r="CX346" i="3"/>
  <c r="CX348" i="3"/>
  <c r="CX350" i="3"/>
  <c r="CX343" i="3"/>
  <c r="CY143" i="1"/>
  <c r="X143" i="1" s="1"/>
  <c r="T612" i="6" s="1"/>
  <c r="K617" i="6" s="1"/>
  <c r="T141" i="1"/>
  <c r="AB140" i="1"/>
  <c r="CS130" i="1"/>
  <c r="R130" i="1" s="1"/>
  <c r="T124" i="1"/>
  <c r="AB119" i="1"/>
  <c r="AB118" i="1"/>
  <c r="AB117" i="1"/>
  <c r="T107" i="1"/>
  <c r="AD107" i="1"/>
  <c r="CR107" i="1"/>
  <c r="Q107" i="1" s="1"/>
  <c r="GX100" i="1"/>
  <c r="GX93" i="1"/>
  <c r="T93" i="1"/>
  <c r="CZ91" i="1"/>
  <c r="Y91" i="1" s="1"/>
  <c r="V365" i="6" s="1"/>
  <c r="K369" i="6" s="1"/>
  <c r="CY91" i="1"/>
  <c r="X91" i="1" s="1"/>
  <c r="T365" i="6" s="1"/>
  <c r="K368" i="6" s="1"/>
  <c r="GM80" i="1"/>
  <c r="GN80" i="1"/>
  <c r="CY124" i="1"/>
  <c r="X124" i="1" s="1"/>
  <c r="T514" i="6" s="1"/>
  <c r="CP124" i="1"/>
  <c r="O124" i="1" s="1"/>
  <c r="K514" i="6" s="1"/>
  <c r="CY122" i="1"/>
  <c r="X122" i="1" s="1"/>
  <c r="T498" i="6" s="1"/>
  <c r="K502" i="6" s="1"/>
  <c r="CZ122" i="1"/>
  <c r="Y122" i="1" s="1"/>
  <c r="V498" i="6" s="1"/>
  <c r="K503" i="6" s="1"/>
  <c r="CP122" i="1"/>
  <c r="O122" i="1" s="1"/>
  <c r="CX203" i="3"/>
  <c r="CX200" i="3"/>
  <c r="CX201" i="3"/>
  <c r="CX202" i="3"/>
  <c r="CX204" i="3"/>
  <c r="K109" i="1"/>
  <c r="I110" i="1"/>
  <c r="S458" i="6" s="1"/>
  <c r="K110" i="1"/>
  <c r="AD97" i="1"/>
  <c r="CS97" i="1"/>
  <c r="R97" i="1" s="1"/>
  <c r="AB94" i="1"/>
  <c r="CQ94" i="1"/>
  <c r="P94" i="1" s="1"/>
  <c r="K381" i="6" s="1"/>
  <c r="J382" i="6" s="1"/>
  <c r="P382" i="6" s="1"/>
  <c r="CX342" i="3"/>
  <c r="CX341" i="3"/>
  <c r="AD127" i="1"/>
  <c r="AB127" i="1" s="1"/>
  <c r="CZ125" i="1"/>
  <c r="Y125" i="1" s="1"/>
  <c r="V516" i="6" s="1"/>
  <c r="R124" i="1"/>
  <c r="CZ124" i="1" s="1"/>
  <c r="Y124" i="1" s="1"/>
  <c r="V514" i="6" s="1"/>
  <c r="CR120" i="1"/>
  <c r="Q120" i="1" s="1"/>
  <c r="CP120" i="1" s="1"/>
  <c r="O120" i="1" s="1"/>
  <c r="CZ115" i="1"/>
  <c r="Y115" i="1" s="1"/>
  <c r="V481" i="6" s="1"/>
  <c r="CR114" i="1"/>
  <c r="Q114" i="1" s="1"/>
  <c r="CX234" i="3"/>
  <c r="CX227" i="3"/>
  <c r="CX228" i="3"/>
  <c r="CX224" i="3"/>
  <c r="CX232" i="3"/>
  <c r="CX233" i="3"/>
  <c r="CX225" i="3"/>
  <c r="CX226" i="3"/>
  <c r="CX230" i="3"/>
  <c r="I116" i="1"/>
  <c r="E482" i="6" s="1"/>
  <c r="CR108" i="1"/>
  <c r="AB108" i="1"/>
  <c r="I108" i="1"/>
  <c r="H450" i="6" s="1"/>
  <c r="R107" i="1"/>
  <c r="T100" i="1"/>
  <c r="CR97" i="1"/>
  <c r="Q97" i="1" s="1"/>
  <c r="AB97" i="1"/>
  <c r="CQ97" i="1"/>
  <c r="P97" i="1" s="1"/>
  <c r="K393" i="6" s="1"/>
  <c r="J394" i="6" s="1"/>
  <c r="P394" i="6" s="1"/>
  <c r="CP91" i="1"/>
  <c r="O91" i="1" s="1"/>
  <c r="CY90" i="1"/>
  <c r="X90" i="1" s="1"/>
  <c r="T357" i="6" s="1"/>
  <c r="K361" i="6" s="1"/>
  <c r="CZ90" i="1"/>
  <c r="Y90" i="1" s="1"/>
  <c r="V357" i="6" s="1"/>
  <c r="K362" i="6" s="1"/>
  <c r="CY85" i="1"/>
  <c r="X85" i="1" s="1"/>
  <c r="T333" i="6" s="1"/>
  <c r="K337" i="6" s="1"/>
  <c r="CZ85" i="1"/>
  <c r="Y85" i="1" s="1"/>
  <c r="V333" i="6" s="1"/>
  <c r="K338" i="6" s="1"/>
  <c r="CP74" i="1"/>
  <c r="O74" i="1" s="1"/>
  <c r="CY58" i="1"/>
  <c r="X58" i="1" s="1"/>
  <c r="T213" i="6" s="1"/>
  <c r="CZ58" i="1"/>
  <c r="Y58" i="1" s="1"/>
  <c r="V213" i="6" s="1"/>
  <c r="AB130" i="1"/>
  <c r="CX286" i="3"/>
  <c r="CX288" i="3"/>
  <c r="CX290" i="3"/>
  <c r="CX292" i="3"/>
  <c r="CX294" i="3"/>
  <c r="CX296" i="3"/>
  <c r="CX298" i="3"/>
  <c r="CX287" i="3"/>
  <c r="CX289" i="3"/>
  <c r="CX293" i="3"/>
  <c r="CX295" i="3"/>
  <c r="CX297" i="3"/>
  <c r="CX300" i="3"/>
  <c r="CX302" i="3"/>
  <c r="CZ127" i="1"/>
  <c r="Y127" i="1" s="1"/>
  <c r="V521" i="6" s="1"/>
  <c r="K527" i="6" s="1"/>
  <c r="AB123" i="1"/>
  <c r="CX264" i="3"/>
  <c r="CX270" i="3"/>
  <c r="CX262" i="3"/>
  <c r="CX260" i="3"/>
  <c r="CX268" i="3"/>
  <c r="CX273" i="3"/>
  <c r="CX271" i="3"/>
  <c r="CX266" i="3"/>
  <c r="K126" i="1"/>
  <c r="I126" i="1"/>
  <c r="AB122" i="1"/>
  <c r="GX119" i="1"/>
  <c r="CZ117" i="1"/>
  <c r="Y117" i="1" s="1"/>
  <c r="V484" i="6" s="1"/>
  <c r="AB114" i="1"/>
  <c r="W107" i="1"/>
  <c r="S100" i="1"/>
  <c r="CY87" i="1"/>
  <c r="X87" i="1" s="1"/>
  <c r="T349" i="6" s="1"/>
  <c r="CZ87" i="1"/>
  <c r="Y87" i="1" s="1"/>
  <c r="V349" i="6" s="1"/>
  <c r="CP86" i="1"/>
  <c r="O86" i="1" s="1"/>
  <c r="CY56" i="1"/>
  <c r="X56" i="1" s="1"/>
  <c r="T209" i="6" s="1"/>
  <c r="CZ56" i="1"/>
  <c r="Y56" i="1" s="1"/>
  <c r="V209" i="6" s="1"/>
  <c r="R145" i="1"/>
  <c r="CZ144" i="1"/>
  <c r="Y144" i="1" s="1"/>
  <c r="V621" i="6" s="1"/>
  <c r="AD144" i="1"/>
  <c r="AB144" i="1" s="1"/>
  <c r="AB134" i="1"/>
  <c r="AD132" i="1"/>
  <c r="AB132" i="1" s="1"/>
  <c r="W130" i="1"/>
  <c r="V128" i="1"/>
  <c r="P123" i="1"/>
  <c r="AB121" i="1"/>
  <c r="CP113" i="1"/>
  <c r="O113" i="1" s="1"/>
  <c r="AB113" i="1"/>
  <c r="CZ111" i="1"/>
  <c r="Y111" i="1" s="1"/>
  <c r="V461" i="6" s="1"/>
  <c r="CP101" i="1"/>
  <c r="O101" i="1" s="1"/>
  <c r="R100" i="1"/>
  <c r="AD92" i="1"/>
  <c r="AB92" i="1" s="1"/>
  <c r="CS92" i="1"/>
  <c r="R92" i="1" s="1"/>
  <c r="CZ92" i="1" s="1"/>
  <c r="Y92" i="1" s="1"/>
  <c r="V372" i="6" s="1"/>
  <c r="CY77" i="1"/>
  <c r="X77" i="1" s="1"/>
  <c r="T299" i="6" s="1"/>
  <c r="CZ77" i="1"/>
  <c r="Y77" i="1" s="1"/>
  <c r="V299" i="6" s="1"/>
  <c r="CZ63" i="1"/>
  <c r="Y63" i="1" s="1"/>
  <c r="V232" i="6" s="1"/>
  <c r="CY63" i="1"/>
  <c r="X63" i="1" s="1"/>
  <c r="T232" i="6" s="1"/>
  <c r="CX361" i="3"/>
  <c r="CX367" i="3"/>
  <c r="CX365" i="3"/>
  <c r="CX363" i="3"/>
  <c r="CX368" i="3"/>
  <c r="CX366" i="3"/>
  <c r="I156" i="1"/>
  <c r="S684" i="6" s="1"/>
  <c r="V142" i="1"/>
  <c r="CX327" i="3"/>
  <c r="CX328" i="3"/>
  <c r="CX325" i="3"/>
  <c r="CX329" i="3"/>
  <c r="CX330" i="3"/>
  <c r="I142" i="1"/>
  <c r="CZ136" i="1"/>
  <c r="Y136" i="1" s="1"/>
  <c r="V569" i="6" s="1"/>
  <c r="K575" i="6" s="1"/>
  <c r="AD136" i="1"/>
  <c r="AB136" i="1" s="1"/>
  <c r="CX309" i="3"/>
  <c r="CX311" i="3"/>
  <c r="CX312" i="3"/>
  <c r="CX308" i="3"/>
  <c r="V130" i="1"/>
  <c r="AB125" i="1"/>
  <c r="CZ123" i="1"/>
  <c r="Y123" i="1" s="1"/>
  <c r="V506" i="6" s="1"/>
  <c r="W123" i="1"/>
  <c r="CZ118" i="1"/>
  <c r="Y118" i="1" s="1"/>
  <c r="V486" i="6" s="1"/>
  <c r="CY118" i="1"/>
  <c r="X118" i="1" s="1"/>
  <c r="T486" i="6" s="1"/>
  <c r="AB115" i="1"/>
  <c r="GX114" i="1"/>
  <c r="V114" i="1"/>
  <c r="CR112" i="1"/>
  <c r="Q112" i="1" s="1"/>
  <c r="I109" i="1"/>
  <c r="U455" i="6" s="1"/>
  <c r="GX107" i="1"/>
  <c r="CR105" i="1"/>
  <c r="Q105" i="1" s="1"/>
  <c r="CP105" i="1" s="1"/>
  <c r="O105" i="1" s="1"/>
  <c r="CS103" i="1"/>
  <c r="R103" i="1" s="1"/>
  <c r="AD103" i="1"/>
  <c r="AB103" i="1" s="1"/>
  <c r="CY99" i="1"/>
  <c r="X99" i="1" s="1"/>
  <c r="T402" i="6" s="1"/>
  <c r="CZ99" i="1"/>
  <c r="Y99" i="1" s="1"/>
  <c r="V402" i="6" s="1"/>
  <c r="R160" i="1"/>
  <c r="K697" i="6" s="1"/>
  <c r="DH319" i="3"/>
  <c r="DI319" i="3"/>
  <c r="DJ319" i="3" s="1"/>
  <c r="DG319" i="3"/>
  <c r="DF319" i="3"/>
  <c r="V134" i="1"/>
  <c r="P129" i="1"/>
  <c r="AD129" i="1"/>
  <c r="AD126" i="1"/>
  <c r="AB126" i="1" s="1"/>
  <c r="CY125" i="1"/>
  <c r="X125" i="1" s="1"/>
  <c r="GX124" i="1"/>
  <c r="V123" i="1"/>
  <c r="CY115" i="1"/>
  <c r="X115" i="1" s="1"/>
  <c r="P112" i="1"/>
  <c r="AB112" i="1"/>
  <c r="CR110" i="1"/>
  <c r="CY106" i="1"/>
  <c r="X106" i="1" s="1"/>
  <c r="T431" i="6" s="1"/>
  <c r="K433" i="6" s="1"/>
  <c r="CZ106" i="1"/>
  <c r="Y106" i="1" s="1"/>
  <c r="AD104" i="1"/>
  <c r="AB104" i="1" s="1"/>
  <c r="CS104" i="1"/>
  <c r="R104" i="1" s="1"/>
  <c r="K423" i="6" s="1"/>
  <c r="CR103" i="1"/>
  <c r="Q103" i="1" s="1"/>
  <c r="CP103" i="1" s="1"/>
  <c r="O103" i="1" s="1"/>
  <c r="V100" i="1"/>
  <c r="AD95" i="1"/>
  <c r="CS95" i="1"/>
  <c r="R95" i="1" s="1"/>
  <c r="CR92" i="1"/>
  <c r="Q92" i="1" s="1"/>
  <c r="K374" i="6" s="1"/>
  <c r="CP54" i="1"/>
  <c r="O54" i="1" s="1"/>
  <c r="CX422" i="3"/>
  <c r="CX424" i="3"/>
  <c r="CX426" i="3"/>
  <c r="CX425" i="3"/>
  <c r="CX414" i="3"/>
  <c r="CX416" i="3"/>
  <c r="CX418" i="3"/>
  <c r="CX417" i="3"/>
  <c r="CX413" i="3"/>
  <c r="BB178" i="1"/>
  <c r="GX170" i="1"/>
  <c r="AD163" i="1"/>
  <c r="AB163" i="1" s="1"/>
  <c r="CX369" i="3"/>
  <c r="CX370" i="3"/>
  <c r="CX375" i="3"/>
  <c r="CX373" i="3"/>
  <c r="CX374" i="3"/>
  <c r="AD157" i="1"/>
  <c r="AB157" i="1" s="1"/>
  <c r="CR147" i="1"/>
  <c r="Q147" i="1" s="1"/>
  <c r="CX357" i="3"/>
  <c r="CX360" i="3"/>
  <c r="CX358" i="3"/>
  <c r="CX356" i="3"/>
  <c r="CX359" i="3"/>
  <c r="CX354" i="3"/>
  <c r="CR150" i="1"/>
  <c r="Q150" i="1" s="1"/>
  <c r="CP150" i="1" s="1"/>
  <c r="O150" i="1" s="1"/>
  <c r="AB147" i="1"/>
  <c r="AD143" i="1"/>
  <c r="AB143" i="1" s="1"/>
  <c r="U142" i="1"/>
  <c r="L611" i="6" s="1"/>
  <c r="Q611" i="6" s="1"/>
  <c r="CR140" i="1"/>
  <c r="Q140" i="1" s="1"/>
  <c r="K594" i="6" s="1"/>
  <c r="W134" i="1"/>
  <c r="S167" i="1"/>
  <c r="CR166" i="1"/>
  <c r="Q166" i="1" s="1"/>
  <c r="CR164" i="1"/>
  <c r="Q164" i="1" s="1"/>
  <c r="R148" i="1"/>
  <c r="AB145" i="1"/>
  <c r="CQ140" i="1"/>
  <c r="P140" i="1" s="1"/>
  <c r="AD140" i="1"/>
  <c r="U138" i="1"/>
  <c r="U134" i="1"/>
  <c r="DG304" i="3"/>
  <c r="DF304" i="3"/>
  <c r="DH304" i="3"/>
  <c r="DI304" i="3"/>
  <c r="DJ304" i="3" s="1"/>
  <c r="AB129" i="1"/>
  <c r="U123" i="1"/>
  <c r="R119" i="1"/>
  <c r="CZ119" i="1" s="1"/>
  <c r="Y119" i="1" s="1"/>
  <c r="V488" i="6" s="1"/>
  <c r="CP118" i="1"/>
  <c r="O118" i="1" s="1"/>
  <c r="CY117" i="1"/>
  <c r="X117" i="1" s="1"/>
  <c r="AB110" i="1"/>
  <c r="GX109" i="1"/>
  <c r="CR104" i="1"/>
  <c r="Q104" i="1" s="1"/>
  <c r="K422" i="6" s="1"/>
  <c r="CQ104" i="1"/>
  <c r="P104" i="1" s="1"/>
  <c r="K424" i="6" s="1"/>
  <c r="CZ102" i="1"/>
  <c r="Y102" i="1" s="1"/>
  <c r="V409" i="6" s="1"/>
  <c r="K415" i="6" s="1"/>
  <c r="CY102" i="1"/>
  <c r="X102" i="1" s="1"/>
  <c r="T409" i="6" s="1"/>
  <c r="K414" i="6" s="1"/>
  <c r="CP102" i="1"/>
  <c r="O102" i="1" s="1"/>
  <c r="CP99" i="1"/>
  <c r="O99" i="1" s="1"/>
  <c r="K402" i="6" s="1"/>
  <c r="AD98" i="1"/>
  <c r="AB98" i="1" s="1"/>
  <c r="CS98" i="1"/>
  <c r="R98" i="1" s="1"/>
  <c r="CZ98" i="1" s="1"/>
  <c r="Y98" i="1" s="1"/>
  <c r="V395" i="6" s="1"/>
  <c r="CR95" i="1"/>
  <c r="Q95" i="1" s="1"/>
  <c r="AB95" i="1"/>
  <c r="CQ95" i="1"/>
  <c r="P95" i="1" s="1"/>
  <c r="CZ94" i="1"/>
  <c r="Y94" i="1" s="1"/>
  <c r="V381" i="6" s="1"/>
  <c r="CY92" i="1"/>
  <c r="X92" i="1" s="1"/>
  <c r="T372" i="6" s="1"/>
  <c r="CP88" i="1"/>
  <c r="O88" i="1" s="1"/>
  <c r="AB82" i="1"/>
  <c r="GN57" i="1"/>
  <c r="GM57" i="1"/>
  <c r="CY55" i="1"/>
  <c r="X55" i="1" s="1"/>
  <c r="CZ55" i="1"/>
  <c r="Y55" i="1" s="1"/>
  <c r="V200" i="6" s="1"/>
  <c r="AB148" i="1"/>
  <c r="AD141" i="1"/>
  <c r="AB141" i="1" s="1"/>
  <c r="CX313" i="3"/>
  <c r="CX317" i="3"/>
  <c r="CX314" i="3"/>
  <c r="V129" i="1"/>
  <c r="AB124" i="1"/>
  <c r="AD109" i="1"/>
  <c r="AB109" i="1" s="1"/>
  <c r="AB100" i="1"/>
  <c r="CR96" i="1"/>
  <c r="Q96" i="1" s="1"/>
  <c r="CP96" i="1" s="1"/>
  <c r="O96" i="1" s="1"/>
  <c r="W93" i="1"/>
  <c r="T90" i="1"/>
  <c r="CQ85" i="1"/>
  <c r="P85" i="1" s="1"/>
  <c r="CP85" i="1" s="1"/>
  <c r="O85" i="1" s="1"/>
  <c r="AD85" i="1"/>
  <c r="AB85" i="1" s="1"/>
  <c r="AB83" i="1"/>
  <c r="CS82" i="1"/>
  <c r="CY78" i="1"/>
  <c r="X78" i="1" s="1"/>
  <c r="GX77" i="1"/>
  <c r="CR76" i="1"/>
  <c r="Q76" i="1" s="1"/>
  <c r="CP76" i="1" s="1"/>
  <c r="O76" i="1" s="1"/>
  <c r="K297" i="6" s="1"/>
  <c r="CR75" i="1"/>
  <c r="Q75" i="1" s="1"/>
  <c r="K293" i="6" s="1"/>
  <c r="CR73" i="1"/>
  <c r="Q73" i="1" s="1"/>
  <c r="CP73" i="1" s="1"/>
  <c r="O73" i="1" s="1"/>
  <c r="S72" i="1"/>
  <c r="K273" i="6" s="1"/>
  <c r="CQ70" i="1"/>
  <c r="P70" i="1" s="1"/>
  <c r="CP70" i="1" s="1"/>
  <c r="O70" i="1" s="1"/>
  <c r="AD70" i="1"/>
  <c r="AB70" i="1" s="1"/>
  <c r="CZ67" i="1"/>
  <c r="Y67" i="1" s="1"/>
  <c r="V244" i="6" s="1"/>
  <c r="CY67" i="1"/>
  <c r="X67" i="1" s="1"/>
  <c r="T244" i="6" s="1"/>
  <c r="AB64" i="1"/>
  <c r="CY61" i="1"/>
  <c r="X61" i="1" s="1"/>
  <c r="T224" i="6" s="1"/>
  <c r="P56" i="1"/>
  <c r="AB56" i="1"/>
  <c r="CY54" i="1"/>
  <c r="X54" i="1" s="1"/>
  <c r="T198" i="6" s="1"/>
  <c r="S45" i="1"/>
  <c r="K145" i="6" s="1"/>
  <c r="GM42" i="1"/>
  <c r="AD47" i="1"/>
  <c r="AB47" i="1" s="1"/>
  <c r="CS47" i="1"/>
  <c r="U44" i="1"/>
  <c r="L142" i="6" s="1"/>
  <c r="Q142" i="6" s="1"/>
  <c r="CX54" i="3"/>
  <c r="CX51" i="3"/>
  <c r="CX56" i="3"/>
  <c r="CX53" i="3"/>
  <c r="CX55" i="3"/>
  <c r="T43" i="1"/>
  <c r="V43" i="1"/>
  <c r="AB41" i="1"/>
  <c r="CQ41" i="1"/>
  <c r="P41" i="1" s="1"/>
  <c r="CZ35" i="1"/>
  <c r="Y35" i="1" s="1"/>
  <c r="V86" i="6" s="1"/>
  <c r="K93" i="6" s="1"/>
  <c r="CY35" i="1"/>
  <c r="X35" i="1" s="1"/>
  <c r="T86" i="6" s="1"/>
  <c r="K92" i="6" s="1"/>
  <c r="CY33" i="1"/>
  <c r="X33" i="1" s="1"/>
  <c r="T80" i="6" s="1"/>
  <c r="CZ33" i="1"/>
  <c r="Y33" i="1" s="1"/>
  <c r="V80" i="6" s="1"/>
  <c r="CX450" i="3"/>
  <c r="V102" i="1"/>
  <c r="AB101" i="1"/>
  <c r="CQ92" i="1"/>
  <c r="P92" i="1" s="1"/>
  <c r="K375" i="6" s="1"/>
  <c r="Q87" i="1"/>
  <c r="CP87" i="1" s="1"/>
  <c r="O87" i="1" s="1"/>
  <c r="CS86" i="1"/>
  <c r="R86" i="1" s="1"/>
  <c r="CX149" i="3"/>
  <c r="CX147" i="3"/>
  <c r="CX148" i="3"/>
  <c r="CX150" i="3"/>
  <c r="CQ82" i="1"/>
  <c r="CS69" i="1"/>
  <c r="R69" i="1" s="1"/>
  <c r="CY69" i="1" s="1"/>
  <c r="X69" i="1" s="1"/>
  <c r="CP67" i="1"/>
  <c r="O67" i="1" s="1"/>
  <c r="CZ62" i="1"/>
  <c r="Y62" i="1" s="1"/>
  <c r="V226" i="6" s="1"/>
  <c r="K229" i="6" s="1"/>
  <c r="CZ60" i="1"/>
  <c r="Y60" i="1" s="1"/>
  <c r="V217" i="6" s="1"/>
  <c r="K221" i="6" s="1"/>
  <c r="CY60" i="1"/>
  <c r="X60" i="1" s="1"/>
  <c r="AD48" i="1"/>
  <c r="AB48" i="1" s="1"/>
  <c r="CR48" i="1"/>
  <c r="Q48" i="1" s="1"/>
  <c r="K161" i="6" s="1"/>
  <c r="CR47" i="1"/>
  <c r="S44" i="1"/>
  <c r="I44" i="1"/>
  <c r="CZ39" i="1"/>
  <c r="Y39" i="1" s="1"/>
  <c r="V110" i="6" s="1"/>
  <c r="CY39" i="1"/>
  <c r="X39" i="1" s="1"/>
  <c r="CY37" i="1"/>
  <c r="X37" i="1" s="1"/>
  <c r="T99" i="6" s="1"/>
  <c r="K104" i="6" s="1"/>
  <c r="CZ37" i="1"/>
  <c r="Y37" i="1" s="1"/>
  <c r="V99" i="6" s="1"/>
  <c r="K105" i="6" s="1"/>
  <c r="CP35" i="1"/>
  <c r="O35" i="1" s="1"/>
  <c r="CY84" i="1"/>
  <c r="X84" i="1" s="1"/>
  <c r="T325" i="6" s="1"/>
  <c r="K329" i="6" s="1"/>
  <c r="V83" i="1"/>
  <c r="W83" i="1"/>
  <c r="CZ81" i="1"/>
  <c r="Y81" i="1" s="1"/>
  <c r="V313" i="6" s="1"/>
  <c r="W76" i="1"/>
  <c r="CZ53" i="1"/>
  <c r="Y53" i="1" s="1"/>
  <c r="R44" i="1"/>
  <c r="GX43" i="1"/>
  <c r="U43" i="1"/>
  <c r="AB90" i="1"/>
  <c r="AB87" i="1"/>
  <c r="CR84" i="1"/>
  <c r="Q84" i="1" s="1"/>
  <c r="K327" i="6" s="1"/>
  <c r="V76" i="1"/>
  <c r="AD74" i="1"/>
  <c r="AB74" i="1" s="1"/>
  <c r="CX118" i="3"/>
  <c r="CX119" i="3"/>
  <c r="AB68" i="1"/>
  <c r="CZ64" i="1"/>
  <c r="Y64" i="1" s="1"/>
  <c r="V234" i="6" s="1"/>
  <c r="CY64" i="1"/>
  <c r="X64" i="1" s="1"/>
  <c r="CP58" i="1"/>
  <c r="O58" i="1" s="1"/>
  <c r="AB58" i="1"/>
  <c r="CS51" i="1"/>
  <c r="R51" i="1" s="1"/>
  <c r="K177" i="6" s="1"/>
  <c r="AD51" i="1"/>
  <c r="AB37" i="1"/>
  <c r="CX178" i="3"/>
  <c r="CX183" i="3"/>
  <c r="CX175" i="3"/>
  <c r="CX184" i="3"/>
  <c r="CX179" i="3"/>
  <c r="AD99" i="1"/>
  <c r="AB99" i="1" s="1"/>
  <c r="R93" i="1"/>
  <c r="CZ93" i="1" s="1"/>
  <c r="Y93" i="1" s="1"/>
  <c r="V379" i="6" s="1"/>
  <c r="W87" i="1"/>
  <c r="AB86" i="1"/>
  <c r="CP84" i="1"/>
  <c r="O84" i="1" s="1"/>
  <c r="CR77" i="1"/>
  <c r="Q77" i="1" s="1"/>
  <c r="CY75" i="1"/>
  <c r="X75" i="1" s="1"/>
  <c r="T290" i="6" s="1"/>
  <c r="CZ74" i="1"/>
  <c r="Y74" i="1" s="1"/>
  <c r="V282" i="6" s="1"/>
  <c r="K287" i="6" s="1"/>
  <c r="CY73" i="1"/>
  <c r="X73" i="1" s="1"/>
  <c r="T280" i="6" s="1"/>
  <c r="AD71" i="1"/>
  <c r="AB71" i="1" s="1"/>
  <c r="AB69" i="1"/>
  <c r="CY62" i="1"/>
  <c r="X62" i="1" s="1"/>
  <c r="AD52" i="1"/>
  <c r="AB52" i="1" s="1"/>
  <c r="CS52" i="1"/>
  <c r="R52" i="1" s="1"/>
  <c r="K186" i="6" s="1"/>
  <c r="CR51" i="1"/>
  <c r="Q51" i="1" s="1"/>
  <c r="CP37" i="1"/>
  <c r="O37" i="1" s="1"/>
  <c r="AB105" i="1"/>
  <c r="DG169" i="3"/>
  <c r="DF169" i="3"/>
  <c r="DJ169" i="3" s="1"/>
  <c r="DI169" i="3"/>
  <c r="DH169" i="3"/>
  <c r="CR93" i="1"/>
  <c r="Q93" i="1" s="1"/>
  <c r="CP93" i="1" s="1"/>
  <c r="O93" i="1" s="1"/>
  <c r="K379" i="6" s="1"/>
  <c r="CX154" i="3"/>
  <c r="CX159" i="3"/>
  <c r="CX155" i="3"/>
  <c r="CX152" i="3"/>
  <c r="CX151" i="3"/>
  <c r="CZ84" i="1"/>
  <c r="Y84" i="1" s="1"/>
  <c r="V325" i="6" s="1"/>
  <c r="K330" i="6" s="1"/>
  <c r="CX141" i="3"/>
  <c r="CX143" i="3"/>
  <c r="CX145" i="3"/>
  <c r="CX142" i="3"/>
  <c r="R83" i="1"/>
  <c r="CX139" i="3"/>
  <c r="CX138" i="3"/>
  <c r="K83" i="1"/>
  <c r="I82" i="1"/>
  <c r="H321" i="6" s="1"/>
  <c r="W321" i="6" s="1"/>
  <c r="AD78" i="1"/>
  <c r="AB78" i="1" s="1"/>
  <c r="P77" i="1"/>
  <c r="AB77" i="1"/>
  <c r="S76" i="1"/>
  <c r="CZ71" i="1"/>
  <c r="Y71" i="1" s="1"/>
  <c r="V69" i="1"/>
  <c r="AB66" i="1"/>
  <c r="CX101" i="3"/>
  <c r="CX100" i="3"/>
  <c r="AD61" i="1"/>
  <c r="AB61" i="1" s="1"/>
  <c r="AB55" i="1"/>
  <c r="CY53" i="1"/>
  <c r="X53" i="1" s="1"/>
  <c r="CR52" i="1"/>
  <c r="Q52" i="1" s="1"/>
  <c r="K185" i="6" s="1"/>
  <c r="CQ52" i="1"/>
  <c r="P52" i="1" s="1"/>
  <c r="AB51" i="1"/>
  <c r="R49" i="1"/>
  <c r="CZ49" i="1" s="1"/>
  <c r="Y49" i="1" s="1"/>
  <c r="V168" i="6" s="1"/>
  <c r="CX62" i="3"/>
  <c r="CX61" i="3"/>
  <c r="I47" i="1"/>
  <c r="W47" i="1" s="1"/>
  <c r="I46" i="1"/>
  <c r="K47" i="1"/>
  <c r="K46" i="1"/>
  <c r="CX454" i="3"/>
  <c r="CX336" i="3"/>
  <c r="CX335" i="3"/>
  <c r="CX332" i="3"/>
  <c r="K144" i="1"/>
  <c r="T142" i="1"/>
  <c r="CX321" i="3"/>
  <c r="CX322" i="3"/>
  <c r="CX320" i="3"/>
  <c r="CX318" i="3"/>
  <c r="K138" i="1"/>
  <c r="CX281" i="3"/>
  <c r="CX279" i="3"/>
  <c r="CX275" i="3"/>
  <c r="CX284" i="3"/>
  <c r="CX282" i="3"/>
  <c r="CX276" i="3"/>
  <c r="CX274" i="3"/>
  <c r="CR119" i="1"/>
  <c r="Q119" i="1" s="1"/>
  <c r="CP119" i="1" s="1"/>
  <c r="O119" i="1" s="1"/>
  <c r="W112" i="1"/>
  <c r="CX218" i="3"/>
  <c r="CX216" i="3"/>
  <c r="CX219" i="3"/>
  <c r="CX214" i="3"/>
  <c r="CX215" i="3"/>
  <c r="CX222" i="3"/>
  <c r="CX217" i="3"/>
  <c r="T110" i="1"/>
  <c r="AB107" i="1"/>
  <c r="CX185" i="3"/>
  <c r="CX194" i="3"/>
  <c r="CX190" i="3"/>
  <c r="CX192" i="3"/>
  <c r="CX188" i="3"/>
  <c r="CX186" i="3"/>
  <c r="CX195" i="3"/>
  <c r="CX191" i="3"/>
  <c r="GX102" i="1"/>
  <c r="AD102" i="1"/>
  <c r="AB102" i="1" s="1"/>
  <c r="R101" i="1"/>
  <c r="CY101" i="1" s="1"/>
  <c r="X101" i="1" s="1"/>
  <c r="T406" i="6" s="1"/>
  <c r="CR100" i="1"/>
  <c r="Q100" i="1" s="1"/>
  <c r="CP100" i="1" s="1"/>
  <c r="O100" i="1" s="1"/>
  <c r="Q94" i="1"/>
  <c r="AB91" i="1"/>
  <c r="Q83" i="1"/>
  <c r="T72" i="1"/>
  <c r="R72" i="1"/>
  <c r="K275" i="6" s="1"/>
  <c r="W69" i="1"/>
  <c r="CY68" i="1"/>
  <c r="X68" i="1" s="1"/>
  <c r="CY66" i="1"/>
  <c r="X66" i="1" s="1"/>
  <c r="T238" i="6" s="1"/>
  <c r="K240" i="6" s="1"/>
  <c r="CP63" i="1"/>
  <c r="O63" i="1" s="1"/>
  <c r="AB63" i="1"/>
  <c r="CR56" i="1"/>
  <c r="Q56" i="1" s="1"/>
  <c r="AD54" i="1"/>
  <c r="AB54" i="1" s="1"/>
  <c r="P49" i="1"/>
  <c r="AD49" i="1"/>
  <c r="AB49" i="1" s="1"/>
  <c r="CY48" i="1"/>
  <c r="X48" i="1" s="1"/>
  <c r="T158" i="6" s="1"/>
  <c r="K164" i="6" s="1"/>
  <c r="P43" i="1"/>
  <c r="K135" i="6" s="1"/>
  <c r="W43" i="1"/>
  <c r="CY26" i="1"/>
  <c r="X26" i="1" s="1"/>
  <c r="T43" i="6" s="1"/>
  <c r="CZ26" i="1"/>
  <c r="Y26" i="1" s="1"/>
  <c r="V43" i="6" s="1"/>
  <c r="CX438" i="3"/>
  <c r="Q81" i="1"/>
  <c r="AD72" i="1"/>
  <c r="AB72" i="1" s="1"/>
  <c r="CX108" i="3"/>
  <c r="CX110" i="3"/>
  <c r="CX109" i="3"/>
  <c r="CX86" i="3"/>
  <c r="CX87" i="3"/>
  <c r="CX85" i="3"/>
  <c r="AD53" i="1"/>
  <c r="AB53" i="1" s="1"/>
  <c r="CX75" i="3"/>
  <c r="CX77" i="3"/>
  <c r="CX78" i="3"/>
  <c r="CX74" i="3"/>
  <c r="CX72" i="3"/>
  <c r="AB45" i="1"/>
  <c r="S38" i="1"/>
  <c r="CP38" i="1" s="1"/>
  <c r="O38" i="1" s="1"/>
  <c r="S36" i="1"/>
  <c r="CR31" i="1"/>
  <c r="Q31" i="1" s="1"/>
  <c r="CX445" i="3"/>
  <c r="DF398" i="3"/>
  <c r="DJ398" i="3" s="1"/>
  <c r="DG398" i="3"/>
  <c r="DH398" i="3"/>
  <c r="DF392" i="3"/>
  <c r="DG392" i="3"/>
  <c r="DJ392" i="3" s="1"/>
  <c r="DH392" i="3"/>
  <c r="DI392" i="3"/>
  <c r="CX371" i="3"/>
  <c r="DF353" i="3"/>
  <c r="DG353" i="3"/>
  <c r="DJ353" i="3" s="1"/>
  <c r="DH353" i="3"/>
  <c r="DI353" i="3"/>
  <c r="CX324" i="3"/>
  <c r="AB31" i="1"/>
  <c r="CX444" i="3"/>
  <c r="CX439" i="3"/>
  <c r="CX429" i="3"/>
  <c r="CX427" i="3"/>
  <c r="CX337" i="3"/>
  <c r="AB46" i="1"/>
  <c r="CR36" i="1"/>
  <c r="Q36" i="1" s="1"/>
  <c r="CX14" i="3"/>
  <c r="CX15" i="3"/>
  <c r="AD28" i="1"/>
  <c r="AB28" i="1" s="1"/>
  <c r="CT27" i="1"/>
  <c r="CX443" i="3"/>
  <c r="CX415" i="3"/>
  <c r="DF411" i="3"/>
  <c r="DG411" i="3"/>
  <c r="DI411" i="3"/>
  <c r="DJ411" i="3" s="1"/>
  <c r="DF408" i="3"/>
  <c r="DJ408" i="3" s="1"/>
  <c r="DG408" i="3"/>
  <c r="DI408" i="3"/>
  <c r="DF406" i="3"/>
  <c r="DJ406" i="3" s="1"/>
  <c r="DG406" i="3"/>
  <c r="DI406" i="3"/>
  <c r="DF387" i="3"/>
  <c r="DJ387" i="3" s="1"/>
  <c r="DG387" i="3"/>
  <c r="DH387" i="3"/>
  <c r="DI387" i="3"/>
  <c r="CX349" i="3"/>
  <c r="S43" i="1"/>
  <c r="K132" i="6" s="1"/>
  <c r="CX46" i="3"/>
  <c r="CX45" i="3"/>
  <c r="CX47" i="3"/>
  <c r="AB36" i="1"/>
  <c r="CQ33" i="1"/>
  <c r="P33" i="1" s="1"/>
  <c r="CP33" i="1" s="1"/>
  <c r="O33" i="1" s="1"/>
  <c r="Q32" i="1"/>
  <c r="CZ29" i="1"/>
  <c r="Y29" i="1" s="1"/>
  <c r="CQ26" i="1"/>
  <c r="P26" i="1" s="1"/>
  <c r="K47" i="6" s="1"/>
  <c r="AB26" i="1"/>
  <c r="CY25" i="1"/>
  <c r="X25" i="1" s="1"/>
  <c r="T37" i="6" s="1"/>
  <c r="K39" i="6" s="1"/>
  <c r="CX423" i="3"/>
  <c r="CX421" i="3"/>
  <c r="CX419" i="3"/>
  <c r="DI410" i="3"/>
  <c r="DF410" i="3"/>
  <c r="DJ410" i="3" s="1"/>
  <c r="DH410" i="3"/>
  <c r="DH404" i="3"/>
  <c r="DF404" i="3"/>
  <c r="DJ404" i="3" s="1"/>
  <c r="DG404" i="3"/>
  <c r="CX333" i="3"/>
  <c r="CX326" i="3"/>
  <c r="R43" i="1"/>
  <c r="K134" i="6" s="1"/>
  <c r="AD42" i="1"/>
  <c r="AB42" i="1" s="1"/>
  <c r="DF19" i="3"/>
  <c r="DG19" i="3"/>
  <c r="DH19" i="3"/>
  <c r="DI19" i="3"/>
  <c r="DJ19" i="3" s="1"/>
  <c r="CX6" i="3"/>
  <c r="CX3" i="3"/>
  <c r="CX5" i="3"/>
  <c r="CX7" i="3"/>
  <c r="CX4" i="3"/>
  <c r="I28" i="1"/>
  <c r="P28" i="1" s="1"/>
  <c r="CR25" i="1"/>
  <c r="Q25" i="1" s="1"/>
  <c r="CX452" i="3"/>
  <c r="CX362" i="3"/>
  <c r="CX310" i="3"/>
  <c r="CR43" i="1"/>
  <c r="Q43" i="1" s="1"/>
  <c r="K133" i="6" s="1"/>
  <c r="U41" i="1"/>
  <c r="AB39" i="1"/>
  <c r="CY29" i="1"/>
  <c r="X29" i="1" s="1"/>
  <c r="T55" i="6" s="1"/>
  <c r="K59" i="6" s="1"/>
  <c r="I27" i="1"/>
  <c r="E51" i="6" s="1"/>
  <c r="W26" i="1"/>
  <c r="CP25" i="1"/>
  <c r="O25" i="1" s="1"/>
  <c r="AB25" i="1"/>
  <c r="DH411" i="3"/>
  <c r="DG410" i="3"/>
  <c r="DH408" i="3"/>
  <c r="DI404" i="3"/>
  <c r="DF402" i="3"/>
  <c r="DJ402" i="3" s="1"/>
  <c r="DG402" i="3"/>
  <c r="DI402" i="3"/>
  <c r="DF351" i="3"/>
  <c r="DG351" i="3"/>
  <c r="DH351" i="3"/>
  <c r="DI351" i="3"/>
  <c r="DJ351" i="3" s="1"/>
  <c r="CX345" i="3"/>
  <c r="CX306" i="3"/>
  <c r="AB43" i="1"/>
  <c r="AB35" i="1"/>
  <c r="K32" i="1"/>
  <c r="S31" i="1"/>
  <c r="K72" i="6" s="1"/>
  <c r="R30" i="1"/>
  <c r="GX26" i="1"/>
  <c r="CZ25" i="1"/>
  <c r="Y25" i="1" s="1"/>
  <c r="V37" i="6" s="1"/>
  <c r="K40" i="6" s="1"/>
  <c r="CX436" i="3"/>
  <c r="DF400" i="3"/>
  <c r="DJ400" i="3" s="1"/>
  <c r="DG400" i="3"/>
  <c r="DH400" i="3"/>
  <c r="DF394" i="3"/>
  <c r="DG394" i="3"/>
  <c r="DJ394" i="3" s="1"/>
  <c r="DH394" i="3"/>
  <c r="DF378" i="3"/>
  <c r="DG378" i="3"/>
  <c r="DH378" i="3"/>
  <c r="DI378" i="3"/>
  <c r="DJ378" i="3" s="1"/>
  <c r="CX316" i="3"/>
  <c r="V85" i="1"/>
  <c r="AB84" i="1"/>
  <c r="CX130" i="3"/>
  <c r="CX132" i="3"/>
  <c r="CX123" i="3"/>
  <c r="CX127" i="3"/>
  <c r="CX125" i="3"/>
  <c r="CX126" i="3"/>
  <c r="CX114" i="3"/>
  <c r="CX116" i="3"/>
  <c r="CX115" i="3"/>
  <c r="CX117" i="3"/>
  <c r="T68" i="1"/>
  <c r="Q66" i="1"/>
  <c r="CP66" i="1" s="1"/>
  <c r="O66" i="1" s="1"/>
  <c r="CX79" i="3"/>
  <c r="CX82" i="3"/>
  <c r="CX83" i="3"/>
  <c r="CX63" i="3"/>
  <c r="CX64" i="3"/>
  <c r="CX70" i="3"/>
  <c r="CX66" i="3"/>
  <c r="R46" i="1"/>
  <c r="CR45" i="1"/>
  <c r="Q45" i="1" s="1"/>
  <c r="P44" i="1"/>
  <c r="K140" i="6" s="1"/>
  <c r="J142" i="6" s="1"/>
  <c r="P142" i="6" s="1"/>
  <c r="Q41" i="1"/>
  <c r="K117" i="6" s="1"/>
  <c r="I32" i="1"/>
  <c r="R31" i="1"/>
  <c r="GX30" i="1"/>
  <c r="GX25" i="1"/>
  <c r="DH402" i="3"/>
  <c r="DF381" i="3"/>
  <c r="DG381" i="3"/>
  <c r="DJ381" i="3" s="1"/>
  <c r="DH381" i="3"/>
  <c r="DI381" i="3"/>
  <c r="CX376" i="3"/>
  <c r="CX133" i="3"/>
  <c r="CX134" i="3"/>
  <c r="CX106" i="3"/>
  <c r="CX102" i="3"/>
  <c r="CX103" i="3"/>
  <c r="CX105" i="3"/>
  <c r="Q30" i="1"/>
  <c r="K65" i="6" s="1"/>
  <c r="CR27" i="1"/>
  <c r="Q27" i="1" s="1"/>
  <c r="DF397" i="3"/>
  <c r="DF395" i="3"/>
  <c r="DG390" i="3"/>
  <c r="DF390" i="3"/>
  <c r="DF386" i="3"/>
  <c r="DJ386" i="3" s="1"/>
  <c r="DG384" i="3"/>
  <c r="DJ384" i="3" s="1"/>
  <c r="DG379" i="3"/>
  <c r="DJ379" i="3" s="1"/>
  <c r="CX340" i="3"/>
  <c r="CX223" i="3"/>
  <c r="CX212" i="3"/>
  <c r="CX193" i="3"/>
  <c r="CX364" i="3"/>
  <c r="CX339" i="3"/>
  <c r="CX334" i="3"/>
  <c r="CX305" i="3"/>
  <c r="CX303" i="3"/>
  <c r="CX280" i="3"/>
  <c r="CX259" i="3"/>
  <c r="DF241" i="3"/>
  <c r="DG241" i="3"/>
  <c r="DJ241" i="3" s="1"/>
  <c r="DH241" i="3"/>
  <c r="DI241" i="3"/>
  <c r="DG383" i="3"/>
  <c r="DJ383" i="3" s="1"/>
  <c r="CX338" i="3"/>
  <c r="CX301" i="3"/>
  <c r="CX272" i="3"/>
  <c r="CX231" i="3"/>
  <c r="DF383" i="3"/>
  <c r="DI380" i="3"/>
  <c r="DH380" i="3"/>
  <c r="CX199" i="3"/>
  <c r="DI405" i="3"/>
  <c r="DG382" i="3"/>
  <c r="DJ382" i="3" s="1"/>
  <c r="DF382" i="3"/>
  <c r="CX347" i="3"/>
  <c r="CX299" i="3"/>
  <c r="CX283" i="3"/>
  <c r="DH409" i="3"/>
  <c r="DG407" i="3"/>
  <c r="DH389" i="3"/>
  <c r="DI382" i="3"/>
  <c r="CX428" i="3"/>
  <c r="DF409" i="3"/>
  <c r="DJ409" i="3" s="1"/>
  <c r="DF407" i="3"/>
  <c r="DJ407" i="3" s="1"/>
  <c r="DG405" i="3"/>
  <c r="DG403" i="3"/>
  <c r="DH401" i="3"/>
  <c r="DG399" i="3"/>
  <c r="DG391" i="3"/>
  <c r="DJ391" i="3" s="1"/>
  <c r="DG389" i="3"/>
  <c r="DH382" i="3"/>
  <c r="CX355" i="3"/>
  <c r="DG352" i="3"/>
  <c r="DH352" i="3"/>
  <c r="DF352" i="3"/>
  <c r="CX278" i="3"/>
  <c r="DF249" i="3"/>
  <c r="DJ249" i="3" s="1"/>
  <c r="DG249" i="3"/>
  <c r="DH249" i="3"/>
  <c r="DI249" i="3"/>
  <c r="CX22" i="3"/>
  <c r="CX27" i="3"/>
  <c r="CX21" i="3"/>
  <c r="CX23" i="3"/>
  <c r="CX28" i="3"/>
  <c r="CX20" i="3"/>
  <c r="CX420" i="3"/>
  <c r="DF401" i="3"/>
  <c r="DJ401" i="3" s="1"/>
  <c r="DF399" i="3"/>
  <c r="DJ399" i="3" s="1"/>
  <c r="DF391" i="3"/>
  <c r="DI388" i="3"/>
  <c r="DH388" i="3"/>
  <c r="DH379" i="3"/>
  <c r="CX372" i="3"/>
  <c r="CX331" i="3"/>
  <c r="CX11" i="3"/>
  <c r="CX13" i="3"/>
  <c r="CX12" i="3"/>
  <c r="CX307" i="3"/>
  <c r="CX267" i="3"/>
  <c r="DG254" i="3"/>
  <c r="DF254" i="3"/>
  <c r="DJ254" i="3" s="1"/>
  <c r="DG247" i="3"/>
  <c r="DF245" i="3"/>
  <c r="DJ245" i="3" s="1"/>
  <c r="DG237" i="3"/>
  <c r="CX261" i="3"/>
  <c r="DF161" i="3"/>
  <c r="DG161" i="3"/>
  <c r="DH161" i="3"/>
  <c r="CX160" i="3"/>
  <c r="CX291" i="3"/>
  <c r="CX285" i="3"/>
  <c r="CX263" i="3"/>
  <c r="DI256" i="3"/>
  <c r="DF256" i="3"/>
  <c r="DJ256" i="3" s="1"/>
  <c r="DI248" i="3"/>
  <c r="DG248" i="3"/>
  <c r="DF248" i="3"/>
  <c r="DJ248" i="3" s="1"/>
  <c r="DI239" i="3"/>
  <c r="DH235" i="3"/>
  <c r="CX221" i="3"/>
  <c r="CX209" i="3"/>
  <c r="CX198" i="3"/>
  <c r="DF171" i="3"/>
  <c r="DH171" i="3"/>
  <c r="DI171" i="3"/>
  <c r="DH256" i="3"/>
  <c r="DI243" i="3"/>
  <c r="DH239" i="3"/>
  <c r="DG235" i="3"/>
  <c r="CX220" i="3"/>
  <c r="CX182" i="3"/>
  <c r="CX174" i="3"/>
  <c r="CX153" i="3"/>
  <c r="CX121" i="3"/>
  <c r="DG250" i="3"/>
  <c r="DH250" i="3"/>
  <c r="DF250" i="3"/>
  <c r="DJ250" i="3" s="1"/>
  <c r="DG239" i="3"/>
  <c r="DJ239" i="3" s="1"/>
  <c r="DI238" i="3"/>
  <c r="DH238" i="3"/>
  <c r="CX189" i="3"/>
  <c r="CX187" i="3"/>
  <c r="DI161" i="3"/>
  <c r="DJ161" i="3" s="1"/>
  <c r="CX146" i="3"/>
  <c r="CX265" i="3"/>
  <c r="DH258" i="3"/>
  <c r="DG253" i="3"/>
  <c r="DG243" i="3"/>
  <c r="DJ243" i="3" s="1"/>
  <c r="DG238" i="3"/>
  <c r="DJ238" i="3" s="1"/>
  <c r="DF164" i="3"/>
  <c r="DG164" i="3"/>
  <c r="DI164" i="3"/>
  <c r="DJ164" i="3" s="1"/>
  <c r="CX129" i="3"/>
  <c r="CX323" i="3"/>
  <c r="CX277" i="3"/>
  <c r="DF258" i="3"/>
  <c r="DJ258" i="3" s="1"/>
  <c r="DH255" i="3"/>
  <c r="DF253" i="3"/>
  <c r="DJ253" i="3" s="1"/>
  <c r="DG252" i="3"/>
  <c r="DF252" i="3"/>
  <c r="DJ252" i="3" s="1"/>
  <c r="DI250" i="3"/>
  <c r="DI245" i="3"/>
  <c r="DF238" i="3"/>
  <c r="CX156" i="3"/>
  <c r="CX315" i="3"/>
  <c r="DG255" i="3"/>
  <c r="DI252" i="3"/>
  <c r="DH247" i="3"/>
  <c r="DG245" i="3"/>
  <c r="DI237" i="3"/>
  <c r="DJ237" i="3" s="1"/>
  <c r="DI236" i="3"/>
  <c r="DJ236" i="3" s="1"/>
  <c r="DH236" i="3"/>
  <c r="CX177" i="3"/>
  <c r="DH164" i="3"/>
  <c r="CX158" i="3"/>
  <c r="CX269" i="3"/>
  <c r="DH242" i="3"/>
  <c r="DG240" i="3"/>
  <c r="DJ240" i="3" s="1"/>
  <c r="CX229" i="3"/>
  <c r="CX207" i="3"/>
  <c r="DH196" i="3"/>
  <c r="DF167" i="3"/>
  <c r="DJ167" i="3" s="1"/>
  <c r="DG167" i="3"/>
  <c r="CX136" i="3"/>
  <c r="CX135" i="3"/>
  <c r="CX176" i="3"/>
  <c r="DH173" i="3"/>
  <c r="DF173" i="3"/>
  <c r="DJ173" i="3" s="1"/>
  <c r="CX197" i="3"/>
  <c r="CX181" i="3"/>
  <c r="DI173" i="3"/>
  <c r="DG163" i="3"/>
  <c r="DJ163" i="3" s="1"/>
  <c r="DG173" i="3"/>
  <c r="DF163" i="3"/>
  <c r="CX140" i="3"/>
  <c r="CX211" i="3"/>
  <c r="DG172" i="3"/>
  <c r="DH165" i="3"/>
  <c r="DI165" i="3"/>
  <c r="CX205" i="3"/>
  <c r="CX180" i="3"/>
  <c r="DF172" i="3"/>
  <c r="DJ172" i="3" s="1"/>
  <c r="CX168" i="3"/>
  <c r="DG165" i="3"/>
  <c r="DJ165" i="3" s="1"/>
  <c r="CX131" i="3"/>
  <c r="CX213" i="3"/>
  <c r="CX122" i="3"/>
  <c r="CX67" i="3"/>
  <c r="DF93" i="3"/>
  <c r="DJ93" i="3" s="1"/>
  <c r="DG93" i="3"/>
  <c r="DH93" i="3"/>
  <c r="DI93" i="3"/>
  <c r="CX89" i="3"/>
  <c r="CX68" i="3"/>
  <c r="CX80" i="3"/>
  <c r="CX113" i="3"/>
  <c r="CX90" i="3"/>
  <c r="CX128" i="3"/>
  <c r="CX111" i="3"/>
  <c r="CX107" i="3"/>
  <c r="CX124" i="3"/>
  <c r="CX157" i="3"/>
  <c r="CX144" i="3"/>
  <c r="CX76" i="3"/>
  <c r="CX137" i="3"/>
  <c r="DF97" i="3"/>
  <c r="DJ97" i="3" s="1"/>
  <c r="DG97" i="3"/>
  <c r="DH97" i="3"/>
  <c r="CX1" i="3"/>
  <c r="CX71" i="3"/>
  <c r="CX57" i="3"/>
  <c r="DH41" i="3"/>
  <c r="DI41" i="3"/>
  <c r="DF41" i="3"/>
  <c r="DJ41" i="3" s="1"/>
  <c r="DG41" i="3"/>
  <c r="CX2" i="3"/>
  <c r="DI96" i="3"/>
  <c r="DG96" i="3"/>
  <c r="CX58" i="3"/>
  <c r="DI92" i="3"/>
  <c r="DG92" i="3"/>
  <c r="DJ92" i="3" s="1"/>
  <c r="CX88" i="3"/>
  <c r="CX84" i="3"/>
  <c r="CX59" i="3"/>
  <c r="CX16" i="3"/>
  <c r="DF96" i="3"/>
  <c r="DJ96" i="3" s="1"/>
  <c r="DH92" i="3"/>
  <c r="CX60" i="3"/>
  <c r="CX120" i="3"/>
  <c r="DH99" i="3"/>
  <c r="DF92" i="3"/>
  <c r="CX69" i="3"/>
  <c r="CX52" i="3"/>
  <c r="CX44" i="3"/>
  <c r="CX112" i="3"/>
  <c r="CX104" i="3"/>
  <c r="DG99" i="3"/>
  <c r="DH98" i="3"/>
  <c r="DI98" i="3"/>
  <c r="DF98" i="3"/>
  <c r="DJ98" i="3" s="1"/>
  <c r="DH95" i="3"/>
  <c r="DF91" i="3"/>
  <c r="DG91" i="3"/>
  <c r="DF99" i="3"/>
  <c r="DG95" i="3"/>
  <c r="DG94" i="3"/>
  <c r="DH94" i="3"/>
  <c r="DI91" i="3"/>
  <c r="DJ91" i="3" s="1"/>
  <c r="CX50" i="3"/>
  <c r="DF48" i="3"/>
  <c r="DG48" i="3"/>
  <c r="DH48" i="3"/>
  <c r="DI48" i="3"/>
  <c r="DJ48" i="3" s="1"/>
  <c r="CX18" i="3"/>
  <c r="CX17" i="3"/>
  <c r="CX49" i="3"/>
  <c r="CX43" i="3"/>
  <c r="CX42" i="3"/>
  <c r="DF40" i="3"/>
  <c r="DJ40" i="3" s="1"/>
  <c r="DG40" i="3"/>
  <c r="DH40" i="3"/>
  <c r="DI40" i="3"/>
  <c r="DF32" i="3"/>
  <c r="DG32" i="3"/>
  <c r="DJ32" i="3" s="1"/>
  <c r="DH32" i="3"/>
  <c r="DI32" i="3"/>
  <c r="CX8" i="3"/>
  <c r="DF34" i="3"/>
  <c r="DG34" i="3"/>
  <c r="DJ34" i="3" s="1"/>
  <c r="DH34" i="3"/>
  <c r="DI34" i="3"/>
  <c r="DH33" i="3"/>
  <c r="DI33" i="3"/>
  <c r="DF33" i="3"/>
  <c r="CX10" i="3"/>
  <c r="CX9" i="3"/>
  <c r="DI36" i="3"/>
  <c r="DF36" i="3"/>
  <c r="DG36" i="3"/>
  <c r="DJ36" i="3" s="1"/>
  <c r="DF35" i="3"/>
  <c r="DG35" i="3"/>
  <c r="DJ35" i="3" s="1"/>
  <c r="DH35" i="3"/>
  <c r="DI35" i="3"/>
  <c r="CX24" i="3"/>
  <c r="CX81" i="3"/>
  <c r="DG33" i="3"/>
  <c r="DJ33" i="3" s="1"/>
  <c r="CX26" i="3"/>
  <c r="CX25" i="3"/>
  <c r="CX73" i="3"/>
  <c r="CX65" i="3"/>
  <c r="DG39" i="3"/>
  <c r="DI37" i="3"/>
  <c r="DG31" i="3"/>
  <c r="DJ31" i="3" s="1"/>
  <c r="DI29" i="3"/>
  <c r="DJ29" i="3" s="1"/>
  <c r="DG37" i="3"/>
  <c r="DJ37" i="3" s="1"/>
  <c r="DG29" i="3"/>
  <c r="DI38" i="3"/>
  <c r="DI30" i="3"/>
  <c r="DJ30" i="3" s="1"/>
  <c r="H745" i="6" l="1"/>
  <c r="H294" i="6"/>
  <c r="H376" i="6"/>
  <c r="J332" i="6"/>
  <c r="P332" i="6" s="1"/>
  <c r="J42" i="6"/>
  <c r="P42" i="6" s="1"/>
  <c r="J364" i="6"/>
  <c r="P364" i="6" s="1"/>
  <c r="H512" i="6"/>
  <c r="H511" i="6"/>
  <c r="J107" i="6"/>
  <c r="P107" i="6" s="1"/>
  <c r="K250" i="6"/>
  <c r="G76" i="6"/>
  <c r="O76" i="6" s="1"/>
  <c r="H249" i="6"/>
  <c r="W253" i="6" s="1"/>
  <c r="W312" i="6"/>
  <c r="J167" i="6"/>
  <c r="P167" i="6" s="1"/>
  <c r="K400" i="6"/>
  <c r="J340" i="6"/>
  <c r="P340" i="6" s="1"/>
  <c r="H206" i="6"/>
  <c r="G243" i="6"/>
  <c r="O243" i="6" s="1"/>
  <c r="K207" i="6"/>
  <c r="J95" i="6"/>
  <c r="P95" i="6" s="1"/>
  <c r="J609" i="6"/>
  <c r="P609" i="6" s="1"/>
  <c r="W719" i="6"/>
  <c r="W728" i="6"/>
  <c r="J620" i="6"/>
  <c r="P620" i="6" s="1"/>
  <c r="G436" i="6"/>
  <c r="O436" i="6" s="1"/>
  <c r="G151" i="6"/>
  <c r="O151" i="6" s="1"/>
  <c r="H207" i="6"/>
  <c r="H250" i="6"/>
  <c r="J417" i="6"/>
  <c r="P417" i="6" s="1"/>
  <c r="H377" i="6"/>
  <c r="W380" i="6" s="1"/>
  <c r="T254" i="6"/>
  <c r="CY83" i="1"/>
  <c r="X83" i="1" s="1"/>
  <c r="T323" i="6" s="1"/>
  <c r="CZ83" i="1"/>
  <c r="Y83" i="1" s="1"/>
  <c r="V323" i="6" s="1"/>
  <c r="K53" i="6"/>
  <c r="J54" i="6" s="1"/>
  <c r="P54" i="6" s="1"/>
  <c r="G763" i="6"/>
  <c r="O763" i="6" s="1"/>
  <c r="W763" i="6"/>
  <c r="GN146" i="1"/>
  <c r="GM146" i="1"/>
  <c r="K733" i="6"/>
  <c r="CZ165" i="1"/>
  <c r="Y165" i="1" s="1"/>
  <c r="V729" i="6" s="1"/>
  <c r="K736" i="6" s="1"/>
  <c r="CY165" i="1"/>
  <c r="X165" i="1" s="1"/>
  <c r="T729" i="6" s="1"/>
  <c r="K735" i="6" s="1"/>
  <c r="T688" i="6"/>
  <c r="U32" i="1"/>
  <c r="L79" i="6" s="1"/>
  <c r="Q79" i="6" s="1"/>
  <c r="C78" i="6"/>
  <c r="E77" i="6"/>
  <c r="CZ30" i="1"/>
  <c r="Y30" i="1" s="1"/>
  <c r="V63" i="6" s="1"/>
  <c r="K68" i="6" s="1"/>
  <c r="K66" i="6"/>
  <c r="L122" i="6"/>
  <c r="L123" i="6"/>
  <c r="Q123" i="6" s="1"/>
  <c r="P32" i="1"/>
  <c r="K77" i="6" s="1"/>
  <c r="J79" i="6" s="1"/>
  <c r="P79" i="6" s="1"/>
  <c r="T27" i="1"/>
  <c r="CP49" i="1"/>
  <c r="O49" i="1" s="1"/>
  <c r="K168" i="6"/>
  <c r="J170" i="6" s="1"/>
  <c r="P170" i="6" s="1"/>
  <c r="CP52" i="1"/>
  <c r="O52" i="1" s="1"/>
  <c r="P108" i="1"/>
  <c r="K450" i="6" s="1"/>
  <c r="CP51" i="1"/>
  <c r="O51" i="1" s="1"/>
  <c r="K176" i="6"/>
  <c r="GM62" i="1"/>
  <c r="T226" i="6"/>
  <c r="K228" i="6" s="1"/>
  <c r="J231" i="6" s="1"/>
  <c r="P231" i="6" s="1"/>
  <c r="T234" i="6"/>
  <c r="E140" i="6"/>
  <c r="C141" i="6"/>
  <c r="CP41" i="1"/>
  <c r="O41" i="1" s="1"/>
  <c r="K119" i="6"/>
  <c r="CP95" i="1"/>
  <c r="O95" i="1" s="1"/>
  <c r="K383" i="6"/>
  <c r="J385" i="6" s="1"/>
  <c r="P385" i="6" s="1"/>
  <c r="L515" i="6"/>
  <c r="Q515" i="6" s="1"/>
  <c r="L513" i="6"/>
  <c r="CP164" i="1"/>
  <c r="O164" i="1" s="1"/>
  <c r="K724" i="6"/>
  <c r="J728" i="6" s="1"/>
  <c r="P728" i="6" s="1"/>
  <c r="V156" i="1"/>
  <c r="CZ69" i="1"/>
  <c r="Y69" i="1" s="1"/>
  <c r="V254" i="6" s="1"/>
  <c r="Q110" i="1"/>
  <c r="V47" i="1"/>
  <c r="S142" i="1"/>
  <c r="E610" i="6"/>
  <c r="CP114" i="1"/>
  <c r="O114" i="1" s="1"/>
  <c r="K475" i="6"/>
  <c r="GN61" i="1"/>
  <c r="S108" i="1"/>
  <c r="K447" i="6" s="1"/>
  <c r="HD173" i="1"/>
  <c r="K768" i="6"/>
  <c r="J769" i="6" s="1"/>
  <c r="P769" i="6" s="1"/>
  <c r="CP169" i="1"/>
  <c r="O169" i="1" s="1"/>
  <c r="T621" i="6"/>
  <c r="L69" i="6"/>
  <c r="L70" i="6"/>
  <c r="Q70" i="6" s="1"/>
  <c r="G42" i="6"/>
  <c r="O42" i="6" s="1"/>
  <c r="U51" i="6"/>
  <c r="L61" i="6"/>
  <c r="L62" i="6"/>
  <c r="Q62" i="6" s="1"/>
  <c r="G83" i="6"/>
  <c r="O83" i="6" s="1"/>
  <c r="W83" i="6"/>
  <c r="W98" i="6"/>
  <c r="G98" i="6"/>
  <c r="O98" i="6" s="1"/>
  <c r="W62" i="6"/>
  <c r="S155" i="6"/>
  <c r="W167" i="6"/>
  <c r="W271" i="6"/>
  <c r="W235" i="6"/>
  <c r="G235" i="6"/>
  <c r="O235" i="6" s="1"/>
  <c r="R239" i="6"/>
  <c r="W243" i="6"/>
  <c r="W281" i="6"/>
  <c r="G281" i="6"/>
  <c r="O281" i="6" s="1"/>
  <c r="G289" i="6"/>
  <c r="O289" i="6" s="1"/>
  <c r="R283" i="6"/>
  <c r="W289" i="6"/>
  <c r="L322" i="6"/>
  <c r="Q322" i="6" s="1"/>
  <c r="L320" i="6"/>
  <c r="L271" i="6"/>
  <c r="Q271" i="6" s="1"/>
  <c r="L270" i="6"/>
  <c r="J312" i="6"/>
  <c r="P312" i="6" s="1"/>
  <c r="G332" i="6"/>
  <c r="O332" i="6" s="1"/>
  <c r="R388" i="6"/>
  <c r="W392" i="6"/>
  <c r="G392" i="6"/>
  <c r="O392" i="6" s="1"/>
  <c r="R396" i="6"/>
  <c r="R64" i="6"/>
  <c r="W70" i="6"/>
  <c r="S77" i="6"/>
  <c r="W109" i="6"/>
  <c r="G109" i="6"/>
  <c r="O109" i="6" s="1"/>
  <c r="R125" i="6"/>
  <c r="W129" i="6"/>
  <c r="G129" i="6"/>
  <c r="O129" i="6" s="1"/>
  <c r="R132" i="6"/>
  <c r="W139" i="6"/>
  <c r="R227" i="6"/>
  <c r="W231" i="6"/>
  <c r="G231" i="6"/>
  <c r="O231" i="6" s="1"/>
  <c r="U254" i="6"/>
  <c r="R292" i="6"/>
  <c r="S321" i="6"/>
  <c r="H318" i="6" s="1"/>
  <c r="G445" i="6"/>
  <c r="O445" i="6" s="1"/>
  <c r="R438" i="6"/>
  <c r="W445" i="6"/>
  <c r="S446" i="6"/>
  <c r="H451" i="6" s="1"/>
  <c r="S455" i="6"/>
  <c r="CY111" i="1"/>
  <c r="X111" i="1" s="1"/>
  <c r="T461" i="6" s="1"/>
  <c r="K464" i="6"/>
  <c r="G556" i="6"/>
  <c r="O556" i="6" s="1"/>
  <c r="W556" i="6"/>
  <c r="CP134" i="1"/>
  <c r="O134" i="1" s="1"/>
  <c r="K562" i="6"/>
  <c r="J566" i="6" s="1"/>
  <c r="P566" i="6" s="1"/>
  <c r="U610" i="6"/>
  <c r="R613" i="6"/>
  <c r="W620" i="6"/>
  <c r="G710" i="6"/>
  <c r="O710" i="6" s="1"/>
  <c r="R703" i="6"/>
  <c r="X710" i="6"/>
  <c r="GX69" i="1"/>
  <c r="U83" i="1"/>
  <c r="L324" i="6" s="1"/>
  <c r="Q324" i="6" s="1"/>
  <c r="R462" i="6"/>
  <c r="U112" i="1"/>
  <c r="R585" i="6"/>
  <c r="W589" i="6"/>
  <c r="G589" i="6"/>
  <c r="O589" i="6" s="1"/>
  <c r="R659" i="6"/>
  <c r="W664" i="6"/>
  <c r="G664" i="6"/>
  <c r="O664" i="6" s="1"/>
  <c r="W691" i="6"/>
  <c r="G691" i="6"/>
  <c r="O691" i="6" s="1"/>
  <c r="H746" i="6"/>
  <c r="G749" i="6" s="1"/>
  <c r="O749" i="6" s="1"/>
  <c r="R432" i="6"/>
  <c r="W436" i="6"/>
  <c r="CY127" i="1"/>
  <c r="X127" i="1" s="1"/>
  <c r="T521" i="6" s="1"/>
  <c r="K526" i="6" s="1"/>
  <c r="J529" i="6" s="1"/>
  <c r="P529" i="6" s="1"/>
  <c r="K524" i="6"/>
  <c r="G577" i="6"/>
  <c r="O577" i="6" s="1"/>
  <c r="G620" i="6"/>
  <c r="O620" i="6" s="1"/>
  <c r="G631" i="6"/>
  <c r="O631" i="6" s="1"/>
  <c r="S148" i="1"/>
  <c r="C644" i="6"/>
  <c r="E643" i="6"/>
  <c r="CP153" i="1"/>
  <c r="O153" i="1" s="1"/>
  <c r="CP155" i="1"/>
  <c r="O155" i="1" s="1"/>
  <c r="K680" i="6"/>
  <c r="R731" i="6"/>
  <c r="W738" i="6"/>
  <c r="G738" i="6"/>
  <c r="O738" i="6" s="1"/>
  <c r="T167" i="1"/>
  <c r="U761" i="6"/>
  <c r="U458" i="6"/>
  <c r="U469" i="6"/>
  <c r="G566" i="6"/>
  <c r="O566" i="6" s="1"/>
  <c r="L674" i="6"/>
  <c r="Q674" i="6" s="1"/>
  <c r="L673" i="6"/>
  <c r="CY161" i="1"/>
  <c r="X161" i="1" s="1"/>
  <c r="T702" i="6" s="1"/>
  <c r="K707" i="6" s="1"/>
  <c r="K705" i="6"/>
  <c r="G769" i="6"/>
  <c r="O769" i="6" s="1"/>
  <c r="W769" i="6"/>
  <c r="G774" i="6"/>
  <c r="O774" i="6" s="1"/>
  <c r="W774" i="6"/>
  <c r="P148" i="1"/>
  <c r="GX112" i="1"/>
  <c r="GN29" i="1"/>
  <c r="V55" i="6"/>
  <c r="K60" i="6" s="1"/>
  <c r="J62" i="6" s="1"/>
  <c r="P62" i="6" s="1"/>
  <c r="S27" i="1"/>
  <c r="CP36" i="1"/>
  <c r="O36" i="1" s="1"/>
  <c r="Q28" i="1"/>
  <c r="CP28" i="1" s="1"/>
  <c r="O28" i="1" s="1"/>
  <c r="CP77" i="1"/>
  <c r="O77" i="1" s="1"/>
  <c r="K299" i="6"/>
  <c r="J300" i="6" s="1"/>
  <c r="P300" i="6" s="1"/>
  <c r="W32" i="1"/>
  <c r="U27" i="1"/>
  <c r="W27" i="1"/>
  <c r="CY86" i="1"/>
  <c r="X86" i="1" s="1"/>
  <c r="T341" i="6" s="1"/>
  <c r="K345" i="6" s="1"/>
  <c r="K344" i="6"/>
  <c r="T301" i="6"/>
  <c r="GN117" i="1"/>
  <c r="T484" i="6"/>
  <c r="CP140" i="1"/>
  <c r="O140" i="1" s="1"/>
  <c r="K596" i="6"/>
  <c r="CP166" i="1"/>
  <c r="O166" i="1" s="1"/>
  <c r="K742" i="6"/>
  <c r="CP129" i="1"/>
  <c r="O129" i="1" s="1"/>
  <c r="K532" i="6"/>
  <c r="J533" i="6" s="1"/>
  <c r="P533" i="6" s="1"/>
  <c r="Q126" i="1"/>
  <c r="E519" i="6"/>
  <c r="CZ107" i="1"/>
  <c r="Y107" i="1" s="1"/>
  <c r="V437" i="6" s="1"/>
  <c r="K443" i="6" s="1"/>
  <c r="K440" i="6"/>
  <c r="U110" i="1"/>
  <c r="L460" i="6" s="1"/>
  <c r="Q460" i="6" s="1"/>
  <c r="W116" i="1"/>
  <c r="GM61" i="1"/>
  <c r="CP107" i="1"/>
  <c r="O107" i="1" s="1"/>
  <c r="K439" i="6"/>
  <c r="CY130" i="1"/>
  <c r="X130" i="1" s="1"/>
  <c r="T534" i="6" s="1"/>
  <c r="K539" i="6" s="1"/>
  <c r="K537" i="6"/>
  <c r="V764" i="6"/>
  <c r="V108" i="1"/>
  <c r="HD133" i="1"/>
  <c r="K555" i="6"/>
  <c r="J556" i="6" s="1"/>
  <c r="P556" i="6" s="1"/>
  <c r="GN152" i="1"/>
  <c r="V652" i="6"/>
  <c r="K655" i="6" s="1"/>
  <c r="J657" i="6" s="1"/>
  <c r="P657" i="6" s="1"/>
  <c r="R72" i="6"/>
  <c r="W76" i="6"/>
  <c r="R100" i="6"/>
  <c r="G107" i="6"/>
  <c r="O107" i="6" s="1"/>
  <c r="R145" i="6"/>
  <c r="W151" i="6"/>
  <c r="U155" i="6"/>
  <c r="H140" i="6"/>
  <c r="W190" i="6"/>
  <c r="CP64" i="1"/>
  <c r="O64" i="1" s="1"/>
  <c r="GM64" i="1" s="1"/>
  <c r="K234" i="6"/>
  <c r="J235" i="6" s="1"/>
  <c r="P235" i="6" s="1"/>
  <c r="G255" i="6"/>
  <c r="O255" i="6" s="1"/>
  <c r="W255" i="6"/>
  <c r="G271" i="6"/>
  <c r="O271" i="6" s="1"/>
  <c r="H51" i="6"/>
  <c r="W51" i="6" s="1"/>
  <c r="W223" i="6"/>
  <c r="G223" i="6"/>
  <c r="O223" i="6" s="1"/>
  <c r="R218" i="6"/>
  <c r="R245" i="6"/>
  <c r="G263" i="6"/>
  <c r="O263" i="6" s="1"/>
  <c r="H399" i="6"/>
  <c r="W403" i="6" s="1"/>
  <c r="U77" i="6"/>
  <c r="C97" i="6"/>
  <c r="E96" i="6"/>
  <c r="W36" i="1"/>
  <c r="S96" i="6"/>
  <c r="G139" i="6"/>
  <c r="O139" i="6" s="1"/>
  <c r="G167" i="6"/>
  <c r="O167" i="6" s="1"/>
  <c r="CP68" i="1"/>
  <c r="O68" i="1" s="1"/>
  <c r="K252" i="6" s="1"/>
  <c r="G300" i="6"/>
  <c r="O300" i="6" s="1"/>
  <c r="W300" i="6"/>
  <c r="R308" i="6"/>
  <c r="G312" i="6"/>
  <c r="O312" i="6" s="1"/>
  <c r="U321" i="6"/>
  <c r="H319" i="6" s="1"/>
  <c r="W332" i="6"/>
  <c r="R326" i="6"/>
  <c r="H455" i="6"/>
  <c r="J129" i="6"/>
  <c r="P129" i="6" s="1"/>
  <c r="G348" i="6"/>
  <c r="O348" i="6" s="1"/>
  <c r="R474" i="6"/>
  <c r="R507" i="6"/>
  <c r="K511" i="6"/>
  <c r="S610" i="6"/>
  <c r="R653" i="6"/>
  <c r="W657" i="6"/>
  <c r="G657" i="6"/>
  <c r="O657" i="6" s="1"/>
  <c r="H684" i="6"/>
  <c r="W684" i="6" s="1"/>
  <c r="W405" i="6"/>
  <c r="G405" i="6"/>
  <c r="O405" i="6" s="1"/>
  <c r="R112" i="1"/>
  <c r="G554" i="6"/>
  <c r="O554" i="6" s="1"/>
  <c r="R547" i="6"/>
  <c r="W554" i="6"/>
  <c r="CZ153" i="1"/>
  <c r="Y153" i="1" s="1"/>
  <c r="V658" i="6" s="1"/>
  <c r="K662" i="6" s="1"/>
  <c r="K659" i="6"/>
  <c r="CY153" i="1"/>
  <c r="X153" i="1" s="1"/>
  <c r="T658" i="6" s="1"/>
  <c r="K661" i="6" s="1"/>
  <c r="CZ158" i="1"/>
  <c r="Y158" i="1" s="1"/>
  <c r="V688" i="6" s="1"/>
  <c r="K690" i="6"/>
  <c r="CY71" i="1"/>
  <c r="X71" i="1" s="1"/>
  <c r="T264" i="6" s="1"/>
  <c r="K268" i="6" s="1"/>
  <c r="W497" i="6"/>
  <c r="G497" i="6"/>
  <c r="O497" i="6" s="1"/>
  <c r="R493" i="6"/>
  <c r="R579" i="6"/>
  <c r="W583" i="6"/>
  <c r="G583" i="6"/>
  <c r="O583" i="6" s="1"/>
  <c r="R593" i="6"/>
  <c r="G600" i="6"/>
  <c r="O600" i="6" s="1"/>
  <c r="W600" i="6"/>
  <c r="R624" i="6"/>
  <c r="W631" i="6"/>
  <c r="G633" i="6"/>
  <c r="O633" i="6" s="1"/>
  <c r="W633" i="6"/>
  <c r="U684" i="6"/>
  <c r="H682" i="6" s="1"/>
  <c r="R753" i="6"/>
  <c r="G760" i="6"/>
  <c r="O760" i="6" s="1"/>
  <c r="W760" i="6"/>
  <c r="T36" i="1"/>
  <c r="G340" i="6"/>
  <c r="O340" i="6" s="1"/>
  <c r="R334" i="6"/>
  <c r="W340" i="6"/>
  <c r="W428" i="6"/>
  <c r="G428" i="6"/>
  <c r="O428" i="6" s="1"/>
  <c r="R421" i="6"/>
  <c r="S469" i="6"/>
  <c r="H466" i="6" s="1"/>
  <c r="J505" i="6"/>
  <c r="P505" i="6" s="1"/>
  <c r="R522" i="6"/>
  <c r="X529" i="6"/>
  <c r="CY162" i="1"/>
  <c r="X162" i="1" s="1"/>
  <c r="CZ140" i="1"/>
  <c r="Y140" i="1" s="1"/>
  <c r="V592" i="6" s="1"/>
  <c r="K598" i="6" s="1"/>
  <c r="CP45" i="1"/>
  <c r="O45" i="1" s="1"/>
  <c r="K146" i="6"/>
  <c r="S28" i="1"/>
  <c r="E53" i="6"/>
  <c r="CP81" i="1"/>
  <c r="O81" i="1" s="1"/>
  <c r="GN81" i="1" s="1"/>
  <c r="K315" i="6"/>
  <c r="R28" i="1"/>
  <c r="T252" i="6"/>
  <c r="K249" i="6" s="1"/>
  <c r="T32" i="1"/>
  <c r="C153" i="6"/>
  <c r="E152" i="6"/>
  <c r="V264" i="6"/>
  <c r="K269" i="6" s="1"/>
  <c r="CP30" i="1"/>
  <c r="O30" i="1" s="1"/>
  <c r="T46" i="1"/>
  <c r="W28" i="1"/>
  <c r="T110" i="6"/>
  <c r="U46" i="1"/>
  <c r="L154" i="6" s="1"/>
  <c r="Q154" i="6" s="1"/>
  <c r="GX28" i="1"/>
  <c r="U47" i="1"/>
  <c r="L157" i="6" s="1"/>
  <c r="Q157" i="6" s="1"/>
  <c r="L565" i="6"/>
  <c r="L566" i="6"/>
  <c r="Q566" i="6" s="1"/>
  <c r="GM106" i="1"/>
  <c r="V431" i="6"/>
  <c r="K434" i="6" s="1"/>
  <c r="J436" i="6" s="1"/>
  <c r="P436" i="6" s="1"/>
  <c r="CP112" i="1"/>
  <c r="O112" i="1" s="1"/>
  <c r="K469" i="6" s="1"/>
  <c r="T516" i="6"/>
  <c r="CZ145" i="1"/>
  <c r="Y145" i="1" s="1"/>
  <c r="V623" i="6" s="1"/>
  <c r="K629" i="6" s="1"/>
  <c r="K626" i="6"/>
  <c r="GX108" i="1"/>
  <c r="E446" i="6"/>
  <c r="V110" i="1"/>
  <c r="E458" i="6"/>
  <c r="C459" i="6"/>
  <c r="GN106" i="1"/>
  <c r="V675" i="6"/>
  <c r="HD175" i="1"/>
  <c r="K772" i="6"/>
  <c r="J774" i="6" s="1"/>
  <c r="P774" i="6" s="1"/>
  <c r="R38" i="6"/>
  <c r="W42" i="6"/>
  <c r="U53" i="6"/>
  <c r="H77" i="6"/>
  <c r="R56" i="6"/>
  <c r="G62" i="6"/>
  <c r="O62" i="6" s="1"/>
  <c r="G111" i="6"/>
  <c r="O111" i="6" s="1"/>
  <c r="W111" i="6"/>
  <c r="R175" i="6"/>
  <c r="W181" i="6"/>
  <c r="J243" i="6"/>
  <c r="P243" i="6" s="1"/>
  <c r="S152" i="6"/>
  <c r="G170" i="6"/>
  <c r="O170" i="6" s="1"/>
  <c r="W170" i="6"/>
  <c r="J123" i="6"/>
  <c r="P123" i="6" s="1"/>
  <c r="H152" i="6"/>
  <c r="CY70" i="1"/>
  <c r="X70" i="1" s="1"/>
  <c r="T256" i="6" s="1"/>
  <c r="K260" i="6" s="1"/>
  <c r="K259" i="6"/>
  <c r="J371" i="6"/>
  <c r="P371" i="6" s="1"/>
  <c r="H448" i="6"/>
  <c r="S140" i="6"/>
  <c r="H295" i="6"/>
  <c r="W298" i="6" s="1"/>
  <c r="G324" i="6"/>
  <c r="O324" i="6" s="1"/>
  <c r="W324" i="6"/>
  <c r="G364" i="6"/>
  <c r="O364" i="6" s="1"/>
  <c r="W364" i="6"/>
  <c r="R358" i="6"/>
  <c r="U446" i="6"/>
  <c r="H452" i="6" s="1"/>
  <c r="CP98" i="1"/>
  <c r="O98" i="1" s="1"/>
  <c r="K398" i="6"/>
  <c r="G419" i="6"/>
  <c r="O419" i="6" s="1"/>
  <c r="W419" i="6"/>
  <c r="G518" i="6"/>
  <c r="O518" i="6" s="1"/>
  <c r="W518" i="6"/>
  <c r="R602" i="6"/>
  <c r="W609" i="6"/>
  <c r="G609" i="6"/>
  <c r="O609" i="6" s="1"/>
  <c r="CP161" i="1"/>
  <c r="O161" i="1" s="1"/>
  <c r="K706" i="6"/>
  <c r="J710" i="6" s="1"/>
  <c r="P710" i="6" s="1"/>
  <c r="H482" i="6"/>
  <c r="W482" i="6" s="1"/>
  <c r="R667" i="6"/>
  <c r="G674" i="6"/>
  <c r="O674" i="6" s="1"/>
  <c r="W674" i="6"/>
  <c r="R677" i="6"/>
  <c r="R741" i="6"/>
  <c r="CZ78" i="1"/>
  <c r="Y78" i="1" s="1"/>
  <c r="V301" i="6" s="1"/>
  <c r="CP138" i="1"/>
  <c r="O138" i="1" s="1"/>
  <c r="GN138" i="1" s="1"/>
  <c r="H610" i="6"/>
  <c r="CP154" i="1"/>
  <c r="O154" i="1" s="1"/>
  <c r="K670" i="6"/>
  <c r="J674" i="6" s="1"/>
  <c r="P674" i="6" s="1"/>
  <c r="G765" i="6"/>
  <c r="O765" i="6" s="1"/>
  <c r="W765" i="6"/>
  <c r="CP55" i="1"/>
  <c r="O55" i="1" s="1"/>
  <c r="S112" i="1"/>
  <c r="S482" i="6"/>
  <c r="H478" i="6" s="1"/>
  <c r="W489" i="6"/>
  <c r="G489" i="6"/>
  <c r="O489" i="6" s="1"/>
  <c r="S519" i="6"/>
  <c r="G529" i="6"/>
  <c r="O529" i="6" s="1"/>
  <c r="CP144" i="1"/>
  <c r="O144" i="1" s="1"/>
  <c r="GM144" i="1" s="1"/>
  <c r="K621" i="6"/>
  <c r="J622" i="6" s="1"/>
  <c r="P622" i="6" s="1"/>
  <c r="CY155" i="1"/>
  <c r="X155" i="1" s="1"/>
  <c r="T675" i="6" s="1"/>
  <c r="K679" i="6"/>
  <c r="G771" i="6"/>
  <c r="O771" i="6" s="1"/>
  <c r="W771" i="6"/>
  <c r="CY136" i="1"/>
  <c r="X136" i="1" s="1"/>
  <c r="T569" i="6" s="1"/>
  <c r="K574" i="6" s="1"/>
  <c r="J577" i="6" s="1"/>
  <c r="P577" i="6" s="1"/>
  <c r="U28" i="1"/>
  <c r="L54" i="6" s="1"/>
  <c r="Q54" i="6" s="1"/>
  <c r="T28" i="1"/>
  <c r="V32" i="1"/>
  <c r="C156" i="6"/>
  <c r="E155" i="6"/>
  <c r="GM53" i="1"/>
  <c r="T191" i="6"/>
  <c r="K194" i="6" s="1"/>
  <c r="T82" i="1"/>
  <c r="E321" i="6"/>
  <c r="L139" i="6"/>
  <c r="Q139" i="6" s="1"/>
  <c r="L138" i="6"/>
  <c r="GN53" i="1"/>
  <c r="V191" i="6"/>
  <c r="K195" i="6" s="1"/>
  <c r="P47" i="1"/>
  <c r="K155" i="6" s="1"/>
  <c r="J157" i="6" s="1"/>
  <c r="P157" i="6" s="1"/>
  <c r="T217" i="6"/>
  <c r="K220" i="6" s="1"/>
  <c r="J223" i="6" s="1"/>
  <c r="P223" i="6" s="1"/>
  <c r="P27" i="1"/>
  <c r="R32" i="1"/>
  <c r="GN55" i="1"/>
  <c r="T200" i="6"/>
  <c r="K206" i="6" s="1"/>
  <c r="CP75" i="1"/>
  <c r="O75" i="1" s="1"/>
  <c r="L589" i="6"/>
  <c r="Q589" i="6" s="1"/>
  <c r="L588" i="6"/>
  <c r="CZ148" i="1"/>
  <c r="Y148" i="1" s="1"/>
  <c r="V643" i="6" s="1"/>
  <c r="CP147" i="1"/>
  <c r="O147" i="1" s="1"/>
  <c r="K636" i="6"/>
  <c r="J642" i="6" s="1"/>
  <c r="P642" i="6" s="1"/>
  <c r="GM115" i="1"/>
  <c r="T481" i="6"/>
  <c r="T109" i="1"/>
  <c r="C456" i="6"/>
  <c r="E455" i="6"/>
  <c r="GX156" i="1"/>
  <c r="E684" i="6"/>
  <c r="K377" i="6"/>
  <c r="CP123" i="1"/>
  <c r="O123" i="1" s="1"/>
  <c r="K510" i="6"/>
  <c r="K512" i="6"/>
  <c r="CP48" i="1"/>
  <c r="O48" i="1" s="1"/>
  <c r="HD174" i="1"/>
  <c r="K770" i="6"/>
  <c r="J771" i="6" s="1"/>
  <c r="P771" i="6" s="1"/>
  <c r="CP176" i="1"/>
  <c r="O176" i="1" s="1"/>
  <c r="K775" i="6"/>
  <c r="J776" i="6" s="1"/>
  <c r="P776" i="6" s="1"/>
  <c r="GM138" i="1"/>
  <c r="T584" i="6"/>
  <c r="K586" i="6" s="1"/>
  <c r="J589" i="6" s="1"/>
  <c r="P589" i="6" s="1"/>
  <c r="GM162" i="1"/>
  <c r="V711" i="6"/>
  <c r="K717" i="6" s="1"/>
  <c r="C762" i="6"/>
  <c r="E761" i="6"/>
  <c r="H49" i="6"/>
  <c r="S51" i="6"/>
  <c r="H48" i="6" s="1"/>
  <c r="S53" i="6"/>
  <c r="X107" i="6"/>
  <c r="CP39" i="1"/>
  <c r="O39" i="1" s="1"/>
  <c r="GM39" i="1" s="1"/>
  <c r="K110" i="6"/>
  <c r="J111" i="6" s="1"/>
  <c r="P111" i="6" s="1"/>
  <c r="G181" i="6"/>
  <c r="O181" i="6" s="1"/>
  <c r="CP69" i="1"/>
  <c r="O69" i="1" s="1"/>
  <c r="GN69" i="1" s="1"/>
  <c r="K254" i="6"/>
  <c r="J255" i="6" s="1"/>
  <c r="P255" i="6" s="1"/>
  <c r="G304" i="6"/>
  <c r="O304" i="6" s="1"/>
  <c r="W304" i="6"/>
  <c r="H53" i="6"/>
  <c r="U152" i="6"/>
  <c r="L50" i="6"/>
  <c r="L52" i="6"/>
  <c r="Q52" i="6" s="1"/>
  <c r="R88" i="6"/>
  <c r="W95" i="6"/>
  <c r="G95" i="6"/>
  <c r="O95" i="6" s="1"/>
  <c r="H155" i="6"/>
  <c r="R184" i="6"/>
  <c r="G190" i="6"/>
  <c r="O190" i="6" s="1"/>
  <c r="G197" i="6"/>
  <c r="O197" i="6" s="1"/>
  <c r="W197" i="6"/>
  <c r="R193" i="6"/>
  <c r="G350" i="6"/>
  <c r="O350" i="6" s="1"/>
  <c r="W350" i="6"/>
  <c r="R366" i="6"/>
  <c r="W371" i="6"/>
  <c r="G371" i="6"/>
  <c r="O371" i="6" s="1"/>
  <c r="H449" i="6"/>
  <c r="R449" i="6" s="1"/>
  <c r="G70" i="6"/>
  <c r="O70" i="6" s="1"/>
  <c r="W123" i="6"/>
  <c r="R116" i="6"/>
  <c r="G123" i="6"/>
  <c r="O123" i="6" s="1"/>
  <c r="U140" i="6"/>
  <c r="U69" i="1"/>
  <c r="L255" i="6" s="1"/>
  <c r="Q255" i="6" s="1"/>
  <c r="E254" i="6"/>
  <c r="R257" i="6"/>
  <c r="W263" i="6"/>
  <c r="R273" i="6"/>
  <c r="G279" i="6"/>
  <c r="O279" i="6" s="1"/>
  <c r="W279" i="6"/>
  <c r="R314" i="6"/>
  <c r="L347" i="6"/>
  <c r="L348" i="6"/>
  <c r="Q348" i="6" s="1"/>
  <c r="G354" i="6"/>
  <c r="O354" i="6" s="1"/>
  <c r="W354" i="6"/>
  <c r="R410" i="6"/>
  <c r="W417" i="6"/>
  <c r="G417" i="6"/>
  <c r="O417" i="6" s="1"/>
  <c r="H447" i="6"/>
  <c r="H458" i="6"/>
  <c r="J289" i="6"/>
  <c r="P289" i="6" s="1"/>
  <c r="R342" i="6"/>
  <c r="W348" i="6"/>
  <c r="V112" i="1"/>
  <c r="E469" i="6"/>
  <c r="G515" i="6"/>
  <c r="O515" i="6" s="1"/>
  <c r="CP125" i="1"/>
  <c r="O125" i="1" s="1"/>
  <c r="GM125" i="1" s="1"/>
  <c r="K516" i="6"/>
  <c r="J518" i="6" s="1"/>
  <c r="P518" i="6" s="1"/>
  <c r="J554" i="6"/>
  <c r="P554" i="6" s="1"/>
  <c r="G719" i="6"/>
  <c r="O719" i="6" s="1"/>
  <c r="R712" i="6"/>
  <c r="G728" i="6"/>
  <c r="O728" i="6" s="1"/>
  <c r="R723" i="6"/>
  <c r="H467" i="6"/>
  <c r="H469" i="6"/>
  <c r="W469" i="6" s="1"/>
  <c r="H519" i="6"/>
  <c r="G645" i="6"/>
  <c r="O645" i="6" s="1"/>
  <c r="W645" i="6"/>
  <c r="H681" i="6"/>
  <c r="CZ70" i="1"/>
  <c r="Y70" i="1" s="1"/>
  <c r="V256" i="6" s="1"/>
  <c r="K261" i="6" s="1"/>
  <c r="J263" i="6" s="1"/>
  <c r="P263" i="6" s="1"/>
  <c r="P83" i="1"/>
  <c r="K323" i="6" s="1"/>
  <c r="J324" i="6" s="1"/>
  <c r="P324" i="6" s="1"/>
  <c r="E323" i="6"/>
  <c r="GX83" i="1"/>
  <c r="L480" i="6"/>
  <c r="L483" i="6"/>
  <c r="Q483" i="6" s="1"/>
  <c r="J497" i="6"/>
  <c r="P497" i="6" s="1"/>
  <c r="R535" i="6"/>
  <c r="G542" i="6"/>
  <c r="O542" i="6" s="1"/>
  <c r="W542" i="6"/>
  <c r="W642" i="6"/>
  <c r="G642" i="6"/>
  <c r="O642" i="6" s="1"/>
  <c r="R635" i="6"/>
  <c r="S761" i="6"/>
  <c r="CP171" i="1"/>
  <c r="O171" i="1" s="1"/>
  <c r="GN171" i="1" s="1"/>
  <c r="K764" i="6"/>
  <c r="J765" i="6" s="1"/>
  <c r="P765" i="6" s="1"/>
  <c r="H775" i="6"/>
  <c r="CP60" i="1"/>
  <c r="O60" i="1" s="1"/>
  <c r="GM60" i="1" s="1"/>
  <c r="G385" i="6"/>
  <c r="O385" i="6" s="1"/>
  <c r="W385" i="6"/>
  <c r="U482" i="6"/>
  <c r="H479" i="6" s="1"/>
  <c r="R499" i="6"/>
  <c r="G505" i="6"/>
  <c r="O505" i="6" s="1"/>
  <c r="W505" i="6"/>
  <c r="U519" i="6"/>
  <c r="R559" i="6"/>
  <c r="W566" i="6"/>
  <c r="R570" i="6"/>
  <c r="W577" i="6"/>
  <c r="W701" i="6"/>
  <c r="R695" i="6"/>
  <c r="G701" i="6"/>
  <c r="O701" i="6" s="1"/>
  <c r="U167" i="1"/>
  <c r="E748" i="6"/>
  <c r="R167" i="1"/>
  <c r="CY171" i="1"/>
  <c r="X171" i="1" s="1"/>
  <c r="T764" i="6" s="1"/>
  <c r="GX148" i="1"/>
  <c r="V167" i="1"/>
  <c r="CY140" i="1"/>
  <c r="X140" i="1" s="1"/>
  <c r="T592" i="6" s="1"/>
  <c r="K597" i="6" s="1"/>
  <c r="GN66" i="1"/>
  <c r="GM66" i="1"/>
  <c r="GN166" i="1"/>
  <c r="GM166" i="1"/>
  <c r="GM105" i="1"/>
  <c r="GN105" i="1"/>
  <c r="GM107" i="1"/>
  <c r="GN107" i="1"/>
  <c r="GM147" i="1"/>
  <c r="GN147" i="1"/>
  <c r="CG22" i="1"/>
  <c r="AX178" i="1"/>
  <c r="GM96" i="1"/>
  <c r="GN96" i="1"/>
  <c r="GM164" i="1"/>
  <c r="GN164" i="1"/>
  <c r="GM150" i="1"/>
  <c r="GN150" i="1"/>
  <c r="GN114" i="1"/>
  <c r="GM114" i="1"/>
  <c r="DH9" i="3"/>
  <c r="DI9" i="3"/>
  <c r="DJ9" i="3" s="1"/>
  <c r="DF9" i="3"/>
  <c r="DG9" i="3"/>
  <c r="DI60" i="3"/>
  <c r="DF60" i="3"/>
  <c r="DG60" i="3"/>
  <c r="DJ60" i="3" s="1"/>
  <c r="DH60" i="3"/>
  <c r="DH205" i="3"/>
  <c r="DI205" i="3"/>
  <c r="DJ205" i="3" s="1"/>
  <c r="DG205" i="3"/>
  <c r="DF205" i="3"/>
  <c r="DH269" i="3"/>
  <c r="DI269" i="3"/>
  <c r="DF269" i="3"/>
  <c r="DJ269" i="3" s="1"/>
  <c r="DG269" i="3"/>
  <c r="DH221" i="3"/>
  <c r="DG221" i="3"/>
  <c r="DF221" i="3"/>
  <c r="DJ221" i="3" s="1"/>
  <c r="DI221" i="3"/>
  <c r="DF283" i="3"/>
  <c r="DJ283" i="3" s="1"/>
  <c r="DG283" i="3"/>
  <c r="DI283" i="3"/>
  <c r="DH283" i="3"/>
  <c r="DI82" i="3"/>
  <c r="DH82" i="3"/>
  <c r="DG82" i="3"/>
  <c r="DF82" i="3"/>
  <c r="DJ82" i="3" s="1"/>
  <c r="DF8" i="3"/>
  <c r="DG8" i="3"/>
  <c r="DH8" i="3"/>
  <c r="DI8" i="3"/>
  <c r="DJ8" i="3" s="1"/>
  <c r="DF58" i="3"/>
  <c r="DH58" i="3"/>
  <c r="DG58" i="3"/>
  <c r="DI58" i="3"/>
  <c r="DJ58" i="3" s="1"/>
  <c r="DI80" i="3"/>
  <c r="DJ80" i="3" s="1"/>
  <c r="DF80" i="3"/>
  <c r="DG80" i="3"/>
  <c r="DH80" i="3"/>
  <c r="DH65" i="3"/>
  <c r="DI65" i="3"/>
  <c r="DF65" i="3"/>
  <c r="DG65" i="3"/>
  <c r="DJ65" i="3" s="1"/>
  <c r="DI44" i="3"/>
  <c r="DF44" i="3"/>
  <c r="DG44" i="3"/>
  <c r="DJ44" i="3" s="1"/>
  <c r="DH44" i="3"/>
  <c r="DH71" i="3"/>
  <c r="DI71" i="3"/>
  <c r="DJ71" i="3" s="1"/>
  <c r="DF71" i="3"/>
  <c r="DG71" i="3"/>
  <c r="DI68" i="3"/>
  <c r="DF68" i="3"/>
  <c r="DJ68" i="3" s="1"/>
  <c r="DG68" i="3"/>
  <c r="DH68" i="3"/>
  <c r="DH420" i="3"/>
  <c r="DI420" i="3"/>
  <c r="DJ420" i="3" s="1"/>
  <c r="DG420" i="3"/>
  <c r="DF420" i="3"/>
  <c r="DH347" i="3"/>
  <c r="DF347" i="3"/>
  <c r="DG347" i="3"/>
  <c r="DJ347" i="3" s="1"/>
  <c r="DI347" i="3"/>
  <c r="DF106" i="3"/>
  <c r="DJ106" i="3" s="1"/>
  <c r="DH106" i="3"/>
  <c r="DI106" i="3"/>
  <c r="DG106" i="3"/>
  <c r="DI310" i="3"/>
  <c r="DF310" i="3"/>
  <c r="DG310" i="3"/>
  <c r="DJ310" i="3" s="1"/>
  <c r="DH310" i="3"/>
  <c r="DF43" i="3"/>
  <c r="DG43" i="3"/>
  <c r="DH43" i="3"/>
  <c r="DI43" i="3"/>
  <c r="DJ43" i="3" s="1"/>
  <c r="DF16" i="3"/>
  <c r="DG16" i="3"/>
  <c r="DJ16" i="3" s="1"/>
  <c r="DH16" i="3"/>
  <c r="DI16" i="3"/>
  <c r="DH89" i="3"/>
  <c r="DF89" i="3"/>
  <c r="DJ89" i="3" s="1"/>
  <c r="DG89" i="3"/>
  <c r="DI89" i="3"/>
  <c r="DH197" i="3"/>
  <c r="DF197" i="3"/>
  <c r="DI197" i="3"/>
  <c r="DJ197" i="3" s="1"/>
  <c r="DG197" i="3"/>
  <c r="DF177" i="3"/>
  <c r="DH177" i="3"/>
  <c r="DI177" i="3"/>
  <c r="DG177" i="3"/>
  <c r="DJ177" i="3" s="1"/>
  <c r="DH315" i="3"/>
  <c r="DI315" i="3"/>
  <c r="DG315" i="3"/>
  <c r="DJ315" i="3" s="1"/>
  <c r="DF315" i="3"/>
  <c r="DH189" i="3"/>
  <c r="DF189" i="3"/>
  <c r="DJ189" i="3" s="1"/>
  <c r="DG189" i="3"/>
  <c r="DI189" i="3"/>
  <c r="DI20" i="3"/>
  <c r="DJ20" i="3" s="1"/>
  <c r="DF20" i="3"/>
  <c r="DG20" i="3"/>
  <c r="DH20" i="3"/>
  <c r="DI259" i="3"/>
  <c r="DJ259" i="3" s="1"/>
  <c r="DF259" i="3"/>
  <c r="DG259" i="3"/>
  <c r="DH259" i="3"/>
  <c r="DF212" i="3"/>
  <c r="DG212" i="3"/>
  <c r="DH212" i="3"/>
  <c r="DI212" i="3"/>
  <c r="DJ212" i="3" s="1"/>
  <c r="DF66" i="3"/>
  <c r="DG66" i="3"/>
  <c r="DJ66" i="3" s="1"/>
  <c r="DH66" i="3"/>
  <c r="DI66" i="3"/>
  <c r="DI123" i="3"/>
  <c r="DH123" i="3"/>
  <c r="DG123" i="3"/>
  <c r="DJ123" i="3" s="1"/>
  <c r="DF123" i="3"/>
  <c r="DH436" i="3"/>
  <c r="DF436" i="3"/>
  <c r="DG436" i="3"/>
  <c r="DJ436" i="3" s="1"/>
  <c r="DI436" i="3"/>
  <c r="DG6" i="3"/>
  <c r="DH6" i="3"/>
  <c r="DI6" i="3"/>
  <c r="DF6" i="3"/>
  <c r="DJ6" i="3" s="1"/>
  <c r="GN33" i="1"/>
  <c r="GM33" i="1"/>
  <c r="DF15" i="3"/>
  <c r="DG15" i="3"/>
  <c r="DH15" i="3"/>
  <c r="DI15" i="3"/>
  <c r="DJ15" i="3" s="1"/>
  <c r="DH444" i="3"/>
  <c r="DF444" i="3"/>
  <c r="DJ444" i="3" s="1"/>
  <c r="DG444" i="3"/>
  <c r="DI444" i="3"/>
  <c r="DG78" i="3"/>
  <c r="DH78" i="3"/>
  <c r="DI78" i="3"/>
  <c r="DF78" i="3"/>
  <c r="DJ78" i="3" s="1"/>
  <c r="DG275" i="3"/>
  <c r="DF275" i="3"/>
  <c r="DH275" i="3"/>
  <c r="DI275" i="3"/>
  <c r="DJ275" i="3" s="1"/>
  <c r="DG141" i="3"/>
  <c r="DH141" i="3"/>
  <c r="DI141" i="3"/>
  <c r="DJ141" i="3" s="1"/>
  <c r="DF141" i="3"/>
  <c r="GM37" i="1"/>
  <c r="GO37" i="1"/>
  <c r="DH25" i="3"/>
  <c r="DI25" i="3"/>
  <c r="DF25" i="3"/>
  <c r="DG25" i="3"/>
  <c r="DJ25" i="3" s="1"/>
  <c r="DF59" i="3"/>
  <c r="DG59" i="3"/>
  <c r="DJ59" i="3" s="1"/>
  <c r="DH59" i="3"/>
  <c r="DI59" i="3"/>
  <c r="DF2" i="3"/>
  <c r="DJ2" i="3" s="1"/>
  <c r="DG2" i="3"/>
  <c r="DH2" i="3"/>
  <c r="DI2" i="3"/>
  <c r="DH211" i="3"/>
  <c r="DG211" i="3"/>
  <c r="DI211" i="3"/>
  <c r="DF211" i="3"/>
  <c r="DJ211" i="3" s="1"/>
  <c r="DF156" i="3"/>
  <c r="DG156" i="3"/>
  <c r="DJ156" i="3" s="1"/>
  <c r="DI156" i="3"/>
  <c r="DH156" i="3"/>
  <c r="DI174" i="3"/>
  <c r="DJ174" i="3" s="1"/>
  <c r="DG174" i="3"/>
  <c r="DH174" i="3"/>
  <c r="DF174" i="3"/>
  <c r="DI280" i="3"/>
  <c r="DF280" i="3"/>
  <c r="DG280" i="3"/>
  <c r="DJ280" i="3" s="1"/>
  <c r="DH280" i="3"/>
  <c r="DG133" i="3"/>
  <c r="DI133" i="3"/>
  <c r="DJ133" i="3" s="1"/>
  <c r="DH133" i="3"/>
  <c r="DF133" i="3"/>
  <c r="DG117" i="3"/>
  <c r="DH117" i="3"/>
  <c r="DF117" i="3"/>
  <c r="DJ117" i="3" s="1"/>
  <c r="DI117" i="3"/>
  <c r="DF132" i="3"/>
  <c r="DJ132" i="3" s="1"/>
  <c r="DG132" i="3"/>
  <c r="DI132" i="3"/>
  <c r="DH132" i="3"/>
  <c r="DI445" i="3"/>
  <c r="DH445" i="3"/>
  <c r="DF445" i="3"/>
  <c r="DJ445" i="3" s="1"/>
  <c r="DG445" i="3"/>
  <c r="DH108" i="3"/>
  <c r="DI108" i="3"/>
  <c r="DJ108" i="3" s="1"/>
  <c r="DF108" i="3"/>
  <c r="DG108" i="3"/>
  <c r="DF191" i="3"/>
  <c r="DJ191" i="3" s="1"/>
  <c r="DG191" i="3"/>
  <c r="DH191" i="3"/>
  <c r="DI191" i="3"/>
  <c r="DG218" i="3"/>
  <c r="DI218" i="3"/>
  <c r="DH218" i="3"/>
  <c r="DF218" i="3"/>
  <c r="DJ218" i="3" s="1"/>
  <c r="DF279" i="3"/>
  <c r="DG279" i="3"/>
  <c r="DJ279" i="3" s="1"/>
  <c r="DI279" i="3"/>
  <c r="DH279" i="3"/>
  <c r="DH17" i="3"/>
  <c r="DI17" i="3"/>
  <c r="DF17" i="3"/>
  <c r="DJ17" i="3" s="1"/>
  <c r="DG17" i="3"/>
  <c r="DI84" i="3"/>
  <c r="DJ84" i="3" s="1"/>
  <c r="DH84" i="3"/>
  <c r="DF84" i="3"/>
  <c r="DG84" i="3"/>
  <c r="DF111" i="3"/>
  <c r="DJ111" i="3" s="1"/>
  <c r="DH111" i="3"/>
  <c r="DG111" i="3"/>
  <c r="DI111" i="3"/>
  <c r="DI140" i="3"/>
  <c r="DJ140" i="3" s="1"/>
  <c r="DG140" i="3"/>
  <c r="DH140" i="3"/>
  <c r="DF140" i="3"/>
  <c r="DH277" i="3"/>
  <c r="DG277" i="3"/>
  <c r="DJ277" i="3" s="1"/>
  <c r="DI277" i="3"/>
  <c r="DF277" i="3"/>
  <c r="DF23" i="3"/>
  <c r="DG23" i="3"/>
  <c r="DJ23" i="3" s="1"/>
  <c r="DH23" i="3"/>
  <c r="DI23" i="3"/>
  <c r="DI338" i="3"/>
  <c r="DJ338" i="3" s="1"/>
  <c r="DH338" i="3"/>
  <c r="DF338" i="3"/>
  <c r="DG338" i="3"/>
  <c r="DF376" i="3"/>
  <c r="DJ376" i="3" s="1"/>
  <c r="DG376" i="3"/>
  <c r="DH376" i="3"/>
  <c r="DI376" i="3"/>
  <c r="DI115" i="3"/>
  <c r="DG115" i="3"/>
  <c r="DJ115" i="3" s="1"/>
  <c r="DF115" i="3"/>
  <c r="DH115" i="3"/>
  <c r="DF18" i="3"/>
  <c r="DJ18" i="3" s="1"/>
  <c r="DG18" i="3"/>
  <c r="DH18" i="3"/>
  <c r="DI18" i="3"/>
  <c r="DH88" i="3"/>
  <c r="DF88" i="3"/>
  <c r="DG88" i="3"/>
  <c r="DJ88" i="3" s="1"/>
  <c r="DI88" i="3"/>
  <c r="DH128" i="3"/>
  <c r="DF128" i="3"/>
  <c r="DG128" i="3"/>
  <c r="DI128" i="3"/>
  <c r="DJ128" i="3" s="1"/>
  <c r="DH323" i="3"/>
  <c r="DG323" i="3"/>
  <c r="DJ323" i="3" s="1"/>
  <c r="DI323" i="3"/>
  <c r="DF323" i="3"/>
  <c r="DI220" i="3"/>
  <c r="DH220" i="3"/>
  <c r="DF220" i="3"/>
  <c r="DJ220" i="3" s="1"/>
  <c r="DG220" i="3"/>
  <c r="DF198" i="3"/>
  <c r="DI198" i="3"/>
  <c r="DJ198" i="3" s="1"/>
  <c r="DG198" i="3"/>
  <c r="DH198" i="3"/>
  <c r="DH307" i="3"/>
  <c r="DI307" i="3"/>
  <c r="DF307" i="3"/>
  <c r="DJ307" i="3" s="1"/>
  <c r="DG307" i="3"/>
  <c r="DF21" i="3"/>
  <c r="DG21" i="3"/>
  <c r="DH21" i="3"/>
  <c r="DI21" i="3"/>
  <c r="DJ21" i="3" s="1"/>
  <c r="DF199" i="3"/>
  <c r="DG199" i="3"/>
  <c r="DJ199" i="3" s="1"/>
  <c r="DH199" i="3"/>
  <c r="DI199" i="3"/>
  <c r="DI305" i="3"/>
  <c r="DF305" i="3"/>
  <c r="DH305" i="3"/>
  <c r="DG305" i="3"/>
  <c r="DJ305" i="3" s="1"/>
  <c r="DG63" i="3"/>
  <c r="DH63" i="3"/>
  <c r="DI63" i="3"/>
  <c r="DJ63" i="3" s="1"/>
  <c r="DF63" i="3"/>
  <c r="DG116" i="3"/>
  <c r="DH116" i="3"/>
  <c r="DI116" i="3"/>
  <c r="DF116" i="3"/>
  <c r="DJ116" i="3" s="1"/>
  <c r="DH81" i="3"/>
  <c r="DG81" i="3"/>
  <c r="DJ81" i="3" s="1"/>
  <c r="DI81" i="3"/>
  <c r="DF81" i="3"/>
  <c r="DH120" i="3"/>
  <c r="DF120" i="3"/>
  <c r="DG120" i="3"/>
  <c r="DJ120" i="3" s="1"/>
  <c r="DI120" i="3"/>
  <c r="DH137" i="3"/>
  <c r="DI137" i="3"/>
  <c r="DG137" i="3"/>
  <c r="DJ137" i="3" s="1"/>
  <c r="DF137" i="3"/>
  <c r="DH90" i="3"/>
  <c r="DF90" i="3"/>
  <c r="DJ90" i="3" s="1"/>
  <c r="DG90" i="3"/>
  <c r="DI90" i="3"/>
  <c r="DH180" i="3"/>
  <c r="DI180" i="3"/>
  <c r="DF180" i="3"/>
  <c r="DJ180" i="3" s="1"/>
  <c r="DG180" i="3"/>
  <c r="DH135" i="3"/>
  <c r="DI135" i="3"/>
  <c r="DJ135" i="3" s="1"/>
  <c r="DF135" i="3"/>
  <c r="DG135" i="3"/>
  <c r="DI129" i="3"/>
  <c r="DF129" i="3"/>
  <c r="DG129" i="3"/>
  <c r="DJ129" i="3" s="1"/>
  <c r="DH129" i="3"/>
  <c r="DI265" i="3"/>
  <c r="DG265" i="3"/>
  <c r="DH265" i="3"/>
  <c r="DF265" i="3"/>
  <c r="DJ265" i="3" s="1"/>
  <c r="DI209" i="3"/>
  <c r="DF209" i="3"/>
  <c r="DG209" i="3"/>
  <c r="DJ209" i="3" s="1"/>
  <c r="DH209" i="3"/>
  <c r="DH261" i="3"/>
  <c r="DF261" i="3"/>
  <c r="DG261" i="3"/>
  <c r="DJ261" i="3" s="1"/>
  <c r="DI261" i="3"/>
  <c r="DI12" i="3"/>
  <c r="DF12" i="3"/>
  <c r="DJ12" i="3" s="1"/>
  <c r="DG12" i="3"/>
  <c r="DH12" i="3"/>
  <c r="DF27" i="3"/>
  <c r="DJ27" i="3" s="1"/>
  <c r="DG27" i="3"/>
  <c r="DH27" i="3"/>
  <c r="DI27" i="3"/>
  <c r="DI334" i="3"/>
  <c r="DH334" i="3"/>
  <c r="DF334" i="3"/>
  <c r="DG334" i="3"/>
  <c r="DJ334" i="3" s="1"/>
  <c r="DF105" i="3"/>
  <c r="DJ105" i="3" s="1"/>
  <c r="DG105" i="3"/>
  <c r="DI105" i="3"/>
  <c r="DH105" i="3"/>
  <c r="DF83" i="3"/>
  <c r="DJ83" i="3" s="1"/>
  <c r="DG83" i="3"/>
  <c r="DH83" i="3"/>
  <c r="DI83" i="3"/>
  <c r="DF114" i="3"/>
  <c r="DG114" i="3"/>
  <c r="DH114" i="3"/>
  <c r="DI114" i="3"/>
  <c r="DJ114" i="3" s="1"/>
  <c r="V28" i="1"/>
  <c r="DI4" i="3"/>
  <c r="DJ4" i="3" s="1"/>
  <c r="DF4" i="3"/>
  <c r="DG4" i="3"/>
  <c r="DH4" i="3"/>
  <c r="DG46" i="3"/>
  <c r="DH46" i="3"/>
  <c r="DI46" i="3"/>
  <c r="DF46" i="3"/>
  <c r="DJ46" i="3" s="1"/>
  <c r="DI415" i="3"/>
  <c r="DH415" i="3"/>
  <c r="DF415" i="3"/>
  <c r="DG415" i="3"/>
  <c r="DJ415" i="3" s="1"/>
  <c r="DF337" i="3"/>
  <c r="DG337" i="3"/>
  <c r="DH337" i="3"/>
  <c r="DI337" i="3"/>
  <c r="DJ337" i="3" s="1"/>
  <c r="DI324" i="3"/>
  <c r="DF324" i="3"/>
  <c r="DJ324" i="3" s="1"/>
  <c r="DG324" i="3"/>
  <c r="DH324" i="3"/>
  <c r="CY38" i="1"/>
  <c r="X38" i="1" s="1"/>
  <c r="T108" i="6" s="1"/>
  <c r="CZ38" i="1"/>
  <c r="Y38" i="1" s="1"/>
  <c r="V108" i="6" s="1"/>
  <c r="DG85" i="3"/>
  <c r="DH85" i="3"/>
  <c r="DF85" i="3"/>
  <c r="DI85" i="3"/>
  <c r="DJ85" i="3" s="1"/>
  <c r="DF438" i="3"/>
  <c r="DG438" i="3"/>
  <c r="DJ438" i="3" s="1"/>
  <c r="DH438" i="3"/>
  <c r="DI438" i="3"/>
  <c r="GM63" i="1"/>
  <c r="GN63" i="1"/>
  <c r="DG188" i="3"/>
  <c r="DJ188" i="3" s="1"/>
  <c r="DF188" i="3"/>
  <c r="DH188" i="3"/>
  <c r="DI188" i="3"/>
  <c r="DI222" i="3"/>
  <c r="DF222" i="3"/>
  <c r="DJ222" i="3" s="1"/>
  <c r="DG222" i="3"/>
  <c r="DH222" i="3"/>
  <c r="DG274" i="3"/>
  <c r="DF274" i="3"/>
  <c r="DH274" i="3"/>
  <c r="DI274" i="3"/>
  <c r="DJ274" i="3" s="1"/>
  <c r="DI318" i="3"/>
  <c r="DJ318" i="3" s="1"/>
  <c r="DF318" i="3"/>
  <c r="DG318" i="3"/>
  <c r="DH318" i="3"/>
  <c r="DG336" i="3"/>
  <c r="DI336" i="3"/>
  <c r="DH336" i="3"/>
  <c r="DF336" i="3"/>
  <c r="DJ336" i="3" s="1"/>
  <c r="DF61" i="3"/>
  <c r="DJ61" i="3" s="1"/>
  <c r="DG61" i="3"/>
  <c r="DI61" i="3"/>
  <c r="DH61" i="3"/>
  <c r="CY76" i="1"/>
  <c r="X76" i="1" s="1"/>
  <c r="T297" i="6" s="1"/>
  <c r="K294" i="6" s="1"/>
  <c r="CZ76" i="1"/>
  <c r="Y76" i="1" s="1"/>
  <c r="V297" i="6" s="1"/>
  <c r="K295" i="6" s="1"/>
  <c r="DF155" i="3"/>
  <c r="DG155" i="3"/>
  <c r="DH155" i="3"/>
  <c r="DI155" i="3"/>
  <c r="DJ155" i="3" s="1"/>
  <c r="DF175" i="3"/>
  <c r="DH175" i="3"/>
  <c r="DI175" i="3"/>
  <c r="DJ175" i="3" s="1"/>
  <c r="DG175" i="3"/>
  <c r="CZ51" i="1"/>
  <c r="Y51" i="1" s="1"/>
  <c r="V173" i="6" s="1"/>
  <c r="K179" i="6" s="1"/>
  <c r="CY51" i="1"/>
  <c r="X51" i="1" s="1"/>
  <c r="P82" i="1"/>
  <c r="DF56" i="3"/>
  <c r="DJ56" i="3" s="1"/>
  <c r="DG56" i="3"/>
  <c r="DH56" i="3"/>
  <c r="DI56" i="3"/>
  <c r="R47" i="1"/>
  <c r="DF317" i="3"/>
  <c r="DJ317" i="3" s="1"/>
  <c r="DH317" i="3"/>
  <c r="DI317" i="3"/>
  <c r="DG317" i="3"/>
  <c r="S82" i="1"/>
  <c r="CP104" i="1"/>
  <c r="O104" i="1" s="1"/>
  <c r="DI358" i="3"/>
  <c r="DF358" i="3"/>
  <c r="DG358" i="3"/>
  <c r="DJ358" i="3" s="1"/>
  <c r="DH358" i="3"/>
  <c r="DI375" i="3"/>
  <c r="DF375" i="3"/>
  <c r="DJ375" i="3" s="1"/>
  <c r="DG375" i="3"/>
  <c r="DH375" i="3"/>
  <c r="DH418" i="3"/>
  <c r="DI418" i="3"/>
  <c r="DG418" i="3"/>
  <c r="DF418" i="3"/>
  <c r="DJ418" i="3" s="1"/>
  <c r="CZ160" i="1"/>
  <c r="Y160" i="1" s="1"/>
  <c r="V694" i="6" s="1"/>
  <c r="K699" i="6" s="1"/>
  <c r="CY160" i="1"/>
  <c r="X160" i="1" s="1"/>
  <c r="T694" i="6" s="1"/>
  <c r="K698" i="6" s="1"/>
  <c r="DI330" i="3"/>
  <c r="DF330" i="3"/>
  <c r="DJ330" i="3" s="1"/>
  <c r="DG330" i="3"/>
  <c r="DH330" i="3"/>
  <c r="DF368" i="3"/>
  <c r="DJ368" i="3" s="1"/>
  <c r="DG368" i="3"/>
  <c r="DH368" i="3"/>
  <c r="DI368" i="3"/>
  <c r="DG262" i="3"/>
  <c r="DJ262" i="3" s="1"/>
  <c r="DH262" i="3"/>
  <c r="DI262" i="3"/>
  <c r="DF262" i="3"/>
  <c r="DF297" i="3"/>
  <c r="DJ297" i="3" s="1"/>
  <c r="DG297" i="3"/>
  <c r="DI297" i="3"/>
  <c r="DH297" i="3"/>
  <c r="DG292" i="3"/>
  <c r="DH292" i="3"/>
  <c r="DI292" i="3"/>
  <c r="DF292" i="3"/>
  <c r="DJ292" i="3" s="1"/>
  <c r="CP97" i="1"/>
  <c r="O97" i="1" s="1"/>
  <c r="Q108" i="1"/>
  <c r="K448" i="6" s="1"/>
  <c r="DI224" i="3"/>
  <c r="DJ224" i="3" s="1"/>
  <c r="DF224" i="3"/>
  <c r="DG224" i="3"/>
  <c r="DH224" i="3"/>
  <c r="GM71" i="1"/>
  <c r="CP94" i="1"/>
  <c r="O94" i="1" s="1"/>
  <c r="DF204" i="3"/>
  <c r="DJ204" i="3" s="1"/>
  <c r="DG204" i="3"/>
  <c r="DH204" i="3"/>
  <c r="DI204" i="3"/>
  <c r="V126" i="1"/>
  <c r="DF343" i="3"/>
  <c r="DG343" i="3"/>
  <c r="DH343" i="3"/>
  <c r="DI343" i="3"/>
  <c r="DJ343" i="3" s="1"/>
  <c r="GN144" i="1"/>
  <c r="Q142" i="1"/>
  <c r="CY176" i="1"/>
  <c r="X176" i="1" s="1"/>
  <c r="T775" i="6" s="1"/>
  <c r="CZ176" i="1"/>
  <c r="Y176" i="1" s="1"/>
  <c r="V775" i="6" s="1"/>
  <c r="DG432" i="3"/>
  <c r="DJ432" i="3" s="1"/>
  <c r="DH432" i="3"/>
  <c r="DF432" i="3"/>
  <c r="DI432" i="3"/>
  <c r="DH451" i="3"/>
  <c r="DI451" i="3"/>
  <c r="DG451" i="3"/>
  <c r="DF451" i="3"/>
  <c r="DJ451" i="3" s="1"/>
  <c r="AO22" i="1"/>
  <c r="AO208" i="1"/>
  <c r="F182" i="1"/>
  <c r="DF146" i="3"/>
  <c r="DG146" i="3"/>
  <c r="DI146" i="3"/>
  <c r="DJ146" i="3" s="1"/>
  <c r="DH146" i="3"/>
  <c r="DF126" i="3"/>
  <c r="DJ126" i="3" s="1"/>
  <c r="DG126" i="3"/>
  <c r="DI126" i="3"/>
  <c r="DH126" i="3"/>
  <c r="DF316" i="3"/>
  <c r="DG316" i="3"/>
  <c r="DJ316" i="3" s="1"/>
  <c r="DH316" i="3"/>
  <c r="DI316" i="3"/>
  <c r="DF7" i="3"/>
  <c r="DJ7" i="3" s="1"/>
  <c r="DG7" i="3"/>
  <c r="DH7" i="3"/>
  <c r="DI7" i="3"/>
  <c r="CP26" i="1"/>
  <c r="O26" i="1" s="1"/>
  <c r="CY43" i="1"/>
  <c r="X43" i="1" s="1"/>
  <c r="T130" i="6" s="1"/>
  <c r="K136" i="6" s="1"/>
  <c r="CZ43" i="1"/>
  <c r="Y43" i="1" s="1"/>
  <c r="V130" i="6" s="1"/>
  <c r="K137" i="6" s="1"/>
  <c r="DI443" i="3"/>
  <c r="DH443" i="3"/>
  <c r="DF443" i="3"/>
  <c r="DJ443" i="3" s="1"/>
  <c r="DG443" i="3"/>
  <c r="DG427" i="3"/>
  <c r="DH427" i="3"/>
  <c r="DF427" i="3"/>
  <c r="DJ427" i="3" s="1"/>
  <c r="DI427" i="3"/>
  <c r="DF87" i="3"/>
  <c r="DG87" i="3"/>
  <c r="DJ87" i="3" s="1"/>
  <c r="DH87" i="3"/>
  <c r="DI87" i="3"/>
  <c r="CP43" i="1"/>
  <c r="O43" i="1" s="1"/>
  <c r="DI192" i="3"/>
  <c r="DF192" i="3"/>
  <c r="DJ192" i="3" s="1"/>
  <c r="DG192" i="3"/>
  <c r="DH192" i="3"/>
  <c r="DF215" i="3"/>
  <c r="DH215" i="3"/>
  <c r="DG215" i="3"/>
  <c r="DJ215" i="3" s="1"/>
  <c r="DI215" i="3"/>
  <c r="DF276" i="3"/>
  <c r="DG276" i="3"/>
  <c r="DJ276" i="3" s="1"/>
  <c r="DH276" i="3"/>
  <c r="DI276" i="3"/>
  <c r="DG320" i="3"/>
  <c r="DF320" i="3"/>
  <c r="DH320" i="3"/>
  <c r="DI320" i="3"/>
  <c r="DJ320" i="3" s="1"/>
  <c r="DF454" i="3"/>
  <c r="DJ454" i="3" s="1"/>
  <c r="DG454" i="3"/>
  <c r="DH454" i="3"/>
  <c r="DI454" i="3"/>
  <c r="DG62" i="3"/>
  <c r="DH62" i="3"/>
  <c r="DI62" i="3"/>
  <c r="DF62" i="3"/>
  <c r="DJ62" i="3" s="1"/>
  <c r="DF142" i="3"/>
  <c r="DG142" i="3"/>
  <c r="DJ142" i="3" s="1"/>
  <c r="DH142" i="3"/>
  <c r="DI142" i="3"/>
  <c r="DF159" i="3"/>
  <c r="DJ159" i="3" s="1"/>
  <c r="DG159" i="3"/>
  <c r="DI159" i="3"/>
  <c r="DH159" i="3"/>
  <c r="GM84" i="1"/>
  <c r="GN84" i="1"/>
  <c r="DF183" i="3"/>
  <c r="DJ183" i="3" s="1"/>
  <c r="DH183" i="3"/>
  <c r="DI183" i="3"/>
  <c r="DG183" i="3"/>
  <c r="DF150" i="3"/>
  <c r="DJ150" i="3" s="1"/>
  <c r="DG150" i="3"/>
  <c r="DH150" i="3"/>
  <c r="DI150" i="3"/>
  <c r="DF51" i="3"/>
  <c r="DG51" i="3"/>
  <c r="DJ51" i="3" s="1"/>
  <c r="DH51" i="3"/>
  <c r="DI51" i="3"/>
  <c r="CY45" i="1"/>
  <c r="X45" i="1" s="1"/>
  <c r="CZ45" i="1"/>
  <c r="Y45" i="1" s="1"/>
  <c r="V143" i="6" s="1"/>
  <c r="K149" i="6" s="1"/>
  <c r="DH313" i="3"/>
  <c r="DI313" i="3"/>
  <c r="DJ313" i="3" s="1"/>
  <c r="DG313" i="3"/>
  <c r="DF313" i="3"/>
  <c r="GN64" i="1"/>
  <c r="GX82" i="1"/>
  <c r="GM140" i="1"/>
  <c r="GN140" i="1"/>
  <c r="DH360" i="3"/>
  <c r="DI360" i="3"/>
  <c r="DF360" i="3"/>
  <c r="DJ360" i="3" s="1"/>
  <c r="DG360" i="3"/>
  <c r="DG370" i="3"/>
  <c r="DH370" i="3"/>
  <c r="DI370" i="3"/>
  <c r="DJ370" i="3" s="1"/>
  <c r="DF370" i="3"/>
  <c r="DI416" i="3"/>
  <c r="DF416" i="3"/>
  <c r="DH416" i="3"/>
  <c r="DG416" i="3"/>
  <c r="DJ416" i="3" s="1"/>
  <c r="DF308" i="3"/>
  <c r="DH308" i="3"/>
  <c r="DI308" i="3"/>
  <c r="DJ308" i="3" s="1"/>
  <c r="DG308" i="3"/>
  <c r="DF329" i="3"/>
  <c r="DJ329" i="3" s="1"/>
  <c r="DG329" i="3"/>
  <c r="DH329" i="3"/>
  <c r="DI329" i="3"/>
  <c r="DF363" i="3"/>
  <c r="DG363" i="3"/>
  <c r="DJ363" i="3" s="1"/>
  <c r="DH363" i="3"/>
  <c r="DI363" i="3"/>
  <c r="GN73" i="1"/>
  <c r="GM73" i="1"/>
  <c r="CY100" i="1"/>
  <c r="X100" i="1" s="1"/>
  <c r="CZ100" i="1"/>
  <c r="Y100" i="1" s="1"/>
  <c r="V404" i="6" s="1"/>
  <c r="R126" i="1"/>
  <c r="S126" i="1"/>
  <c r="T126" i="1"/>
  <c r="DI270" i="3"/>
  <c r="DF270" i="3"/>
  <c r="DJ270" i="3" s="1"/>
  <c r="DH270" i="3"/>
  <c r="DG270" i="3"/>
  <c r="DG295" i="3"/>
  <c r="DH295" i="3"/>
  <c r="DI295" i="3"/>
  <c r="DF295" i="3"/>
  <c r="DJ295" i="3" s="1"/>
  <c r="DG290" i="3"/>
  <c r="DJ290" i="3" s="1"/>
  <c r="DH290" i="3"/>
  <c r="DI290" i="3"/>
  <c r="DF290" i="3"/>
  <c r="GM74" i="1"/>
  <c r="GN74" i="1"/>
  <c r="DH228" i="3"/>
  <c r="DI228" i="3"/>
  <c r="DF228" i="3"/>
  <c r="DG228" i="3"/>
  <c r="DJ228" i="3" s="1"/>
  <c r="DG202" i="3"/>
  <c r="DF202" i="3"/>
  <c r="DJ202" i="3" s="1"/>
  <c r="DH202" i="3"/>
  <c r="DI202" i="3"/>
  <c r="GN48" i="1"/>
  <c r="GM48" i="1"/>
  <c r="DI350" i="3"/>
  <c r="DG350" i="3"/>
  <c r="DF350" i="3"/>
  <c r="DJ350" i="3" s="1"/>
  <c r="DH350" i="3"/>
  <c r="GN141" i="1"/>
  <c r="GM141" i="1"/>
  <c r="GM168" i="1"/>
  <c r="GN168" i="1"/>
  <c r="GM128" i="1"/>
  <c r="GN128" i="1"/>
  <c r="CZ101" i="1"/>
  <c r="Y101" i="1" s="1"/>
  <c r="V406" i="6" s="1"/>
  <c r="GO127" i="1"/>
  <c r="GM127" i="1"/>
  <c r="P156" i="1"/>
  <c r="GM163" i="1"/>
  <c r="GN163" i="1"/>
  <c r="DI431" i="3"/>
  <c r="DF431" i="3"/>
  <c r="DG431" i="3"/>
  <c r="DJ431" i="3" s="1"/>
  <c r="DH431" i="3"/>
  <c r="DG449" i="3"/>
  <c r="DI449" i="3"/>
  <c r="DH449" i="3"/>
  <c r="DF449" i="3"/>
  <c r="DJ449" i="3" s="1"/>
  <c r="DF11" i="3"/>
  <c r="DJ11" i="3" s="1"/>
  <c r="DG11" i="3"/>
  <c r="DH11" i="3"/>
  <c r="DI11" i="3"/>
  <c r="DH355" i="3"/>
  <c r="DG355" i="3"/>
  <c r="DI355" i="3"/>
  <c r="DJ355" i="3" s="1"/>
  <c r="DF355" i="3"/>
  <c r="DH299" i="3"/>
  <c r="DF299" i="3"/>
  <c r="DJ299" i="3" s="1"/>
  <c r="DG299" i="3"/>
  <c r="DI299" i="3"/>
  <c r="DI364" i="3"/>
  <c r="DH364" i="3"/>
  <c r="DF364" i="3"/>
  <c r="DG364" i="3"/>
  <c r="DJ364" i="3" s="1"/>
  <c r="DF102" i="3"/>
  <c r="DG102" i="3"/>
  <c r="DH102" i="3"/>
  <c r="DI102" i="3"/>
  <c r="DJ102" i="3" s="1"/>
  <c r="DG79" i="3"/>
  <c r="DH79" i="3"/>
  <c r="DF79" i="3"/>
  <c r="DI79" i="3"/>
  <c r="DJ79" i="3" s="1"/>
  <c r="DG125" i="3"/>
  <c r="DJ125" i="3" s="1"/>
  <c r="DF125" i="3"/>
  <c r="DH125" i="3"/>
  <c r="DI125" i="3"/>
  <c r="CY31" i="1"/>
  <c r="X31" i="1" s="1"/>
  <c r="T71" i="6" s="1"/>
  <c r="K73" i="6" s="1"/>
  <c r="CZ31" i="1"/>
  <c r="Y31" i="1" s="1"/>
  <c r="V71" i="6" s="1"/>
  <c r="K74" i="6" s="1"/>
  <c r="DF5" i="3"/>
  <c r="DG5" i="3"/>
  <c r="DJ5" i="3" s="1"/>
  <c r="DH5" i="3"/>
  <c r="DI5" i="3"/>
  <c r="DF349" i="3"/>
  <c r="DJ349" i="3" s="1"/>
  <c r="DG349" i="3"/>
  <c r="DH349" i="3"/>
  <c r="DI349" i="3"/>
  <c r="DG429" i="3"/>
  <c r="DH429" i="3"/>
  <c r="DF429" i="3"/>
  <c r="DI429" i="3"/>
  <c r="DJ429" i="3" s="1"/>
  <c r="DI72" i="3"/>
  <c r="DJ72" i="3" s="1"/>
  <c r="DF72" i="3"/>
  <c r="DG72" i="3"/>
  <c r="DH72" i="3"/>
  <c r="DG86" i="3"/>
  <c r="DI86" i="3"/>
  <c r="DJ86" i="3" s="1"/>
  <c r="DF86" i="3"/>
  <c r="DH86" i="3"/>
  <c r="DG190" i="3"/>
  <c r="DF190" i="3"/>
  <c r="DJ190" i="3" s="1"/>
  <c r="DH190" i="3"/>
  <c r="DI190" i="3"/>
  <c r="DG214" i="3"/>
  <c r="DJ214" i="3" s="1"/>
  <c r="DH214" i="3"/>
  <c r="DF214" i="3"/>
  <c r="DI214" i="3"/>
  <c r="DG282" i="3"/>
  <c r="DF282" i="3"/>
  <c r="DJ282" i="3" s="1"/>
  <c r="DH282" i="3"/>
  <c r="DI282" i="3"/>
  <c r="DF322" i="3"/>
  <c r="DG322" i="3"/>
  <c r="DJ322" i="3" s="1"/>
  <c r="DH322" i="3"/>
  <c r="DI322" i="3"/>
  <c r="DF100" i="3"/>
  <c r="DG100" i="3"/>
  <c r="DH100" i="3"/>
  <c r="DI100" i="3"/>
  <c r="DJ100" i="3" s="1"/>
  <c r="GN77" i="1"/>
  <c r="GM77" i="1"/>
  <c r="DG145" i="3"/>
  <c r="DH145" i="3"/>
  <c r="DF145" i="3"/>
  <c r="DJ145" i="3" s="1"/>
  <c r="DI145" i="3"/>
  <c r="DG154" i="3"/>
  <c r="DH154" i="3"/>
  <c r="DF154" i="3"/>
  <c r="DI154" i="3"/>
  <c r="DJ154" i="3" s="1"/>
  <c r="CP31" i="1"/>
  <c r="O31" i="1" s="1"/>
  <c r="DG178" i="3"/>
  <c r="DI178" i="3"/>
  <c r="DF178" i="3"/>
  <c r="DJ178" i="3" s="1"/>
  <c r="DH178" i="3"/>
  <c r="GN58" i="1"/>
  <c r="GM58" i="1"/>
  <c r="W82" i="1"/>
  <c r="GN60" i="1"/>
  <c r="DF148" i="3"/>
  <c r="DI148" i="3"/>
  <c r="DG148" i="3"/>
  <c r="DJ148" i="3" s="1"/>
  <c r="DH148" i="3"/>
  <c r="DI450" i="3"/>
  <c r="DF450" i="3"/>
  <c r="DJ450" i="3" s="1"/>
  <c r="DG450" i="3"/>
  <c r="DH450" i="3"/>
  <c r="GN41" i="1"/>
  <c r="GM41" i="1"/>
  <c r="DG54" i="3"/>
  <c r="DH54" i="3"/>
  <c r="DI54" i="3"/>
  <c r="DF54" i="3"/>
  <c r="DJ54" i="3" s="1"/>
  <c r="GM76" i="1"/>
  <c r="GN76" i="1"/>
  <c r="GM88" i="1"/>
  <c r="GN88" i="1"/>
  <c r="DF357" i="3"/>
  <c r="DI357" i="3"/>
  <c r="DG357" i="3"/>
  <c r="DJ357" i="3" s="1"/>
  <c r="DH357" i="3"/>
  <c r="DH369" i="3"/>
  <c r="DG369" i="3"/>
  <c r="DF369" i="3"/>
  <c r="DI369" i="3"/>
  <c r="DJ369" i="3" s="1"/>
  <c r="DF414" i="3"/>
  <c r="DI414" i="3"/>
  <c r="DJ414" i="3" s="1"/>
  <c r="DH414" i="3"/>
  <c r="DG414" i="3"/>
  <c r="GM129" i="1"/>
  <c r="GN129" i="1"/>
  <c r="GM55" i="1"/>
  <c r="CZ103" i="1"/>
  <c r="Y103" i="1" s="1"/>
  <c r="V418" i="6" s="1"/>
  <c r="CY103" i="1"/>
  <c r="X103" i="1" s="1"/>
  <c r="DG312" i="3"/>
  <c r="DF312" i="3"/>
  <c r="DJ312" i="3" s="1"/>
  <c r="DH312" i="3"/>
  <c r="DI312" i="3"/>
  <c r="DF325" i="3"/>
  <c r="DG325" i="3"/>
  <c r="DH325" i="3"/>
  <c r="DI325" i="3"/>
  <c r="DJ325" i="3" s="1"/>
  <c r="DH365" i="3"/>
  <c r="DI365" i="3"/>
  <c r="DF365" i="3"/>
  <c r="DG365" i="3"/>
  <c r="DJ365" i="3" s="1"/>
  <c r="DI264" i="3"/>
  <c r="DF264" i="3"/>
  <c r="DJ264" i="3" s="1"/>
  <c r="DH264" i="3"/>
  <c r="DG264" i="3"/>
  <c r="DF293" i="3"/>
  <c r="DJ293" i="3" s="1"/>
  <c r="DG293" i="3"/>
  <c r="DH293" i="3"/>
  <c r="DI293" i="3"/>
  <c r="DG288" i="3"/>
  <c r="DJ288" i="3" s="1"/>
  <c r="DH288" i="3"/>
  <c r="DI288" i="3"/>
  <c r="DF288" i="3"/>
  <c r="S116" i="1"/>
  <c r="T116" i="1"/>
  <c r="U116" i="1"/>
  <c r="DF227" i="3"/>
  <c r="DH227" i="3"/>
  <c r="DI227" i="3"/>
  <c r="DG227" i="3"/>
  <c r="DJ227" i="3" s="1"/>
  <c r="U126" i="1"/>
  <c r="L520" i="6" s="1"/>
  <c r="Q520" i="6" s="1"/>
  <c r="GM78" i="1"/>
  <c r="CZ97" i="1"/>
  <c r="Y97" i="1" s="1"/>
  <c r="V393" i="6" s="1"/>
  <c r="CY97" i="1"/>
  <c r="X97" i="1" s="1"/>
  <c r="T393" i="6" s="1"/>
  <c r="DG201" i="3"/>
  <c r="DJ201" i="3" s="1"/>
  <c r="DH201" i="3"/>
  <c r="DF201" i="3"/>
  <c r="DI201" i="3"/>
  <c r="GM122" i="1"/>
  <c r="GN122" i="1"/>
  <c r="Q82" i="1"/>
  <c r="DH348" i="3"/>
  <c r="DI348" i="3"/>
  <c r="DG348" i="3"/>
  <c r="DF348" i="3"/>
  <c r="DJ348" i="3" s="1"/>
  <c r="GN115" i="1"/>
  <c r="GM157" i="1"/>
  <c r="GN157" i="1"/>
  <c r="CY148" i="1"/>
  <c r="X148" i="1" s="1"/>
  <c r="Q170" i="1"/>
  <c r="P170" i="1"/>
  <c r="K761" i="6" s="1"/>
  <c r="J763" i="6" s="1"/>
  <c r="P763" i="6" s="1"/>
  <c r="W170" i="1"/>
  <c r="DF446" i="3"/>
  <c r="DJ446" i="3" s="1"/>
  <c r="DI446" i="3"/>
  <c r="DG446" i="3"/>
  <c r="DH446" i="3"/>
  <c r="DI447" i="3"/>
  <c r="DH447" i="3"/>
  <c r="DG447" i="3"/>
  <c r="DF447" i="3"/>
  <c r="DJ447" i="3" s="1"/>
  <c r="GM171" i="1"/>
  <c r="DH136" i="3"/>
  <c r="DF136" i="3"/>
  <c r="DI136" i="3"/>
  <c r="DJ136" i="3" s="1"/>
  <c r="DG136" i="3"/>
  <c r="DF3" i="3"/>
  <c r="DG3" i="3"/>
  <c r="DH3" i="3"/>
  <c r="DI3" i="3"/>
  <c r="DJ3" i="3" s="1"/>
  <c r="DI439" i="3"/>
  <c r="DH439" i="3"/>
  <c r="DF439" i="3"/>
  <c r="DJ439" i="3" s="1"/>
  <c r="DG439" i="3"/>
  <c r="DF74" i="3"/>
  <c r="DG74" i="3"/>
  <c r="DJ74" i="3" s="1"/>
  <c r="DH74" i="3"/>
  <c r="DI74" i="3"/>
  <c r="DG109" i="3"/>
  <c r="DJ109" i="3" s="1"/>
  <c r="DF109" i="3"/>
  <c r="DI109" i="3"/>
  <c r="DH109" i="3"/>
  <c r="DG194" i="3"/>
  <c r="DF194" i="3"/>
  <c r="DJ194" i="3" s="1"/>
  <c r="DI194" i="3"/>
  <c r="DH194" i="3"/>
  <c r="DG219" i="3"/>
  <c r="DF219" i="3"/>
  <c r="DJ219" i="3" s="1"/>
  <c r="DH219" i="3"/>
  <c r="DI219" i="3"/>
  <c r="DF284" i="3"/>
  <c r="DJ284" i="3" s="1"/>
  <c r="DG284" i="3"/>
  <c r="DH284" i="3"/>
  <c r="DI284" i="3"/>
  <c r="DG321" i="3"/>
  <c r="DH321" i="3"/>
  <c r="DF321" i="3"/>
  <c r="DI321" i="3"/>
  <c r="DJ321" i="3" s="1"/>
  <c r="DI101" i="3"/>
  <c r="DG101" i="3"/>
  <c r="DF101" i="3"/>
  <c r="DJ101" i="3" s="1"/>
  <c r="DH101" i="3"/>
  <c r="DG143" i="3"/>
  <c r="DH143" i="3"/>
  <c r="DF143" i="3"/>
  <c r="DJ143" i="3" s="1"/>
  <c r="DI143" i="3"/>
  <c r="V44" i="1"/>
  <c r="Q44" i="1"/>
  <c r="DI147" i="3"/>
  <c r="DJ147" i="3" s="1"/>
  <c r="DF147" i="3"/>
  <c r="DG147" i="3"/>
  <c r="DH147" i="3"/>
  <c r="CP27" i="1"/>
  <c r="O27" i="1" s="1"/>
  <c r="K51" i="6" s="1"/>
  <c r="T44" i="1"/>
  <c r="GM99" i="1"/>
  <c r="GN99" i="1"/>
  <c r="DG425" i="3"/>
  <c r="DJ425" i="3" s="1"/>
  <c r="DH425" i="3"/>
  <c r="DI425" i="3"/>
  <c r="DF425" i="3"/>
  <c r="CZ104" i="1"/>
  <c r="Y104" i="1" s="1"/>
  <c r="V420" i="6" s="1"/>
  <c r="K426" i="6" s="1"/>
  <c r="CY104" i="1"/>
  <c r="X104" i="1" s="1"/>
  <c r="T420" i="6" s="1"/>
  <c r="K425" i="6" s="1"/>
  <c r="DI311" i="3"/>
  <c r="DH311" i="3"/>
  <c r="DF311" i="3"/>
  <c r="DG311" i="3"/>
  <c r="DJ311" i="3" s="1"/>
  <c r="DG328" i="3"/>
  <c r="DJ328" i="3" s="1"/>
  <c r="DH328" i="3"/>
  <c r="DI328" i="3"/>
  <c r="DF328" i="3"/>
  <c r="DI367" i="3"/>
  <c r="DH367" i="3"/>
  <c r="DF367" i="3"/>
  <c r="DJ367" i="3" s="1"/>
  <c r="DG367" i="3"/>
  <c r="GM113" i="1"/>
  <c r="GN113" i="1"/>
  <c r="S109" i="1"/>
  <c r="DG266" i="3"/>
  <c r="DF266" i="3"/>
  <c r="DJ266" i="3" s="1"/>
  <c r="DH266" i="3"/>
  <c r="DI266" i="3"/>
  <c r="DG289" i="3"/>
  <c r="DJ289" i="3" s="1"/>
  <c r="DH289" i="3"/>
  <c r="DF289" i="3"/>
  <c r="DI289" i="3"/>
  <c r="DI286" i="3"/>
  <c r="DJ286" i="3" s="1"/>
  <c r="DG286" i="3"/>
  <c r="DH286" i="3"/>
  <c r="DF286" i="3"/>
  <c r="DF230" i="3"/>
  <c r="DG230" i="3"/>
  <c r="DJ230" i="3" s="1"/>
  <c r="DH230" i="3"/>
  <c r="DI230" i="3"/>
  <c r="DG234" i="3"/>
  <c r="DI234" i="3"/>
  <c r="DH234" i="3"/>
  <c r="DF234" i="3"/>
  <c r="DJ234" i="3" s="1"/>
  <c r="DI200" i="3"/>
  <c r="DH200" i="3"/>
  <c r="DF200" i="3"/>
  <c r="DG200" i="3"/>
  <c r="DJ200" i="3" s="1"/>
  <c r="W126" i="1"/>
  <c r="DH346" i="3"/>
  <c r="DI346" i="3"/>
  <c r="DG346" i="3"/>
  <c r="DJ346" i="3" s="1"/>
  <c r="DF346" i="3"/>
  <c r="P116" i="1"/>
  <c r="GM165" i="1"/>
  <c r="GN165" i="1"/>
  <c r="CY145" i="1"/>
  <c r="X145" i="1" s="1"/>
  <c r="GM145" i="1" s="1"/>
  <c r="DF434" i="3"/>
  <c r="DG434" i="3"/>
  <c r="DJ434" i="3" s="1"/>
  <c r="DH434" i="3"/>
  <c r="DI434" i="3"/>
  <c r="DF440" i="3"/>
  <c r="DJ440" i="3" s="1"/>
  <c r="DG440" i="3"/>
  <c r="DH440" i="3"/>
  <c r="DI440" i="3"/>
  <c r="R170" i="1"/>
  <c r="DF24" i="3"/>
  <c r="DG24" i="3"/>
  <c r="DJ24" i="3" s="1"/>
  <c r="DH24" i="3"/>
  <c r="DI24" i="3"/>
  <c r="DF113" i="3"/>
  <c r="DH113" i="3"/>
  <c r="DG113" i="3"/>
  <c r="DI113" i="3"/>
  <c r="DJ113" i="3" s="1"/>
  <c r="DF263" i="3"/>
  <c r="DI263" i="3"/>
  <c r="DG263" i="3"/>
  <c r="DJ263" i="3" s="1"/>
  <c r="DH263" i="3"/>
  <c r="DG103" i="3"/>
  <c r="DF103" i="3"/>
  <c r="DH103" i="3"/>
  <c r="DI103" i="3"/>
  <c r="DJ103" i="3" s="1"/>
  <c r="DH57" i="3"/>
  <c r="DI57" i="3"/>
  <c r="DJ57" i="3" s="1"/>
  <c r="DF57" i="3"/>
  <c r="DG57" i="3"/>
  <c r="DF285" i="3"/>
  <c r="DJ285" i="3" s="1"/>
  <c r="DH285" i="3"/>
  <c r="DI285" i="3"/>
  <c r="DG285" i="3"/>
  <c r="DF42" i="3"/>
  <c r="DG42" i="3"/>
  <c r="DH42" i="3"/>
  <c r="DI42" i="3"/>
  <c r="DJ42" i="3" s="1"/>
  <c r="DH213" i="3"/>
  <c r="DI213" i="3"/>
  <c r="DJ213" i="3" s="1"/>
  <c r="DG213" i="3"/>
  <c r="DF213" i="3"/>
  <c r="DH291" i="3"/>
  <c r="DG291" i="3"/>
  <c r="DJ291" i="3" s="1"/>
  <c r="DI291" i="3"/>
  <c r="DF291" i="3"/>
  <c r="DH73" i="3"/>
  <c r="DI73" i="3"/>
  <c r="DF73" i="3"/>
  <c r="DG73" i="3"/>
  <c r="DJ73" i="3" s="1"/>
  <c r="DI326" i="3"/>
  <c r="DJ326" i="3" s="1"/>
  <c r="DF326" i="3"/>
  <c r="DG326" i="3"/>
  <c r="DH326" i="3"/>
  <c r="DI216" i="3"/>
  <c r="DG216" i="3"/>
  <c r="DH216" i="3"/>
  <c r="DF216" i="3"/>
  <c r="DJ216" i="3" s="1"/>
  <c r="GN30" i="1"/>
  <c r="CZ44" i="1"/>
  <c r="Y44" i="1" s="1"/>
  <c r="V140" i="6" s="1"/>
  <c r="CY44" i="1"/>
  <c r="X44" i="1" s="1"/>
  <c r="T140" i="6" s="1"/>
  <c r="DG149" i="3"/>
  <c r="DF149" i="3"/>
  <c r="DJ149" i="3" s="1"/>
  <c r="DH149" i="3"/>
  <c r="DI149" i="3"/>
  <c r="CY30" i="1"/>
  <c r="X30" i="1" s="1"/>
  <c r="GM70" i="1"/>
  <c r="GN70" i="1"/>
  <c r="R82" i="1"/>
  <c r="GN102" i="1"/>
  <c r="GM102" i="1"/>
  <c r="DG426" i="3"/>
  <c r="DH426" i="3"/>
  <c r="DF426" i="3"/>
  <c r="DJ426" i="3" s="1"/>
  <c r="DI426" i="3"/>
  <c r="GM87" i="1"/>
  <c r="GN87" i="1"/>
  <c r="GM68" i="1"/>
  <c r="DF309" i="3"/>
  <c r="DI309" i="3"/>
  <c r="DJ309" i="3" s="1"/>
  <c r="DH309" i="3"/>
  <c r="DG309" i="3"/>
  <c r="DG327" i="3"/>
  <c r="DJ327" i="3" s="1"/>
  <c r="DH327" i="3"/>
  <c r="DF327" i="3"/>
  <c r="DI327" i="3"/>
  <c r="DH361" i="3"/>
  <c r="DG361" i="3"/>
  <c r="DF361" i="3"/>
  <c r="DI361" i="3"/>
  <c r="DJ361" i="3" s="1"/>
  <c r="DF271" i="3"/>
  <c r="DJ271" i="3" s="1"/>
  <c r="DH271" i="3"/>
  <c r="DG271" i="3"/>
  <c r="DI271" i="3"/>
  <c r="DF287" i="3"/>
  <c r="DH287" i="3"/>
  <c r="DI287" i="3"/>
  <c r="DJ287" i="3" s="1"/>
  <c r="DG287" i="3"/>
  <c r="DG226" i="3"/>
  <c r="DJ226" i="3" s="1"/>
  <c r="DF226" i="3"/>
  <c r="DH226" i="3"/>
  <c r="DI226" i="3"/>
  <c r="DF341" i="3"/>
  <c r="DJ341" i="3" s="1"/>
  <c r="DI341" i="3"/>
  <c r="DG341" i="3"/>
  <c r="DH341" i="3"/>
  <c r="CZ86" i="1"/>
  <c r="Y86" i="1" s="1"/>
  <c r="DI203" i="3"/>
  <c r="DG203" i="3"/>
  <c r="DH203" i="3"/>
  <c r="DF203" i="3"/>
  <c r="DJ203" i="3" s="1"/>
  <c r="GN62" i="1"/>
  <c r="DG344" i="3"/>
  <c r="DI344" i="3"/>
  <c r="DJ344" i="3" s="1"/>
  <c r="DH344" i="3"/>
  <c r="DF344" i="3"/>
  <c r="GN120" i="1"/>
  <c r="GM120" i="1"/>
  <c r="BZ22" i="1"/>
  <c r="AQ178" i="1"/>
  <c r="Q116" i="1"/>
  <c r="R116" i="1"/>
  <c r="CZ130" i="1"/>
  <c r="Y130" i="1" s="1"/>
  <c r="GN149" i="1"/>
  <c r="GM149" i="1"/>
  <c r="GN125" i="1"/>
  <c r="W142" i="1"/>
  <c r="CP167" i="1"/>
  <c r="O167" i="1" s="1"/>
  <c r="K748" i="6" s="1"/>
  <c r="DF448" i="3"/>
  <c r="DJ448" i="3" s="1"/>
  <c r="DG448" i="3"/>
  <c r="DH448" i="3"/>
  <c r="DI448" i="3"/>
  <c r="DG435" i="3"/>
  <c r="DJ435" i="3" s="1"/>
  <c r="DI435" i="3"/>
  <c r="DF435" i="3"/>
  <c r="DH435" i="3"/>
  <c r="GM152" i="1"/>
  <c r="S170" i="1"/>
  <c r="DH339" i="3"/>
  <c r="DF339" i="3"/>
  <c r="DG339" i="3"/>
  <c r="DJ339" i="3" s="1"/>
  <c r="DI339" i="3"/>
  <c r="DF10" i="3"/>
  <c r="DG10" i="3"/>
  <c r="DJ10" i="3" s="1"/>
  <c r="DH10" i="3"/>
  <c r="DI10" i="3"/>
  <c r="DF122" i="3"/>
  <c r="DG122" i="3"/>
  <c r="DH122" i="3"/>
  <c r="DI122" i="3"/>
  <c r="DJ122" i="3" s="1"/>
  <c r="DI187" i="3"/>
  <c r="DH187" i="3"/>
  <c r="DF187" i="3"/>
  <c r="DG187" i="3"/>
  <c r="DJ187" i="3" s="1"/>
  <c r="DF193" i="3"/>
  <c r="DJ193" i="3" s="1"/>
  <c r="DG193" i="3"/>
  <c r="DH193" i="3"/>
  <c r="DI193" i="3"/>
  <c r="DH1" i="3"/>
  <c r="DI1" i="3"/>
  <c r="DJ1" i="3" s="1"/>
  <c r="DF1" i="3"/>
  <c r="DG1" i="3"/>
  <c r="GM25" i="1"/>
  <c r="GN25" i="1"/>
  <c r="GM38" i="1"/>
  <c r="GN38" i="1"/>
  <c r="GM67" i="1"/>
  <c r="GN67" i="1"/>
  <c r="GX44" i="1"/>
  <c r="CZ72" i="1"/>
  <c r="Y72" i="1" s="1"/>
  <c r="V272" i="6" s="1"/>
  <c r="K277" i="6" s="1"/>
  <c r="CY72" i="1"/>
  <c r="X72" i="1" s="1"/>
  <c r="T272" i="6" s="1"/>
  <c r="K276" i="6" s="1"/>
  <c r="CP72" i="1"/>
  <c r="O72" i="1" s="1"/>
  <c r="DG354" i="3"/>
  <c r="DF354" i="3"/>
  <c r="DH354" i="3"/>
  <c r="DI354" i="3"/>
  <c r="DJ354" i="3" s="1"/>
  <c r="BB22" i="1"/>
  <c r="F191" i="1"/>
  <c r="BB208" i="1"/>
  <c r="DH424" i="3"/>
  <c r="DI424" i="3"/>
  <c r="DG424" i="3"/>
  <c r="DJ424" i="3" s="1"/>
  <c r="DF424" i="3"/>
  <c r="P109" i="1"/>
  <c r="K455" i="6" s="1"/>
  <c r="J457" i="6" s="1"/>
  <c r="P457" i="6" s="1"/>
  <c r="Q109" i="1"/>
  <c r="R109" i="1"/>
  <c r="GM123" i="1"/>
  <c r="GN123" i="1"/>
  <c r="DH273" i="3"/>
  <c r="DF273" i="3"/>
  <c r="DJ273" i="3" s="1"/>
  <c r="DG273" i="3"/>
  <c r="DI273" i="3"/>
  <c r="DF298" i="3"/>
  <c r="DJ298" i="3" s="1"/>
  <c r="DG298" i="3"/>
  <c r="DH298" i="3"/>
  <c r="DI298" i="3"/>
  <c r="W44" i="1"/>
  <c r="DG225" i="3"/>
  <c r="DH225" i="3"/>
  <c r="DI225" i="3"/>
  <c r="DJ225" i="3" s="1"/>
  <c r="DF225" i="3"/>
  <c r="DI342" i="3"/>
  <c r="DH342" i="3"/>
  <c r="DG342" i="3"/>
  <c r="DF342" i="3"/>
  <c r="DJ342" i="3" s="1"/>
  <c r="GM124" i="1"/>
  <c r="GN124" i="1"/>
  <c r="V109" i="1"/>
  <c r="GM111" i="1"/>
  <c r="GN111" i="1"/>
  <c r="GN121" i="1"/>
  <c r="GM121" i="1"/>
  <c r="GM117" i="1"/>
  <c r="CY119" i="1"/>
  <c r="X119" i="1" s="1"/>
  <c r="W109" i="1"/>
  <c r="GM176" i="1"/>
  <c r="GN176" i="1"/>
  <c r="CY169" i="1"/>
  <c r="X169" i="1" s="1"/>
  <c r="CZ169" i="1"/>
  <c r="Y169" i="1" s="1"/>
  <c r="V752" i="6" s="1"/>
  <c r="K758" i="6" s="1"/>
  <c r="DG433" i="3"/>
  <c r="DJ433" i="3" s="1"/>
  <c r="DH433" i="3"/>
  <c r="DF433" i="3"/>
  <c r="DI433" i="3"/>
  <c r="DF430" i="3"/>
  <c r="DG430" i="3"/>
  <c r="DJ430" i="3" s="1"/>
  <c r="DH430" i="3"/>
  <c r="DI430" i="3"/>
  <c r="V170" i="1"/>
  <c r="DH104" i="3"/>
  <c r="DG104" i="3"/>
  <c r="DJ104" i="3" s="1"/>
  <c r="DI104" i="3"/>
  <c r="DF104" i="3"/>
  <c r="DF67" i="3"/>
  <c r="DJ67" i="3" s="1"/>
  <c r="DI67" i="3"/>
  <c r="DG67" i="3"/>
  <c r="DH67" i="3"/>
  <c r="DF13" i="3"/>
  <c r="DJ13" i="3" s="1"/>
  <c r="DG13" i="3"/>
  <c r="DH13" i="3"/>
  <c r="DI13" i="3"/>
  <c r="DH112" i="3"/>
  <c r="DG112" i="3"/>
  <c r="DI112" i="3"/>
  <c r="DF112" i="3"/>
  <c r="DJ112" i="3" s="1"/>
  <c r="DH144" i="3"/>
  <c r="DI144" i="3"/>
  <c r="DG144" i="3"/>
  <c r="DF144" i="3"/>
  <c r="DJ144" i="3" s="1"/>
  <c r="DF158" i="3"/>
  <c r="DJ158" i="3" s="1"/>
  <c r="DH158" i="3"/>
  <c r="DI158" i="3"/>
  <c r="DG158" i="3"/>
  <c r="DH181" i="3"/>
  <c r="DF181" i="3"/>
  <c r="DJ181" i="3" s="1"/>
  <c r="DG181" i="3"/>
  <c r="DI181" i="3"/>
  <c r="DF121" i="3"/>
  <c r="DG121" i="3"/>
  <c r="DH121" i="3"/>
  <c r="DI121" i="3"/>
  <c r="DJ121" i="3" s="1"/>
  <c r="DI127" i="3"/>
  <c r="DG127" i="3"/>
  <c r="DH127" i="3"/>
  <c r="DF127" i="3"/>
  <c r="DJ127" i="3" s="1"/>
  <c r="DF50" i="3"/>
  <c r="DG50" i="3"/>
  <c r="DH50" i="3"/>
  <c r="DI50" i="3"/>
  <c r="DJ50" i="3" s="1"/>
  <c r="DF124" i="3"/>
  <c r="DG124" i="3"/>
  <c r="DJ124" i="3" s="1"/>
  <c r="DI124" i="3"/>
  <c r="DH124" i="3"/>
  <c r="DF153" i="3"/>
  <c r="DH153" i="3"/>
  <c r="DI153" i="3"/>
  <c r="DG153" i="3"/>
  <c r="DJ153" i="3" s="1"/>
  <c r="DI372" i="3"/>
  <c r="DH372" i="3"/>
  <c r="DF372" i="3"/>
  <c r="DG372" i="3"/>
  <c r="DJ372" i="3" s="1"/>
  <c r="DI272" i="3"/>
  <c r="DF272" i="3"/>
  <c r="DJ272" i="3" s="1"/>
  <c r="DH272" i="3"/>
  <c r="DG272" i="3"/>
  <c r="DG110" i="3"/>
  <c r="DH110" i="3"/>
  <c r="DI110" i="3"/>
  <c r="DF110" i="3"/>
  <c r="DJ110" i="3" s="1"/>
  <c r="DH49" i="3"/>
  <c r="DI49" i="3"/>
  <c r="DJ49" i="3" s="1"/>
  <c r="DF49" i="3"/>
  <c r="DG49" i="3"/>
  <c r="DI107" i="3"/>
  <c r="DJ107" i="3" s="1"/>
  <c r="DF107" i="3"/>
  <c r="DH107" i="3"/>
  <c r="DG107" i="3"/>
  <c r="DF301" i="3"/>
  <c r="DJ301" i="3" s="1"/>
  <c r="DG301" i="3"/>
  <c r="DI301" i="3"/>
  <c r="DH301" i="3"/>
  <c r="DG70" i="3"/>
  <c r="DF70" i="3"/>
  <c r="DJ70" i="3" s="1"/>
  <c r="DH70" i="3"/>
  <c r="DI70" i="3"/>
  <c r="DF333" i="3"/>
  <c r="DG333" i="3"/>
  <c r="DJ333" i="3" s="1"/>
  <c r="DH333" i="3"/>
  <c r="DI333" i="3"/>
  <c r="DF371" i="3"/>
  <c r="DG371" i="3"/>
  <c r="DJ371" i="3" s="1"/>
  <c r="DH371" i="3"/>
  <c r="DI371" i="3"/>
  <c r="DH229" i="3"/>
  <c r="DF229" i="3"/>
  <c r="DG229" i="3"/>
  <c r="DJ229" i="3" s="1"/>
  <c r="DI229" i="3"/>
  <c r="DH267" i="3"/>
  <c r="DF267" i="3"/>
  <c r="DJ267" i="3" s="1"/>
  <c r="DI267" i="3"/>
  <c r="DG267" i="3"/>
  <c r="DI340" i="3"/>
  <c r="DH340" i="3"/>
  <c r="DF340" i="3"/>
  <c r="DG340" i="3"/>
  <c r="DJ340" i="3" s="1"/>
  <c r="DF130" i="3"/>
  <c r="DJ130" i="3" s="1"/>
  <c r="DI130" i="3"/>
  <c r="DH130" i="3"/>
  <c r="DG130" i="3"/>
  <c r="DF306" i="3"/>
  <c r="DG306" i="3"/>
  <c r="DJ306" i="3" s="1"/>
  <c r="DH306" i="3"/>
  <c r="DI306" i="3"/>
  <c r="GX27" i="1"/>
  <c r="R27" i="1"/>
  <c r="CY27" i="1" s="1"/>
  <c r="X27" i="1" s="1"/>
  <c r="T51" i="6" s="1"/>
  <c r="K48" i="6" s="1"/>
  <c r="DI423" i="3"/>
  <c r="DG423" i="3"/>
  <c r="DJ423" i="3" s="1"/>
  <c r="DH423" i="3"/>
  <c r="DF423" i="3"/>
  <c r="DF75" i="3"/>
  <c r="DJ75" i="3" s="1"/>
  <c r="DH75" i="3"/>
  <c r="DI75" i="3"/>
  <c r="DG75" i="3"/>
  <c r="GM29" i="1"/>
  <c r="DF195" i="3"/>
  <c r="DJ195" i="3" s="1"/>
  <c r="DG195" i="3"/>
  <c r="DH195" i="3"/>
  <c r="DI195" i="3"/>
  <c r="DG281" i="3"/>
  <c r="DJ281" i="3" s="1"/>
  <c r="DF281" i="3"/>
  <c r="DI281" i="3"/>
  <c r="DH281" i="3"/>
  <c r="DI332" i="3"/>
  <c r="DJ332" i="3" s="1"/>
  <c r="DF332" i="3"/>
  <c r="DG332" i="3"/>
  <c r="DH332" i="3"/>
  <c r="Q46" i="1"/>
  <c r="P46" i="1"/>
  <c r="S46" i="1"/>
  <c r="GX46" i="1"/>
  <c r="DF138" i="3"/>
  <c r="DJ138" i="3" s="1"/>
  <c r="DG138" i="3"/>
  <c r="DH138" i="3"/>
  <c r="DI138" i="3"/>
  <c r="DF151" i="3"/>
  <c r="DG151" i="3"/>
  <c r="DH151" i="3"/>
  <c r="DI151" i="3"/>
  <c r="DJ151" i="3" s="1"/>
  <c r="DF179" i="3"/>
  <c r="DJ179" i="3" s="1"/>
  <c r="DG179" i="3"/>
  <c r="DI179" i="3"/>
  <c r="DH179" i="3"/>
  <c r="DG119" i="3"/>
  <c r="DH119" i="3"/>
  <c r="DI119" i="3"/>
  <c r="DJ119" i="3" s="1"/>
  <c r="DF119" i="3"/>
  <c r="V27" i="1"/>
  <c r="GM35" i="1"/>
  <c r="GN35" i="1"/>
  <c r="DG55" i="3"/>
  <c r="DH55" i="3"/>
  <c r="DI55" i="3"/>
  <c r="DF55" i="3"/>
  <c r="DJ55" i="3" s="1"/>
  <c r="V46" i="1"/>
  <c r="S32" i="1"/>
  <c r="CP56" i="1"/>
  <c r="O56" i="1" s="1"/>
  <c r="K209" i="6" s="1"/>
  <c r="GN75" i="1"/>
  <c r="GM75" i="1"/>
  <c r="GM118" i="1"/>
  <c r="GN118" i="1"/>
  <c r="CY167" i="1"/>
  <c r="X167" i="1" s="1"/>
  <c r="T748" i="6" s="1"/>
  <c r="K745" i="6" s="1"/>
  <c r="CZ167" i="1"/>
  <c r="Y167" i="1" s="1"/>
  <c r="V748" i="6" s="1"/>
  <c r="K746" i="6" s="1"/>
  <c r="DI359" i="3"/>
  <c r="DF359" i="3"/>
  <c r="DJ359" i="3" s="1"/>
  <c r="DG359" i="3"/>
  <c r="DH359" i="3"/>
  <c r="DG374" i="3"/>
  <c r="DF374" i="3"/>
  <c r="DJ374" i="3" s="1"/>
  <c r="DH374" i="3"/>
  <c r="DI374" i="3"/>
  <c r="DF413" i="3"/>
  <c r="DG413" i="3"/>
  <c r="DI413" i="3"/>
  <c r="DJ413" i="3" s="1"/>
  <c r="DH413" i="3"/>
  <c r="DF422" i="3"/>
  <c r="DH422" i="3"/>
  <c r="DI422" i="3"/>
  <c r="DG422" i="3"/>
  <c r="DJ422" i="3" s="1"/>
  <c r="CZ95" i="1"/>
  <c r="Y95" i="1" s="1"/>
  <c r="V383" i="6" s="1"/>
  <c r="CY95" i="1"/>
  <c r="X95" i="1" s="1"/>
  <c r="U156" i="1"/>
  <c r="R156" i="1"/>
  <c r="S156" i="1"/>
  <c r="T156" i="1"/>
  <c r="CY98" i="1"/>
  <c r="X98" i="1" s="1"/>
  <c r="T395" i="6" s="1"/>
  <c r="K399" i="6" s="1"/>
  <c r="DG268" i="3"/>
  <c r="DH268" i="3"/>
  <c r="DI268" i="3"/>
  <c r="DF268" i="3"/>
  <c r="DJ268" i="3" s="1"/>
  <c r="DI302" i="3"/>
  <c r="DF302" i="3"/>
  <c r="DJ302" i="3" s="1"/>
  <c r="DG302" i="3"/>
  <c r="DH302" i="3"/>
  <c r="DG296" i="3"/>
  <c r="DF296" i="3"/>
  <c r="DJ296" i="3" s="1"/>
  <c r="DH296" i="3"/>
  <c r="DI296" i="3"/>
  <c r="CY49" i="1"/>
  <c r="X49" i="1" s="1"/>
  <c r="GM90" i="1"/>
  <c r="CX210" i="3"/>
  <c r="CX206" i="3"/>
  <c r="CX208" i="3"/>
  <c r="U108" i="1"/>
  <c r="W108" i="1"/>
  <c r="DF233" i="3"/>
  <c r="DJ233" i="3" s="1"/>
  <c r="DG233" i="3"/>
  <c r="DH233" i="3"/>
  <c r="DI233" i="3"/>
  <c r="V116" i="1"/>
  <c r="CY93" i="1"/>
  <c r="X93" i="1" s="1"/>
  <c r="P110" i="1"/>
  <c r="K458" i="6" s="1"/>
  <c r="J460" i="6" s="1"/>
  <c r="P460" i="6" s="1"/>
  <c r="R110" i="1"/>
  <c r="S110" i="1"/>
  <c r="GX110" i="1"/>
  <c r="R108" i="1"/>
  <c r="CZ108" i="1" s="1"/>
  <c r="Y108" i="1" s="1"/>
  <c r="V446" i="6" s="1"/>
  <c r="K452" i="6" s="1"/>
  <c r="GM69" i="1"/>
  <c r="W110" i="1"/>
  <c r="GN132" i="1"/>
  <c r="GM132" i="1"/>
  <c r="GX126" i="1"/>
  <c r="R142" i="1"/>
  <c r="CY142" i="1" s="1"/>
  <c r="X142" i="1" s="1"/>
  <c r="T610" i="6" s="1"/>
  <c r="GX116" i="1"/>
  <c r="GM137" i="1"/>
  <c r="GN137" i="1"/>
  <c r="T170" i="1"/>
  <c r="AU22" i="1"/>
  <c r="AU208" i="1"/>
  <c r="F197" i="1"/>
  <c r="P126" i="1"/>
  <c r="T108" i="1"/>
  <c r="Q156" i="1"/>
  <c r="BC22" i="1"/>
  <c r="F194" i="1"/>
  <c r="BC208" i="1"/>
  <c r="DF442" i="3"/>
  <c r="DJ442" i="3" s="1"/>
  <c r="DG442" i="3"/>
  <c r="DH442" i="3"/>
  <c r="DI442" i="3"/>
  <c r="DG441" i="3"/>
  <c r="DI441" i="3"/>
  <c r="DH441" i="3"/>
  <c r="DF441" i="3"/>
  <c r="DJ441" i="3" s="1"/>
  <c r="AP22" i="1"/>
  <c r="AP208" i="1"/>
  <c r="F187" i="1"/>
  <c r="G16" i="2" s="1"/>
  <c r="G18" i="2" s="1"/>
  <c r="DI76" i="3"/>
  <c r="DF76" i="3"/>
  <c r="DJ76" i="3" s="1"/>
  <c r="DG76" i="3"/>
  <c r="DH76" i="3"/>
  <c r="DG22" i="3"/>
  <c r="DJ22" i="3" s="1"/>
  <c r="DH22" i="3"/>
  <c r="DI22" i="3"/>
  <c r="DF22" i="3"/>
  <c r="DH157" i="3"/>
  <c r="DI157" i="3"/>
  <c r="DG157" i="3"/>
  <c r="DJ157" i="3" s="1"/>
  <c r="DF157" i="3"/>
  <c r="DH331" i="3"/>
  <c r="DF331" i="3"/>
  <c r="DG331" i="3"/>
  <c r="DI331" i="3"/>
  <c r="DJ331" i="3" s="1"/>
  <c r="DF231" i="3"/>
  <c r="DJ231" i="3" s="1"/>
  <c r="DG231" i="3"/>
  <c r="DH231" i="3"/>
  <c r="DI231" i="3"/>
  <c r="DI52" i="3"/>
  <c r="DF52" i="3"/>
  <c r="DH52" i="3"/>
  <c r="DG52" i="3"/>
  <c r="DJ52" i="3" s="1"/>
  <c r="DI131" i="3"/>
  <c r="DH131" i="3"/>
  <c r="DF131" i="3"/>
  <c r="DJ131" i="3" s="1"/>
  <c r="DG131" i="3"/>
  <c r="DI160" i="3"/>
  <c r="DF160" i="3"/>
  <c r="DJ160" i="3" s="1"/>
  <c r="DG160" i="3"/>
  <c r="DH160" i="3"/>
  <c r="DH428" i="3"/>
  <c r="DG428" i="3"/>
  <c r="DI428" i="3"/>
  <c r="DJ428" i="3" s="1"/>
  <c r="DF428" i="3"/>
  <c r="DG134" i="3"/>
  <c r="DH134" i="3"/>
  <c r="DI134" i="3"/>
  <c r="DF134" i="3"/>
  <c r="DJ134" i="3" s="1"/>
  <c r="DI362" i="3"/>
  <c r="DJ362" i="3" s="1"/>
  <c r="DF362" i="3"/>
  <c r="DG362" i="3"/>
  <c r="DH362" i="3"/>
  <c r="DH419" i="3"/>
  <c r="DI419" i="3"/>
  <c r="DF419" i="3"/>
  <c r="DJ419" i="3" s="1"/>
  <c r="DG419" i="3"/>
  <c r="DI185" i="3"/>
  <c r="DJ185" i="3" s="1"/>
  <c r="DH185" i="3"/>
  <c r="DF185" i="3"/>
  <c r="DG185" i="3"/>
  <c r="U82" i="1"/>
  <c r="V82" i="1"/>
  <c r="DI69" i="3"/>
  <c r="DG69" i="3"/>
  <c r="DH69" i="3"/>
  <c r="DF69" i="3"/>
  <c r="DJ69" i="3" s="1"/>
  <c r="DF207" i="3"/>
  <c r="DI207" i="3"/>
  <c r="DG207" i="3"/>
  <c r="DJ207" i="3" s="1"/>
  <c r="DH207" i="3"/>
  <c r="DI28" i="3"/>
  <c r="DF28" i="3"/>
  <c r="DJ28" i="3" s="1"/>
  <c r="DG28" i="3"/>
  <c r="DH28" i="3"/>
  <c r="DF223" i="3"/>
  <c r="DJ223" i="3" s="1"/>
  <c r="DG223" i="3"/>
  <c r="DH223" i="3"/>
  <c r="DI223" i="3"/>
  <c r="DH452" i="3"/>
  <c r="DF452" i="3"/>
  <c r="DJ452" i="3" s="1"/>
  <c r="DG452" i="3"/>
  <c r="DI452" i="3"/>
  <c r="DH421" i="3"/>
  <c r="DI421" i="3"/>
  <c r="DJ421" i="3" s="1"/>
  <c r="DF421" i="3"/>
  <c r="DG421" i="3"/>
  <c r="DG14" i="3"/>
  <c r="DH14" i="3"/>
  <c r="DI14" i="3"/>
  <c r="DJ14" i="3" s="1"/>
  <c r="DF14" i="3"/>
  <c r="DH77" i="3"/>
  <c r="DI77" i="3"/>
  <c r="DF77" i="3"/>
  <c r="DJ77" i="3" s="1"/>
  <c r="DG77" i="3"/>
  <c r="DF26" i="3"/>
  <c r="DJ26" i="3" s="1"/>
  <c r="DG26" i="3"/>
  <c r="DH26" i="3"/>
  <c r="DI26" i="3"/>
  <c r="DI168" i="3"/>
  <c r="DJ168" i="3" s="1"/>
  <c r="DH168" i="3"/>
  <c r="DF168" i="3"/>
  <c r="DG168" i="3"/>
  <c r="DH182" i="3"/>
  <c r="DF182" i="3"/>
  <c r="DJ182" i="3" s="1"/>
  <c r="DG182" i="3"/>
  <c r="DI182" i="3"/>
  <c r="DF278" i="3"/>
  <c r="DG278" i="3"/>
  <c r="DJ278" i="3" s="1"/>
  <c r="DH278" i="3"/>
  <c r="DI278" i="3"/>
  <c r="DF303" i="3"/>
  <c r="DG303" i="3"/>
  <c r="DI303" i="3"/>
  <c r="DJ303" i="3" s="1"/>
  <c r="DH303" i="3"/>
  <c r="DF64" i="3"/>
  <c r="DG64" i="3"/>
  <c r="DH64" i="3"/>
  <c r="DI64" i="3"/>
  <c r="DJ64" i="3" s="1"/>
  <c r="DF47" i="3"/>
  <c r="DJ47" i="3" s="1"/>
  <c r="DG47" i="3"/>
  <c r="DH47" i="3"/>
  <c r="DI47" i="3"/>
  <c r="DI176" i="3"/>
  <c r="DH176" i="3"/>
  <c r="DF176" i="3"/>
  <c r="DG176" i="3"/>
  <c r="DJ176" i="3" s="1"/>
  <c r="DI345" i="3"/>
  <c r="DF345" i="3"/>
  <c r="DG345" i="3"/>
  <c r="DJ345" i="3" s="1"/>
  <c r="DH345" i="3"/>
  <c r="CY28" i="1"/>
  <c r="X28" i="1" s="1"/>
  <c r="CZ28" i="1"/>
  <c r="Y28" i="1" s="1"/>
  <c r="V53" i="6" s="1"/>
  <c r="DF45" i="3"/>
  <c r="DJ45" i="3" s="1"/>
  <c r="DG45" i="3"/>
  <c r="DH45" i="3"/>
  <c r="DI45" i="3"/>
  <c r="CY36" i="1"/>
  <c r="X36" i="1" s="1"/>
  <c r="CZ36" i="1"/>
  <c r="Y36" i="1" s="1"/>
  <c r="V96" i="6" s="1"/>
  <c r="GX32" i="1"/>
  <c r="DG186" i="3"/>
  <c r="DH186" i="3"/>
  <c r="DF186" i="3"/>
  <c r="DI186" i="3"/>
  <c r="DJ186" i="3" s="1"/>
  <c r="DH217" i="3"/>
  <c r="DF217" i="3"/>
  <c r="DJ217" i="3" s="1"/>
  <c r="DG217" i="3"/>
  <c r="DI217" i="3"/>
  <c r="DF335" i="3"/>
  <c r="DJ335" i="3" s="1"/>
  <c r="DG335" i="3"/>
  <c r="DH335" i="3"/>
  <c r="DI335" i="3"/>
  <c r="S47" i="1"/>
  <c r="GX47" i="1"/>
  <c r="T47" i="1"/>
  <c r="AG178" i="1" s="1"/>
  <c r="DI139" i="3"/>
  <c r="DG139" i="3"/>
  <c r="DH139" i="3"/>
  <c r="DF139" i="3"/>
  <c r="DJ139" i="3" s="1"/>
  <c r="DI152" i="3"/>
  <c r="DJ152" i="3" s="1"/>
  <c r="DG152" i="3"/>
  <c r="DH152" i="3"/>
  <c r="DF152" i="3"/>
  <c r="CY52" i="1"/>
  <c r="X52" i="1" s="1"/>
  <c r="CZ52" i="1"/>
  <c r="Y52" i="1" s="1"/>
  <c r="V182" i="6" s="1"/>
  <c r="K188" i="6" s="1"/>
  <c r="DI184" i="3"/>
  <c r="DG184" i="3"/>
  <c r="DF184" i="3"/>
  <c r="DJ184" i="3" s="1"/>
  <c r="DH184" i="3"/>
  <c r="DF118" i="3"/>
  <c r="DG118" i="3"/>
  <c r="DH118" i="3"/>
  <c r="DI118" i="3"/>
  <c r="DJ118" i="3" s="1"/>
  <c r="Q47" i="1"/>
  <c r="CP47" i="1" s="1"/>
  <c r="O47" i="1" s="1"/>
  <c r="CP92" i="1"/>
  <c r="O92" i="1" s="1"/>
  <c r="DF53" i="3"/>
  <c r="DG53" i="3"/>
  <c r="DJ53" i="3" s="1"/>
  <c r="DI53" i="3"/>
  <c r="DH53" i="3"/>
  <c r="W46" i="1"/>
  <c r="GN85" i="1"/>
  <c r="GM85" i="1"/>
  <c r="DF314" i="3"/>
  <c r="DG314" i="3"/>
  <c r="DH314" i="3"/>
  <c r="DI314" i="3"/>
  <c r="DJ314" i="3" s="1"/>
  <c r="DG356" i="3"/>
  <c r="DJ356" i="3" s="1"/>
  <c r="DF356" i="3"/>
  <c r="DH356" i="3"/>
  <c r="DI356" i="3"/>
  <c r="DF373" i="3"/>
  <c r="DJ373" i="3" s="1"/>
  <c r="DG373" i="3"/>
  <c r="DH373" i="3"/>
  <c r="DI373" i="3"/>
  <c r="DG417" i="3"/>
  <c r="DJ417" i="3" s="1"/>
  <c r="DI417" i="3"/>
  <c r="DF417" i="3"/>
  <c r="DH417" i="3"/>
  <c r="GN54" i="1"/>
  <c r="GM54" i="1"/>
  <c r="DG366" i="3"/>
  <c r="DJ366" i="3" s="1"/>
  <c r="DF366" i="3"/>
  <c r="DH366" i="3"/>
  <c r="DI366" i="3"/>
  <c r="GN90" i="1"/>
  <c r="DF260" i="3"/>
  <c r="DG260" i="3"/>
  <c r="DH260" i="3"/>
  <c r="DI260" i="3"/>
  <c r="DJ260" i="3" s="1"/>
  <c r="DF300" i="3"/>
  <c r="DJ300" i="3" s="1"/>
  <c r="DG300" i="3"/>
  <c r="DH300" i="3"/>
  <c r="DI300" i="3"/>
  <c r="DI294" i="3"/>
  <c r="DF294" i="3"/>
  <c r="DJ294" i="3" s="1"/>
  <c r="DG294" i="3"/>
  <c r="DH294" i="3"/>
  <c r="GM91" i="1"/>
  <c r="GN91" i="1"/>
  <c r="DI232" i="3"/>
  <c r="DF232" i="3"/>
  <c r="DJ232" i="3" s="1"/>
  <c r="DG232" i="3"/>
  <c r="DH232" i="3"/>
  <c r="U109" i="1"/>
  <c r="L457" i="6" s="1"/>
  <c r="Q457" i="6" s="1"/>
  <c r="GM136" i="1"/>
  <c r="GN136" i="1"/>
  <c r="GM160" i="1"/>
  <c r="GN160" i="1"/>
  <c r="P142" i="1"/>
  <c r="W156" i="1"/>
  <c r="DG437" i="3"/>
  <c r="DJ437" i="3" s="1"/>
  <c r="DI437" i="3"/>
  <c r="DF437" i="3"/>
  <c r="DH437" i="3"/>
  <c r="DH453" i="3"/>
  <c r="DI453" i="3"/>
  <c r="DG453" i="3"/>
  <c r="DF453" i="3"/>
  <c r="DJ453" i="3" s="1"/>
  <c r="CI178" i="1"/>
  <c r="J600" i="6" l="1"/>
  <c r="P600" i="6" s="1"/>
  <c r="G253" i="6"/>
  <c r="O253" i="6" s="1"/>
  <c r="J279" i="6"/>
  <c r="P279" i="6" s="1"/>
  <c r="W515" i="6"/>
  <c r="J298" i="6"/>
  <c r="P298" i="6" s="1"/>
  <c r="J428" i="6"/>
  <c r="P428" i="6" s="1"/>
  <c r="W470" i="6"/>
  <c r="W210" i="6"/>
  <c r="J139" i="6"/>
  <c r="P139" i="6" s="1"/>
  <c r="W685" i="6"/>
  <c r="J253" i="6"/>
  <c r="P253" i="6" s="1"/>
  <c r="J445" i="6"/>
  <c r="P445" i="6" s="1"/>
  <c r="G322" i="6"/>
  <c r="O322" i="6" s="1"/>
  <c r="W322" i="6"/>
  <c r="J403" i="6"/>
  <c r="P403" i="6" s="1"/>
  <c r="J701" i="6"/>
  <c r="P701" i="6" s="1"/>
  <c r="J515" i="6"/>
  <c r="P515" i="6" s="1"/>
  <c r="J271" i="6"/>
  <c r="P271" i="6" s="1"/>
  <c r="J738" i="6"/>
  <c r="P738" i="6" s="1"/>
  <c r="J210" i="6"/>
  <c r="P210" i="6" s="1"/>
  <c r="G470" i="6"/>
  <c r="O470" i="6" s="1"/>
  <c r="G210" i="6"/>
  <c r="O210" i="6" s="1"/>
  <c r="G380" i="6"/>
  <c r="O380" i="6" s="1"/>
  <c r="W483" i="6"/>
  <c r="G483" i="6"/>
  <c r="O483" i="6" s="1"/>
  <c r="W52" i="6"/>
  <c r="G52" i="6"/>
  <c r="O52" i="6" s="1"/>
  <c r="GN36" i="1"/>
  <c r="T96" i="6"/>
  <c r="GN49" i="1"/>
  <c r="T168" i="6"/>
  <c r="GM95" i="1"/>
  <c r="AF178" i="1"/>
  <c r="GM86" i="1"/>
  <c r="V341" i="6"/>
  <c r="K346" i="6" s="1"/>
  <c r="J348" i="6" s="1"/>
  <c r="P348" i="6" s="1"/>
  <c r="J76" i="6"/>
  <c r="P76" i="6" s="1"/>
  <c r="CP108" i="1"/>
  <c r="O108" i="1" s="1"/>
  <c r="GM81" i="1"/>
  <c r="R447" i="6"/>
  <c r="W454" i="6"/>
  <c r="G454" i="6"/>
  <c r="O454" i="6" s="1"/>
  <c r="G157" i="6"/>
  <c r="O157" i="6" s="1"/>
  <c r="W157" i="6"/>
  <c r="CY112" i="1"/>
  <c r="X112" i="1" s="1"/>
  <c r="CZ112" i="1"/>
  <c r="Y112" i="1" s="1"/>
  <c r="V469" i="6" s="1"/>
  <c r="K467" i="6" s="1"/>
  <c r="W749" i="6"/>
  <c r="G154" i="6"/>
  <c r="O154" i="6" s="1"/>
  <c r="W154" i="6"/>
  <c r="G79" i="6"/>
  <c r="O79" i="6" s="1"/>
  <c r="W79" i="6"/>
  <c r="GN68" i="1"/>
  <c r="G142" i="6"/>
  <c r="O142" i="6" s="1"/>
  <c r="W142" i="6"/>
  <c r="AH178" i="1"/>
  <c r="GM93" i="1"/>
  <c r="T379" i="6"/>
  <c r="K376" i="6" s="1"/>
  <c r="J380" i="6" s="1"/>
  <c r="P380" i="6" s="1"/>
  <c r="CP126" i="1"/>
  <c r="O126" i="1" s="1"/>
  <c r="K519" i="6"/>
  <c r="J520" i="6" s="1"/>
  <c r="P520" i="6" s="1"/>
  <c r="GN130" i="1"/>
  <c r="V534" i="6"/>
  <c r="K540" i="6" s="1"/>
  <c r="J542" i="6" s="1"/>
  <c r="P542" i="6" s="1"/>
  <c r="GM30" i="1"/>
  <c r="T63" i="6"/>
  <c r="K67" i="6" s="1"/>
  <c r="J70" i="6" s="1"/>
  <c r="P70" i="6" s="1"/>
  <c r="T643" i="6"/>
  <c r="CZ27" i="1"/>
  <c r="Y27" i="1" s="1"/>
  <c r="V51" i="6" s="1"/>
  <c r="K49" i="6" s="1"/>
  <c r="J52" i="6" s="1"/>
  <c r="P52" i="6" s="1"/>
  <c r="GM100" i="1"/>
  <c r="T404" i="6"/>
  <c r="GM45" i="1"/>
  <c r="T143" i="6"/>
  <c r="K148" i="6" s="1"/>
  <c r="J151" i="6" s="1"/>
  <c r="P151" i="6" s="1"/>
  <c r="GN101" i="1"/>
  <c r="GM51" i="1"/>
  <c r="T173" i="6"/>
  <c r="K178" i="6" s="1"/>
  <c r="J181" i="6" s="1"/>
  <c r="P181" i="6" s="1"/>
  <c r="GN154" i="1"/>
  <c r="GM154" i="1"/>
  <c r="GN39" i="1"/>
  <c r="T711" i="6"/>
  <c r="K716" i="6" s="1"/>
  <c r="J719" i="6" s="1"/>
  <c r="P719" i="6" s="1"/>
  <c r="GN162" i="1"/>
  <c r="J664" i="6"/>
  <c r="P664" i="6" s="1"/>
  <c r="CM178" i="1"/>
  <c r="GM155" i="1"/>
  <c r="GN134" i="1"/>
  <c r="GM134" i="1"/>
  <c r="G298" i="6"/>
  <c r="O298" i="6" s="1"/>
  <c r="GN158" i="1"/>
  <c r="CP142" i="1"/>
  <c r="O142" i="1" s="1"/>
  <c r="K610" i="6"/>
  <c r="J611" i="6" s="1"/>
  <c r="P611" i="6" s="1"/>
  <c r="GM52" i="1"/>
  <c r="T182" i="6"/>
  <c r="K187" i="6" s="1"/>
  <c r="J190" i="6" s="1"/>
  <c r="P190" i="6" s="1"/>
  <c r="GN28" i="1"/>
  <c r="T53" i="6"/>
  <c r="GN95" i="1"/>
  <c r="T383" i="6"/>
  <c r="GM169" i="1"/>
  <c r="T752" i="6"/>
  <c r="K757" i="6" s="1"/>
  <c r="J760" i="6" s="1"/>
  <c r="P760" i="6" s="1"/>
  <c r="GM119" i="1"/>
  <c r="T488" i="6"/>
  <c r="GN145" i="1"/>
  <c r="T623" i="6"/>
  <c r="K628" i="6" s="1"/>
  <c r="J631" i="6" s="1"/>
  <c r="P631" i="6" s="1"/>
  <c r="GM101" i="1"/>
  <c r="G776" i="6"/>
  <c r="O776" i="6" s="1"/>
  <c r="W776" i="6"/>
  <c r="G520" i="6"/>
  <c r="O520" i="6" s="1"/>
  <c r="W520" i="6"/>
  <c r="J197" i="6"/>
  <c r="P197" i="6" s="1"/>
  <c r="GM161" i="1"/>
  <c r="GO161" i="1"/>
  <c r="GN71" i="1"/>
  <c r="CP83" i="1"/>
  <c r="O83" i="1" s="1"/>
  <c r="W457" i="6"/>
  <c r="G457" i="6"/>
  <c r="O457" i="6" s="1"/>
  <c r="GN78" i="1"/>
  <c r="GM153" i="1"/>
  <c r="GN153" i="1"/>
  <c r="G403" i="6"/>
  <c r="O403" i="6" s="1"/>
  <c r="GM158" i="1"/>
  <c r="CY108" i="1"/>
  <c r="X108" i="1" s="1"/>
  <c r="T446" i="6" s="1"/>
  <c r="K451" i="6" s="1"/>
  <c r="J454" i="6" s="1"/>
  <c r="P454" i="6" s="1"/>
  <c r="K449" i="6"/>
  <c r="L453" i="6"/>
  <c r="L454" i="6"/>
  <c r="Q454" i="6" s="1"/>
  <c r="L778" i="6" s="1"/>
  <c r="CP46" i="1"/>
  <c r="O46" i="1" s="1"/>
  <c r="K152" i="6"/>
  <c r="J154" i="6" s="1"/>
  <c r="P154" i="6" s="1"/>
  <c r="CJ178" i="1"/>
  <c r="CJ22" i="1" s="1"/>
  <c r="AJ178" i="1"/>
  <c r="AD178" i="1"/>
  <c r="GM103" i="1"/>
  <c r="T418" i="6"/>
  <c r="W460" i="6"/>
  <c r="G460" i="6"/>
  <c r="O460" i="6" s="1"/>
  <c r="G54" i="6"/>
  <c r="O54" i="6" s="1"/>
  <c r="W54" i="6"/>
  <c r="G611" i="6"/>
  <c r="O611" i="6" s="1"/>
  <c r="W611" i="6"/>
  <c r="GN155" i="1"/>
  <c r="G685" i="6"/>
  <c r="O685" i="6" s="1"/>
  <c r="J749" i="6"/>
  <c r="P749" i="6" s="1"/>
  <c r="K643" i="6"/>
  <c r="J645" i="6" s="1"/>
  <c r="P645" i="6" s="1"/>
  <c r="CP148" i="1"/>
  <c r="O148" i="1" s="1"/>
  <c r="GM148" i="1" s="1"/>
  <c r="AG22" i="1"/>
  <c r="T178" i="1"/>
  <c r="AJ22" i="1"/>
  <c r="W178" i="1"/>
  <c r="AH22" i="1"/>
  <c r="U178" i="1"/>
  <c r="AD22" i="1"/>
  <c r="Q178" i="1"/>
  <c r="AF22" i="1"/>
  <c r="S178" i="1"/>
  <c r="CY110" i="1"/>
  <c r="X110" i="1" s="1"/>
  <c r="T458" i="6" s="1"/>
  <c r="CZ110" i="1"/>
  <c r="Y110" i="1" s="1"/>
  <c r="V458" i="6" s="1"/>
  <c r="CP110" i="1"/>
  <c r="O110" i="1" s="1"/>
  <c r="BC18" i="1"/>
  <c r="F224" i="1"/>
  <c r="DI208" i="3"/>
  <c r="DG208" i="3"/>
  <c r="DJ208" i="3" s="1"/>
  <c r="DH208" i="3"/>
  <c r="DF208" i="3"/>
  <c r="CZ142" i="1"/>
  <c r="Y142" i="1" s="1"/>
  <c r="GM98" i="1"/>
  <c r="GN98" i="1"/>
  <c r="CI22" i="1"/>
  <c r="AZ178" i="1"/>
  <c r="DG210" i="3"/>
  <c r="DF210" i="3"/>
  <c r="DJ210" i="3" s="1"/>
  <c r="DH210" i="3"/>
  <c r="DI210" i="3"/>
  <c r="GN52" i="1"/>
  <c r="AQ22" i="1"/>
  <c r="AQ208" i="1"/>
  <c r="F188" i="1"/>
  <c r="CY156" i="1"/>
  <c r="X156" i="1" s="1"/>
  <c r="T684" i="6" s="1"/>
  <c r="K681" i="6" s="1"/>
  <c r="CZ156" i="1"/>
  <c r="Y156" i="1" s="1"/>
  <c r="V684" i="6" s="1"/>
  <c r="K682" i="6" s="1"/>
  <c r="BB18" i="1"/>
  <c r="F221" i="1"/>
  <c r="GN86" i="1"/>
  <c r="CP116" i="1"/>
  <c r="O116" i="1" s="1"/>
  <c r="K482" i="6" s="1"/>
  <c r="GM92" i="1"/>
  <c r="GN92" i="1"/>
  <c r="CP44" i="1"/>
  <c r="O44" i="1" s="1"/>
  <c r="CY46" i="1"/>
  <c r="X46" i="1" s="1"/>
  <c r="CZ46" i="1"/>
  <c r="Y46" i="1" s="1"/>
  <c r="V152" i="6" s="1"/>
  <c r="AE178" i="1"/>
  <c r="GN169" i="1"/>
  <c r="GN94" i="1"/>
  <c r="GM94" i="1"/>
  <c r="GN100" i="1"/>
  <c r="GM27" i="1"/>
  <c r="GN27" i="1"/>
  <c r="AO18" i="1"/>
  <c r="F212" i="1"/>
  <c r="GM49" i="1"/>
  <c r="AP18" i="1"/>
  <c r="F217" i="1"/>
  <c r="CP109" i="1"/>
  <c r="O109" i="1" s="1"/>
  <c r="CZ170" i="1"/>
  <c r="Y170" i="1" s="1"/>
  <c r="V761" i="6" s="1"/>
  <c r="CY170" i="1"/>
  <c r="X170" i="1" s="1"/>
  <c r="T761" i="6" s="1"/>
  <c r="CZ116" i="1"/>
  <c r="Y116" i="1" s="1"/>
  <c r="V482" i="6" s="1"/>
  <c r="K479" i="6" s="1"/>
  <c r="CY116" i="1"/>
  <c r="X116" i="1" s="1"/>
  <c r="T482" i="6" s="1"/>
  <c r="K478" i="6" s="1"/>
  <c r="GN148" i="1"/>
  <c r="GN51" i="1"/>
  <c r="GN119" i="1"/>
  <c r="GN93" i="1"/>
  <c r="GM36" i="1"/>
  <c r="GM167" i="1"/>
  <c r="GN167" i="1"/>
  <c r="CP156" i="1"/>
  <c r="O156" i="1" s="1"/>
  <c r="K684" i="6" s="1"/>
  <c r="GM104" i="1"/>
  <c r="GN104" i="1"/>
  <c r="GN103" i="1"/>
  <c r="CZ109" i="1"/>
  <c r="Y109" i="1" s="1"/>
  <c r="V455" i="6" s="1"/>
  <c r="CY109" i="1"/>
  <c r="X109" i="1" s="1"/>
  <c r="T455" i="6" s="1"/>
  <c r="GM108" i="1"/>
  <c r="GN108" i="1"/>
  <c r="AC178" i="1"/>
  <c r="CY82" i="1"/>
  <c r="X82" i="1" s="1"/>
  <c r="T321" i="6" s="1"/>
  <c r="K318" i="6" s="1"/>
  <c r="CZ82" i="1"/>
  <c r="Y82" i="1" s="1"/>
  <c r="V321" i="6" s="1"/>
  <c r="K319" i="6" s="1"/>
  <c r="AI178" i="1"/>
  <c r="GM28" i="1"/>
  <c r="GM31" i="1"/>
  <c r="GN31" i="1"/>
  <c r="GM130" i="1"/>
  <c r="GN43" i="1"/>
  <c r="GM43" i="1"/>
  <c r="GM26" i="1"/>
  <c r="GN26" i="1"/>
  <c r="AX22" i="1"/>
  <c r="AX208" i="1"/>
  <c r="F185" i="1"/>
  <c r="GN45" i="1"/>
  <c r="AU18" i="1"/>
  <c r="F227" i="1"/>
  <c r="GN56" i="1"/>
  <c r="GM56" i="1"/>
  <c r="DF206" i="3"/>
  <c r="DH206" i="3"/>
  <c r="DI206" i="3"/>
  <c r="DJ206" i="3" s="1"/>
  <c r="DG206" i="3"/>
  <c r="CY32" i="1"/>
  <c r="X32" i="1" s="1"/>
  <c r="T77" i="6" s="1"/>
  <c r="CZ32" i="1"/>
  <c r="Y32" i="1" s="1"/>
  <c r="V77" i="6" s="1"/>
  <c r="CZ47" i="1"/>
  <c r="Y47" i="1" s="1"/>
  <c r="V155" i="6" s="1"/>
  <c r="CY47" i="1"/>
  <c r="X47" i="1" s="1"/>
  <c r="GN72" i="1"/>
  <c r="GM72" i="1"/>
  <c r="CP170" i="1"/>
  <c r="O170" i="1" s="1"/>
  <c r="CY126" i="1"/>
  <c r="X126" i="1" s="1"/>
  <c r="CZ126" i="1"/>
  <c r="Y126" i="1" s="1"/>
  <c r="V519" i="6" s="1"/>
  <c r="CP32" i="1"/>
  <c r="O32" i="1" s="1"/>
  <c r="GN97" i="1"/>
  <c r="GM97" i="1"/>
  <c r="CP82" i="1"/>
  <c r="O82" i="1" s="1"/>
  <c r="K321" i="6" s="1"/>
  <c r="CC178" i="1"/>
  <c r="J483" i="6" l="1"/>
  <c r="P483" i="6" s="1"/>
  <c r="J322" i="6"/>
  <c r="P322" i="6" s="1"/>
  <c r="J685" i="6"/>
  <c r="P685" i="6" s="1"/>
  <c r="GN126" i="1"/>
  <c r="T519" i="6"/>
  <c r="GM46" i="1"/>
  <c r="T152" i="6"/>
  <c r="BA178" i="1"/>
  <c r="GM47" i="1"/>
  <c r="T155" i="6"/>
  <c r="T469" i="6"/>
  <c r="K466" i="6" s="1"/>
  <c r="J470" i="6" s="1"/>
  <c r="P470" i="6" s="1"/>
  <c r="J778" i="6" s="1"/>
  <c r="GN112" i="1"/>
  <c r="GM112" i="1"/>
  <c r="L782" i="6"/>
  <c r="GM142" i="1"/>
  <c r="V610" i="6"/>
  <c r="GM83" i="1"/>
  <c r="GN83" i="1"/>
  <c r="BD178" i="1"/>
  <c r="CM22" i="1"/>
  <c r="G778" i="6"/>
  <c r="G782" i="6"/>
  <c r="AL178" i="1"/>
  <c r="AK178" i="1"/>
  <c r="GM109" i="1"/>
  <c r="GN109" i="1"/>
  <c r="AI22" i="1"/>
  <c r="V178" i="1"/>
  <c r="GN142" i="1"/>
  <c r="AQ18" i="1"/>
  <c r="F218" i="1"/>
  <c r="GM126" i="1"/>
  <c r="Q22" i="1"/>
  <c r="F190" i="1"/>
  <c r="Q208" i="1"/>
  <c r="AE22" i="1"/>
  <c r="R178" i="1"/>
  <c r="GN116" i="1"/>
  <c r="GM116" i="1"/>
  <c r="GN47" i="1"/>
  <c r="GN110" i="1"/>
  <c r="GM110" i="1"/>
  <c r="U22" i="1"/>
  <c r="F200" i="1"/>
  <c r="U208" i="1"/>
  <c r="AC22" i="1"/>
  <c r="P178" i="1"/>
  <c r="CF178" i="1"/>
  <c r="CH178" i="1"/>
  <c r="CE178" i="1"/>
  <c r="GN46" i="1"/>
  <c r="BA22" i="1"/>
  <c r="BA208" i="1"/>
  <c r="F198" i="1"/>
  <c r="H16" i="2" s="1"/>
  <c r="H18" i="2" s="1"/>
  <c r="GM44" i="1"/>
  <c r="GN44" i="1"/>
  <c r="W22" i="1"/>
  <c r="F202" i="1"/>
  <c r="W208" i="1"/>
  <c r="GN32" i="1"/>
  <c r="GM32" i="1"/>
  <c r="CA178" i="1" s="1"/>
  <c r="GM156" i="1"/>
  <c r="GN156" i="1"/>
  <c r="S22" i="1"/>
  <c r="S208" i="1"/>
  <c r="F193" i="1"/>
  <c r="CC22" i="1"/>
  <c r="AT178" i="1"/>
  <c r="T22" i="1"/>
  <c r="F199" i="1"/>
  <c r="T208" i="1"/>
  <c r="GM170" i="1"/>
  <c r="GN170" i="1"/>
  <c r="AX18" i="1"/>
  <c r="F215" i="1"/>
  <c r="GM82" i="1"/>
  <c r="GN82" i="1"/>
  <c r="AZ22" i="1"/>
  <c r="F189" i="1"/>
  <c r="AZ208" i="1"/>
  <c r="AB178" i="1"/>
  <c r="J782" i="6" l="1"/>
  <c r="CB178" i="1"/>
  <c r="CB22" i="1" s="1"/>
  <c r="F203" i="1"/>
  <c r="BD208" i="1"/>
  <c r="BD22" i="1"/>
  <c r="CA22" i="1"/>
  <c r="AR178" i="1"/>
  <c r="CE22" i="1"/>
  <c r="AV178" i="1"/>
  <c r="T18" i="1"/>
  <c r="F229" i="1"/>
  <c r="CF22" i="1"/>
  <c r="AW178" i="1"/>
  <c r="P22" i="1"/>
  <c r="P208" i="1"/>
  <c r="F181" i="1"/>
  <c r="AT22" i="1"/>
  <c r="AT208" i="1"/>
  <c r="F196" i="1"/>
  <c r="F16" i="2" s="1"/>
  <c r="F18" i="2" s="1"/>
  <c r="V22" i="1"/>
  <c r="F201" i="1"/>
  <c r="V208" i="1"/>
  <c r="AB22" i="1"/>
  <c r="O178" i="1"/>
  <c r="AZ18" i="1"/>
  <c r="F219" i="1"/>
  <c r="AK22" i="1"/>
  <c r="X178" i="1"/>
  <c r="AL22" i="1"/>
  <c r="Y178" i="1"/>
  <c r="Q18" i="1"/>
  <c r="F220" i="1"/>
  <c r="J789" i="6" s="1"/>
  <c r="S18" i="1"/>
  <c r="F223" i="1"/>
  <c r="W18" i="1"/>
  <c r="F232" i="1"/>
  <c r="CH22" i="1"/>
  <c r="AY178" i="1"/>
  <c r="BA18" i="1"/>
  <c r="F228" i="1"/>
  <c r="U18" i="1"/>
  <c r="F230" i="1"/>
  <c r="R22" i="1"/>
  <c r="R208" i="1"/>
  <c r="F192" i="1"/>
  <c r="J16" i="2" s="1"/>
  <c r="J18" i="2" s="1"/>
  <c r="AS178" i="1" l="1"/>
  <c r="J794" i="6"/>
  <c r="J791" i="6"/>
  <c r="BD18" i="1"/>
  <c r="F233" i="1"/>
  <c r="J796" i="6" s="1"/>
  <c r="AV22" i="1"/>
  <c r="F183" i="1"/>
  <c r="AV208" i="1"/>
  <c r="R18" i="1"/>
  <c r="F222" i="1"/>
  <c r="J790" i="6" s="1"/>
  <c r="AR22" i="1"/>
  <c r="AR208" i="1"/>
  <c r="F206" i="1"/>
  <c r="AT18" i="1"/>
  <c r="F226" i="1"/>
  <c r="O22" i="1"/>
  <c r="O208" i="1"/>
  <c r="F180" i="1"/>
  <c r="AY22" i="1"/>
  <c r="AY208" i="1"/>
  <c r="F186" i="1"/>
  <c r="P18" i="1"/>
  <c r="F211" i="1"/>
  <c r="J785" i="6" s="1"/>
  <c r="AS22" i="1"/>
  <c r="AS208" i="1"/>
  <c r="F195" i="1"/>
  <c r="E16" i="2" s="1"/>
  <c r="Y22" i="1"/>
  <c r="Y208" i="1"/>
  <c r="F205" i="1"/>
  <c r="V18" i="1"/>
  <c r="F231" i="1"/>
  <c r="J795" i="6" s="1"/>
  <c r="AW22" i="1"/>
  <c r="AW208" i="1"/>
  <c r="F184" i="1"/>
  <c r="X22" i="1"/>
  <c r="X208" i="1"/>
  <c r="F204" i="1"/>
  <c r="J793" i="6" l="1"/>
  <c r="I16" i="2"/>
  <c r="I18" i="2" s="1"/>
  <c r="E18" i="2"/>
  <c r="X18" i="1"/>
  <c r="F234" i="1"/>
  <c r="J797" i="6" s="1"/>
  <c r="Y18" i="1"/>
  <c r="F235" i="1"/>
  <c r="J798" i="6" s="1"/>
  <c r="AY18" i="1"/>
  <c r="F216" i="1"/>
  <c r="J788" i="6" s="1"/>
  <c r="AR18" i="1"/>
  <c r="F236" i="1"/>
  <c r="AW18" i="1"/>
  <c r="F214" i="1"/>
  <c r="J787" i="6" s="1"/>
  <c r="AS18" i="1"/>
  <c r="F225" i="1"/>
  <c r="O18" i="1"/>
  <c r="F210" i="1"/>
  <c r="J784" i="6" s="1"/>
  <c r="AV18" i="1"/>
  <c r="F213" i="1"/>
  <c r="J786" i="6" s="1"/>
  <c r="J792" i="6" l="1"/>
  <c r="F237" i="1"/>
  <c r="J799" i="6"/>
  <c r="J801" i="6" l="1"/>
  <c r="J802" i="6" s="1"/>
  <c r="F238" i="1"/>
  <c r="I27" i="6" l="1"/>
</calcChain>
</file>

<file path=xl/sharedStrings.xml><?xml version="1.0" encoding="utf-8"?>
<sst xmlns="http://schemas.openxmlformats.org/spreadsheetml/2006/main" count="15211" uniqueCount="1191">
  <si>
    <t>Smeta.RU  (495) 974-1589</t>
  </si>
  <si>
    <t>_PS_</t>
  </si>
  <si>
    <t>Smeta.RU</t>
  </si>
  <si>
    <t/>
  </si>
  <si>
    <t>АО "Липецкцемент"</t>
  </si>
  <si>
    <t>Ремонт здания первичного дробления</t>
  </si>
  <si>
    <t>Ведомость объемов работ №01-03-24</t>
  </si>
  <si>
    <t>Сметные нормы списания</t>
  </si>
  <si>
    <t>Коды ценников</t>
  </si>
  <si>
    <t>ФЕР-2020 И9</t>
  </si>
  <si>
    <t>Версия 1.7.0 ГСН (ГЭСН, ФЕР) и ТЕР (Методики НР (812/пр, 636/пр, 611/пр) и СП (774/пр и 317/пр) применять с 08.01.2023 г.)</t>
  </si>
  <si>
    <t>ФЕР-2020 - изменения И9</t>
  </si>
  <si>
    <t>Поправки для ГСН (ФЕР) 2020 от 11.09.2022 г И9 (в ред. 557/пр) Капитальный ремонт производственных зданий</t>
  </si>
  <si>
    <t>ГСН</t>
  </si>
  <si>
    <t>Новая локальная смета</t>
  </si>
  <si>
    <t>Восстановление плит покрытий</t>
  </si>
  <si>
    <t>1</t>
  </si>
  <si>
    <t>46-02-009-02</t>
  </si>
  <si>
    <t>Отбивка штукатурки с поверхностей: стен и потолков кирпичных</t>
  </si>
  <si>
    <t>100 м2</t>
  </si>
  <si>
    <t>ФЕР-2001, 46-02-009-02, приказ Минстроя России № 876/пр от 26.12.2019</t>
  </si>
  <si>
    <t>)*1,15</t>
  </si>
  <si>
    <t>Общестроительные работы</t>
  </si>
  <si>
    <t>Работы по реконструкции зданий и сооружений</t>
  </si>
  <si>
    <t>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</si>
  <si>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>ФЕР-46</t>
  </si>
  <si>
    <t>Поправка: МР 519/пр Прил.2, Табл.3, п. 3 (сб.46)</t>
  </si>
  <si>
    <t>Пр/812-040.2-1</t>
  </si>
  <si>
    <t>Пр/774-040.2</t>
  </si>
  <si>
    <t>2</t>
  </si>
  <si>
    <t>52-18-1</t>
  </si>
  <si>
    <t>Устройство антикоррозийной защиты арматуры перекрытий</t>
  </si>
  <si>
    <t>10 м2</t>
  </si>
  <si>
    <t>ФЕРр-2001 доп.8, 52-18-1, приказ Минстроя России № 746/пр от 14.10.2021</t>
  </si>
  <si>
    <t>Ремонтно-строительные работы</t>
  </si>
  <si>
    <t>Фундаменты</t>
  </si>
  <si>
    <t>рФЕР-52</t>
  </si>
  <si>
    <t>Поправка: МР 519/пр Прил.2, Табл.3, п. 3</t>
  </si>
  <si>
    <t>Пр/812-086.0-1</t>
  </si>
  <si>
    <t>Пр/774-086.0</t>
  </si>
  <si>
    <t>2.1</t>
  </si>
  <si>
    <t>04.3.02.09-0938</t>
  </si>
  <si>
    <t>Смеси сухие цементные для антикоррозийной защиты арматуры железобетонных конструкций</t>
  </si>
  <si>
    <t>кг</t>
  </si>
  <si>
    <t>ФССЦ-2001, 04.3.02.09-0938, приказ Минстроя России № 876/пр от 26.12.2019</t>
  </si>
  <si>
    <t>3</t>
  </si>
  <si>
    <t>Цена Поставщика</t>
  </si>
  <si>
    <t>Смесь для защиты арматуры MasterEmaco P 5000 AP</t>
  </si>
  <si>
    <t>Материалы строительные</t>
  </si>
  <si>
    <t>Материалы, изделия и конструкции</t>
  </si>
  <si>
    <t>материалы (03)</t>
  </si>
  <si>
    <t>[337.33 / 1.2 /  8.71] +  5% Трансп +  2% Заг.скл</t>
  </si>
  <si>
    <t>5</t>
  </si>
  <si>
    <t>4</t>
  </si>
  <si>
    <t>46-08-004-03</t>
  </si>
  <si>
    <t>Нанесение безусадочных, быстротвердеющих составов тиксотропного типа вручную в один слой, толщина слоя 20 мм, на поверхности бетонных и железобетонных конструкций: потолочные</t>
  </si>
  <si>
    <t>ФЕР-2001, 46-08-004-03, приказ Минстроя России № 876/пр от 26.12.2019</t>
  </si>
  <si>
    <t>Работы по реконструкции зданий и сооружений: усиление и замена существующих конструкций, возведение отдельных конструктивных элементов</t>
  </si>
  <si>
    <t>Пр/812-040.1-1</t>
  </si>
  <si>
    <t>Пр/774-040.1</t>
  </si>
  <si>
    <t>46-08-004-09</t>
  </si>
  <si>
    <t>На каждые 5 мм изменения толщины слоя добавлять (уменьшать) к расценкам: 46-08-004-03, 46-08-004-06</t>
  </si>
  <si>
    <t>ФЕР-2001, 46-08-004-09, приказ Минстроя России № 876/пр от 26.12.2019</t>
  </si>
  <si>
    <t>6</t>
  </si>
  <si>
    <t>46-08-003-01</t>
  </si>
  <si>
    <t>Приготовление безусадочных, быстротвердеющих составов тиксотропного типа однокомпонентных: вручную</t>
  </si>
  <si>
    <t>м3</t>
  </si>
  <si>
    <t>ФЕР-2001, 46-08-003-01, приказ Минстроя России № 876/пр от 26.12.2019</t>
  </si>
  <si>
    <t>Изготовление в построечных условиях материалов, полуфабрикатов, металлических и трубопроводных заготовок</t>
  </si>
  <si>
    <t>приг_ФЕР-46</t>
  </si>
  <si>
    <t>Пр/812-108.0-1</t>
  </si>
  <si>
    <t>Пр/774-108.0</t>
  </si>
  <si>
    <t>Изготовление в построечных условиях материалов, полуфабрикатов, металлических заготовок</t>
  </si>
  <si>
    <t>7</t>
  </si>
  <si>
    <t>Ремонтная смесь MasterEmaco S 5400</t>
  </si>
  <si>
    <t>[106.2 / 1.2 /  8.71] +  5% Трансп +  2% Заг.скл</t>
  </si>
  <si>
    <t>8</t>
  </si>
  <si>
    <t>91.06.06-012</t>
  </si>
  <si>
    <t>Автогидроподъемники, высота подъема 18 м</t>
  </si>
  <si>
    <t>маш.-ч.</t>
  </si>
  <si>
    <t>ФСЭМ-2001, 91.06.06-012 , приказ Минстроя России № 876/пр от 26.12.2019</t>
  </si>
  <si>
    <t>Машины и механизмы</t>
  </si>
  <si>
    <t>Эксплуатация машин и механизмов ( ценники на ЭММ )</t>
  </si>
  <si>
    <t>ЭММ</t>
  </si>
  <si>
    <t>Ограждение кровли</t>
  </si>
  <si>
    <t>9</t>
  </si>
  <si>
    <t>12-01-012-01</t>
  </si>
  <si>
    <t>Ограждение кровель перилами</t>
  </si>
  <si>
    <t>100 м</t>
  </si>
  <si>
    <t>ФЕР-2001, 12-01-012-01, приказ Минстроя России № 876/пр от 26.12.2019</t>
  </si>
  <si>
    <t>)*1,25)*1,15</t>
  </si>
  <si>
    <t>)*1,15)*1,15</t>
  </si>
  <si>
    <t>)*0,85</t>
  </si>
  <si>
    <t>Кровли</t>
  </si>
  <si>
    <t>ФЕР-12</t>
  </si>
  <si>
    <t>Поправка: М-ка 421/пр 04.08.20 п.58 п.п. б)  Поправка: МР 519/пр Прил.2, Табл.3, п. 3</t>
  </si>
  <si>
    <t>Пр/812-012.0-1</t>
  </si>
  <si>
    <t>Пр/774-012.0</t>
  </si>
  <si>
    <t>10</t>
  </si>
  <si>
    <t>Дюбель-гвоздь 6х60</t>
  </si>
  <si>
    <t>шт.</t>
  </si>
  <si>
    <t>[2.61 / 1.2 /  8.71] +  5% Трансп +  2% Заг.скл</t>
  </si>
  <si>
    <t>11</t>
  </si>
  <si>
    <t>м38-01-006-08</t>
  </si>
  <si>
    <t>Сборка с помощью лебедок ручных (с установкой и снятием их в процессе работы) или вручную (мелких деталей): стремянки, связи, кронштейны, тормозные конструкции и пр.</t>
  </si>
  <si>
    <t>т</t>
  </si>
  <si>
    <t>ФЕРм-2001, м38-01-006-08, приказ Минстроя России № 876/пр от 26.12.2019</t>
  </si>
  <si>
    <t>Монтажные работы</t>
  </si>
  <si>
    <t>Изготовление технологических металлических конструкций в условиях производственных баз</t>
  </si>
  <si>
    <t>ФЕРм-38</t>
  </si>
  <si>
    <t>Пр/812-080.0-1</t>
  </si>
  <si>
    <t>Пр/774-080.0</t>
  </si>
  <si>
    <t>12</t>
  </si>
  <si>
    <t>Арматура А500 12мм</t>
  </si>
  <si>
    <t>[65 500 / 1.2 /  8.71] +  5% Трансп +  0.75% Заг.скл</t>
  </si>
  <si>
    <t>0.75</t>
  </si>
  <si>
    <t>13</t>
  </si>
  <si>
    <t>Полоса 50х4</t>
  </si>
  <si>
    <t>[82 000 / 1.2 /  8.71] +  5% Трансп +  0.75% Заг.скл</t>
  </si>
  <si>
    <t>Ремонт фасада</t>
  </si>
  <si>
    <t>14</t>
  </si>
  <si>
    <t>08-07-001-01</t>
  </si>
  <si>
    <t>Установка и разборка наружных инвентарных лесов высотой до 16 м: трубчатых для кладки облицовки</t>
  </si>
  <si>
    <t>ФЕР-2001, 08-07-001-01, приказ Минстроя России № 876/пр от 26.12.2019</t>
  </si>
  <si>
    <t>Конструкции из кирпича и блоков</t>
  </si>
  <si>
    <t>ФЕР-08</t>
  </si>
  <si>
    <t>Пр/812-008.0-1</t>
  </si>
  <si>
    <t>Пр/774-008.0</t>
  </si>
  <si>
    <t>15</t>
  </si>
  <si>
    <t>62-47-1</t>
  </si>
  <si>
    <t>Расчистка поверхностей шпателем, щетками от старых покрасок</t>
  </si>
  <si>
    <t>м2</t>
  </si>
  <si>
    <t>ФЕРр-2001 доп. 5, 62-47-1, приказ Минстроя России № 51/пр от 09.02.2021</t>
  </si>
  <si>
    <t>Малярные работы</t>
  </si>
  <si>
    <t>рФЕР-62</t>
  </si>
  <si>
    <t>Пр/812-096.0-1</t>
  </si>
  <si>
    <t>Пр/774-096.0</t>
  </si>
  <si>
    <t>16</t>
  </si>
  <si>
    <t>15-07-003-02</t>
  </si>
  <si>
    <t>Нанесение водно-дисперсионной грунтовки на поверхности: пористые (камень, кирпич, бетон и т.д.)</t>
  </si>
  <si>
    <t>ФЕР-2001, 15-07-003-02, приказ Минстроя России № 876/пр от 26.12.2019</t>
  </si>
  <si>
    <t>Отделочные работы</t>
  </si>
  <si>
    <t>ФЕР-15</t>
  </si>
  <si>
    <t>Пр/812-015.0-1</t>
  </si>
  <si>
    <t>Пр/774-015.0</t>
  </si>
  <si>
    <t>17</t>
  </si>
  <si>
    <t>Грунтовка Оптимист G103 (расход 0,25кг/м2)</t>
  </si>
  <si>
    <t>л</t>
  </si>
  <si>
    <t>[91 / 1.2 /  8.71] +  5% Трансп +  2% Заг.скл</t>
  </si>
  <si>
    <t>18</t>
  </si>
  <si>
    <t>15-02-037-01</t>
  </si>
  <si>
    <t>Устройство каркаса при оштукатуривании: стен</t>
  </si>
  <si>
    <t>ФЕР-2001, 15-02-037-01, приказ Минстроя России № 876/пр от 26.12.2019</t>
  </si>
  <si>
    <t>*0</t>
  </si>
  <si>
    <t>19</t>
  </si>
  <si>
    <t>Сетка штукатурная сварная оцинкованная 10х10 мм d0,6 мм</t>
  </si>
  <si>
    <t>[88 / 1.2 /  8.71] +  5% Трансп +  2% Заг.скл</t>
  </si>
  <si>
    <t>20</t>
  </si>
  <si>
    <t>Дюбель-гвоздь 6х40</t>
  </si>
  <si>
    <t>[1.51 / 1.2 /  8.71] +  5% Трансп +  2% Заг.скл</t>
  </si>
  <si>
    <t>21</t>
  </si>
  <si>
    <t>61-24-1</t>
  </si>
  <si>
    <t>Ремонт штукатурки фасадов сухой растворной смесью</t>
  </si>
  <si>
    <t>ФЕРр-2001, 61-24-1, приказ Минстроя России № 876/пр от 26.12.2019</t>
  </si>
  <si>
    <t>Штукатурные работы</t>
  </si>
  <si>
    <t>рФЕР-61</t>
  </si>
  <si>
    <t>Пр/812-095.0-1</t>
  </si>
  <si>
    <t>Пр/774-095.0</t>
  </si>
  <si>
    <t>22</t>
  </si>
  <si>
    <t>Штукатурка цементная Waber Vetonit TT40 (расход 17 кг/м2 при толщине слоя 10мм)</t>
  </si>
  <si>
    <t>[47.8 / 1.2 /  8.71] +  5% Трансп +  2% Заг.скл</t>
  </si>
  <si>
    <t>Инъектирование ж/б стен в приямке</t>
  </si>
  <si>
    <t>23</t>
  </si>
  <si>
    <t>69-23-1</t>
  </si>
  <si>
    <t>Устройство центров инъектирования на линейных швах: в отверстиях диаметром 10 мм, глубиной 200 мм</t>
  </si>
  <si>
    <t>1000 ШТ</t>
  </si>
  <si>
    <t>ФЕРр-2001 доп. 1, 69-23-1, приказ Минстроя России № 172/пр от 30.03.2020</t>
  </si>
  <si>
    <t>Прочие ремонтно-строительные работы</t>
  </si>
  <si>
    <t>рФЕР-69</t>
  </si>
  <si>
    <t>Пр/812-103.0-1</t>
  </si>
  <si>
    <t>Пр/774-103.0</t>
  </si>
  <si>
    <t>24</t>
  </si>
  <si>
    <t>69-23-2</t>
  </si>
  <si>
    <t>Устройство центров инъектирования на линейных швах: добавлять (уменьшать) на каждые 2 мм диаметра отверстия</t>
  </si>
  <si>
    <t>ФЕРр-2001 доп. 1, 69-23-2, приказ Минстроя России № 172/пр от 30.03.2020</t>
  </si>
  <si>
    <t>25</t>
  </si>
  <si>
    <t>69-23-3</t>
  </si>
  <si>
    <t>Устройство центров инъектирования на линейных швах: добавлять (уменьшать) на каждые 50 мм глубины отверстия</t>
  </si>
  <si>
    <t>ФЕРр-2001 доп. 1, 69-23-3, приказ Минстроя России № 172/пр от 30.03.2020</t>
  </si>
  <si>
    <t>)*2</t>
  </si>
  <si>
    <t>)*1,15)*2</t>
  </si>
  <si>
    <t>26</t>
  </si>
  <si>
    <t>Пакер для инъектирования (10х100 мм, алюминий, кеглевидная масленка) КСГ 201</t>
  </si>
  <si>
    <t>[28.38 / 1.2 /  8.71] +  5% Трансп +  2% Заг.скл</t>
  </si>
  <si>
    <t>27</t>
  </si>
  <si>
    <t>69-20-1</t>
  </si>
  <si>
    <t>Заполнение пустот в железобетонных конструкциях методом инъектирования составом (смолой) инъекционным однокомпонентным, полиуретановым, гидроактивным, с быстрым пенообразованием в комплекте с катализатором</t>
  </si>
  <si>
    <t>100 л</t>
  </si>
  <si>
    <t>ФЕРр-2001 доп. 1, 69-20-1, приказ Минстроя России № 172/пр от 30.03.2020</t>
  </si>
  <si>
    <t>27.1</t>
  </si>
  <si>
    <t>14.2.04.04-1009</t>
  </si>
  <si>
    <t>Смола инъекционная полиуретановая однокомпонентная гидроактивная для герметизации трещин и заполнения пустот, в комплекте с катализатором</t>
  </si>
  <si>
    <t>ФССЦ-2001 доп.1, 14.2.04.04-1009, приказ Минстроя России № 172/пр от 30.03.2020</t>
  </si>
  <si>
    <t>28</t>
  </si>
  <si>
    <t>Инъекционная полиуретановая пена MasterRoc MP 355 1K</t>
  </si>
  <si>
    <t>[1 354.49 / 1.2 /  8.71] +  5% Трансп +  2% Заг.скл</t>
  </si>
  <si>
    <t>29</t>
  </si>
  <si>
    <t>Ускоритель master roc 355 1k accelerator</t>
  </si>
  <si>
    <t>[3 902.77 / 1.2 /  8.71] +  5% Трансп +  2% Заг.скл</t>
  </si>
  <si>
    <t>Инъецирование трещин кирпичных стен на фасаде здания</t>
  </si>
  <si>
    <t>30</t>
  </si>
  <si>
    <t>53-24-3</t>
  </si>
  <si>
    <t>Устройство горизонтальной гидроизоляции кирпичных стен ремонтируемых зданий методом инъецирования при толщине кладки стены: в 2 кирпича</t>
  </si>
  <si>
    <t>м</t>
  </si>
  <si>
    <t>ФЕРр-2001 доп. 2, 53-24-3, приказ Минстроя России № 294/пр от 01.06.2020</t>
  </si>
  <si>
    <t>Стены</t>
  </si>
  <si>
    <t>рФЕР-53</t>
  </si>
  <si>
    <t>Пр/812-087.0-1</t>
  </si>
  <si>
    <t>Пр/774-087.0</t>
  </si>
  <si>
    <t>31</t>
  </si>
  <si>
    <t>цена Поставщика</t>
  </si>
  <si>
    <t>Пакер для инъектирования 18х105 мм</t>
  </si>
  <si>
    <t>ШТ</t>
  </si>
  <si>
    <t>[24.25 / 1.2 /  8.71] +  5% Трансп +  2% Заг.скл</t>
  </si>
  <si>
    <t>32</t>
  </si>
  <si>
    <t>69-12-5</t>
  </si>
  <si>
    <t>Приготовление растворов вручную: цементно-известковых легких</t>
  </si>
  <si>
    <t>ФЕРр-2001 доп.8, 69-12-5, приказ Минстроя России № 746/пр от 14.10.2021</t>
  </si>
  <si>
    <t>приг_ФЕРр-69</t>
  </si>
  <si>
    <t>33</t>
  </si>
  <si>
    <t>Реновир Шлюз</t>
  </si>
  <si>
    <t>[112 / 1.2 /  8.71] +  5% Трансп +  2% Заг.скл</t>
  </si>
  <si>
    <t>34</t>
  </si>
  <si>
    <t>Реновит Инжект</t>
  </si>
  <si>
    <t>[90 / 1.2 /  8.71] +  5% Трансп +  2% Заг.скл</t>
  </si>
  <si>
    <t>Ремонт ж/б колонн и стен</t>
  </si>
  <si>
    <t>35</t>
  </si>
  <si>
    <t>36</t>
  </si>
  <si>
    <t>52-17-1</t>
  </si>
  <si>
    <t>Устройство антикоррозийной защиты арматуры стен</t>
  </si>
  <si>
    <t>ФЕРр-2001 доп.8, 52-17-1, приказ Минстроя России № 746/пр от 14.10.2021</t>
  </si>
  <si>
    <t>36.1</t>
  </si>
  <si>
    <t>37</t>
  </si>
  <si>
    <t>38</t>
  </si>
  <si>
    <t>46-08-004-02</t>
  </si>
  <si>
    <t>Нанесение безусадочных, быстротвердеющих составов тиксотропного типа вручную в один слой, толщина слоя 20 мм, на поверхности бетонных и железобетонных конструкций: вертикальные</t>
  </si>
  <si>
    <t>ФЕР-2001, 46-08-004-02, приказ Минстроя России № 876/пр от 26.12.2019</t>
  </si>
  <si>
    <t>39</t>
  </si>
  <si>
    <t>46-08-004-08</t>
  </si>
  <si>
    <t>На каждые 5 мм изменения толщины слоя добавлять (уменьшать) к расценкам: 46-08-004-02, 46-08-004-05</t>
  </si>
  <si>
    <t>ФЕР-2001, 46-08-004-08, приказ Минстроя России № 876/пр от 26.12.2019</t>
  </si>
  <si>
    <t>40</t>
  </si>
  <si>
    <t>46-08-003-02</t>
  </si>
  <si>
    <t>Приготовление безусадочных, быстротвердеющих составов тиксотропного типа однокомпонентных: механизированным способом</t>
  </si>
  <si>
    <t>ФЕР-2001, 46-08-003-02, приказ Минстроя России № 876/пр от 26.12.2019</t>
  </si>
  <si>
    <t>41</t>
  </si>
  <si>
    <t>Ремонтная смесь Вайтмикс RT40 с учетом доставки</t>
  </si>
  <si>
    <t>[38.9 / 1.2 /  8.71] +  2% Заг.скл</t>
  </si>
  <si>
    <t>0</t>
  </si>
  <si>
    <t>42</t>
  </si>
  <si>
    <t>09-05-007-03</t>
  </si>
  <si>
    <t>Срезка арматуры 16мм // Вырезка отверстий в металлоконструкциях при толщине стали: от 10 до 20 мм</t>
  </si>
  <si>
    <t>ФЕР-2001, 09-05-007-03, приказ Минстроя России № 876/пр от 26.12.2019</t>
  </si>
  <si>
    <t>Строительные металлические конструкции</t>
  </si>
  <si>
    <t>ФЕР-09</t>
  </si>
  <si>
    <t>Пр/812-009.0-1</t>
  </si>
  <si>
    <t>Пр/774-009.0</t>
  </si>
  <si>
    <t>43</t>
  </si>
  <si>
    <t>46-08-012-04</t>
  </si>
  <si>
    <t>Установка анкеров в отверстия глубиной 100 мм с применением составов на цементно-эпоксидной основе, диаметр анкера: 16 мм</t>
  </si>
  <si>
    <t>100 ШТ</t>
  </si>
  <si>
    <t>ФЕР-2001, 46-08-012-04, приказ Минстроя России № 876/пр от 26.12.2019</t>
  </si>
  <si>
    <t>43.1</t>
  </si>
  <si>
    <t>01.7.03.04-0001-4</t>
  </si>
  <si>
    <t>Затраты на электроэнергию, потребляемую ручным инструментом ( 2 % от ОЗП)</t>
  </si>
  <si>
    <t>РУБ</t>
  </si>
  <si>
    <t>ФССЦ-2001, 01.7.03.04-0001-4, приказ Минстроя России № 294/пр от 01.06.2020 (см. тех.часть)</t>
  </si>
  <si>
    <t>44</t>
  </si>
  <si>
    <t>Арматура А500 16мм</t>
  </si>
  <si>
    <t>[65 000 / 1.2 /  8.71] +  5% Трансп +  2% Заг.скл</t>
  </si>
  <si>
    <t>45</t>
  </si>
  <si>
    <t>91.06.09-061</t>
  </si>
  <si>
    <t>Подмости самоходные, высота подъема 12 м</t>
  </si>
  <si>
    <t>ФСЭМ-2001, 91.06.09-061 , приказ Минстроя России № 876/пр от 26.12.2019</t>
  </si>
  <si>
    <t>Ремонт ж/б ригелей и перекрытий</t>
  </si>
  <si>
    <t>46</t>
  </si>
  <si>
    <t>47</t>
  </si>
  <si>
    <t>47.1</t>
  </si>
  <si>
    <t>48</t>
  </si>
  <si>
    <t>49</t>
  </si>
  <si>
    <t>50</t>
  </si>
  <si>
    <t>51</t>
  </si>
  <si>
    <t>52</t>
  </si>
  <si>
    <t>53</t>
  </si>
  <si>
    <t>Окна</t>
  </si>
  <si>
    <t>54</t>
  </si>
  <si>
    <t>08-04-002-03</t>
  </si>
  <si>
    <t>Демонтаж // Заполнение проемов стеклянными блоками: при высоте этажа до 4 м</t>
  </si>
  <si>
    <t>ФЕР-2001, 08-04-002-03, приказ Минстроя России № 876/пр от 26.12.2019</t>
  </si>
  <si>
    <t>)*0</t>
  </si>
  <si>
    <t>)*1,15)*0,8</t>
  </si>
  <si>
    <t>Поправка: МР 519/пр Прил.2, Табл.3, п. 3  Поправка: МР 519/пр Табл.2, п.2</t>
  </si>
  <si>
    <t>55</t>
  </si>
  <si>
    <t>46-04-001-04</t>
  </si>
  <si>
    <t>Разборка: кирпичных стен</t>
  </si>
  <si>
    <t>ФЕР-2001, 46-04-001-04, приказ Минстроя России № 876/пр от 26.12.2019</t>
  </si>
  <si>
    <t>56</t>
  </si>
  <si>
    <t>46-02-007-01</t>
  </si>
  <si>
    <t>Кладка отдельных участков кирпичных стен и заделка проемов в кирпичных стенах при объеме кладки в одном месте: до 5 м3</t>
  </si>
  <si>
    <t>ФЕР-2001, 46-02-007-01, приказ Минстроя России № 876/пр от 26.12.2019</t>
  </si>
  <si>
    <t>56.1</t>
  </si>
  <si>
    <t>04.3.01.12-0003</t>
  </si>
  <si>
    <t>Раствор кладочный, цементно-известковый, М50</t>
  </si>
  <si>
    <t>ФССЦ-2001, 04.3.01.12-0003, приказ Минстроя России № 876/пр от 26.12.2019</t>
  </si>
  <si>
    <t>57</t>
  </si>
  <si>
    <t>Раствор цементно-песчаный М150 с учетом доставки</t>
  </si>
  <si>
    <t>[4 575 / 1.2 /  8.71]</t>
  </si>
  <si>
    <t>58</t>
  </si>
  <si>
    <t>Кирпич 250х120х88</t>
  </si>
  <si>
    <t>[22 / 1.2 /  8.71] +  5% Трансп +  2% Заг.скл</t>
  </si>
  <si>
    <t>59</t>
  </si>
  <si>
    <t>69-2-1</t>
  </si>
  <si>
    <t>Сверление отверстий: в кирпичных стенах электроперфоратором диаметром до 20 мм, толщина стен 0,5 кирпича</t>
  </si>
  <si>
    <t>100 отверстий</t>
  </si>
  <si>
    <t>ФЕРр-2001, 69-2-1, приказ Минстроя России № 876/пр от 26.12.2019</t>
  </si>
  <si>
    <t>60</t>
  </si>
  <si>
    <t>Арматура А500 8мм</t>
  </si>
  <si>
    <t>[65 500 / 1.2 /  8.71] +  5% Трансп +  2% Заг.скл</t>
  </si>
  <si>
    <t>61</t>
  </si>
  <si>
    <t>46-02-007-02</t>
  </si>
  <si>
    <t>Кладка отдельных участков кирпичных стен и заделка проемов в кирпичных стенах при объеме кладки в одном месте: до 15 м3</t>
  </si>
  <si>
    <t>ФЕР-2001, 46-02-007-02, приказ Минстроя России № 876/пр от 26.12.2019</t>
  </si>
  <si>
    <t>61.1</t>
  </si>
  <si>
    <t>62</t>
  </si>
  <si>
    <t>63</t>
  </si>
  <si>
    <t>64</t>
  </si>
  <si>
    <t>10-01-034-02</t>
  </si>
  <si>
    <t>Установка в жилых и общественных зданиях оконных блоков из ПВХ профилей: глухих с площадью проема более 2 м2</t>
  </si>
  <si>
    <t>ФЕР-2001, 10-01-034-02, приказ Минстроя России № 876/пр от 26.12.2019</t>
  </si>
  <si>
    <t>)*1,15)*1,25</t>
  </si>
  <si>
    <t>Деревянные конструкции</t>
  </si>
  <si>
    <t>ФЕР-10</t>
  </si>
  <si>
    <t>Поправка: МР 519/пр Прил.2, Табл.3, п. 3  Поправка: М-ка 421/пр 04.08.20 п.58 п.п. б)</t>
  </si>
  <si>
    <t>Пр/812-010.0-1</t>
  </si>
  <si>
    <t>Пр/774-010.0</t>
  </si>
  <si>
    <t>65</t>
  </si>
  <si>
    <t>Окнонный блок ПВХ 1470х1970 однокамерный</t>
  </si>
  <si>
    <t>[9 542.51 / 1.2 /  8.71] +  5% Трансп +  2% Заг.скл</t>
  </si>
  <si>
    <t>66</t>
  </si>
  <si>
    <t>10-01-034-01</t>
  </si>
  <si>
    <t>Установка в жилых и общественных зданиях оконных блоков из ПВХ профилей: глухих с площадью проема до 2 м2</t>
  </si>
  <si>
    <t>ФЕР-2001, 10-01-034-01, приказ Минстроя России № 876/пр от 26.12.2019</t>
  </si>
  <si>
    <t>67</t>
  </si>
  <si>
    <t>Окнонный блок ПВХ 1970х970 однокамерный</t>
  </si>
  <si>
    <t>[5 944.95 / 1.2 /  8.71] +  5% Трансп +  2% Заг.скл</t>
  </si>
  <si>
    <t>68</t>
  </si>
  <si>
    <t>69</t>
  </si>
  <si>
    <t>15-02-019-05</t>
  </si>
  <si>
    <t>Сплошное выравнивание внутренних поверхностей (однослойное оштукатуривание) из сухих растворных смесей толщиной до 10 мм: оконных и дверных откосов плоских</t>
  </si>
  <si>
    <t>ФЕР-2001, 15-02-019-05, приказ Минстроя России № 876/пр от 26.12.2019</t>
  </si>
  <si>
    <t>70</t>
  </si>
  <si>
    <t>15-02-019-09</t>
  </si>
  <si>
    <t>Сплошное выравнивание внутренних поверхностей (однослойное оштукатуривание) из сухих растворных смесей на каждый 1 мм изменения толщины слоя добавлять или исключать к расценке: 15-02-019-05</t>
  </si>
  <si>
    <t>ФЕР-2001, 15-02-019-09, приказ Минстроя России № 876/пр от 26.12.2019</t>
  </si>
  <si>
    <t>)*5</t>
  </si>
  <si>
    <t>)*1,25)*1,15)*5</t>
  </si>
  <si>
    <t>)*1,15)*1,15)*5</t>
  </si>
  <si>
    <t>71</t>
  </si>
  <si>
    <t>72</t>
  </si>
  <si>
    <t>73</t>
  </si>
  <si>
    <t>15-01-094-06</t>
  </si>
  <si>
    <t>Устройство проемов в вентилируемых фасадах с вертикально-горизонтальным каркасом, с лесов: устройство оконного отлива</t>
  </si>
  <si>
    <t>ФЕР-2001 доп.4, 15-01-094-06, приказ Минстроя России № 636/пр от 20.10.2020</t>
  </si>
  <si>
    <t>73.1</t>
  </si>
  <si>
    <t>08.1.02.07-0200</t>
  </si>
  <si>
    <t>Сливы оконные из оцинкованной стали, окрашенные, для навесных вентилируемых фасадов, толщина 0,5 мм</t>
  </si>
  <si>
    <t>ФССЦ-2001 доп.4, 08.1.02.07-0200, приказ Минстроя России № 636/пр от 20.10.2020</t>
  </si>
  <si>
    <t>74</t>
  </si>
  <si>
    <t>Отлив оконный 150мм</t>
  </si>
  <si>
    <t>[180 / 1.2 /  8.71] +  5% Трансп +  2% Заг.скл</t>
  </si>
  <si>
    <t>75</t>
  </si>
  <si>
    <t>53-25-1</t>
  </si>
  <si>
    <t>Устройство металлических перемычек в стенах существующих зданий</t>
  </si>
  <si>
    <t>ФЕРр-2001, 53-25-1, приказ Минстроя России № 876/пр от 26.12.2019</t>
  </si>
  <si>
    <t>75.1</t>
  </si>
  <si>
    <t>75.2</t>
  </si>
  <si>
    <t>06.1.01.05-0035</t>
  </si>
  <si>
    <t>Кирпич керамический одинарный, марка 100, размер 250x120x65 мм</t>
  </si>
  <si>
    <t>ФССЦ-2001, 06.1.01.05-0035, приказ Минстроя России № 876/пр от 26.12.2019</t>
  </si>
  <si>
    <t>76</t>
  </si>
  <si>
    <t>Швеллер 14П</t>
  </si>
  <si>
    <t>77</t>
  </si>
  <si>
    <t>Брус 50х50</t>
  </si>
  <si>
    <t>[16 500 / 1.2 /  8.71] +  5% Трансп +  2% Заг.скл</t>
  </si>
  <si>
    <t>78</t>
  </si>
  <si>
    <t>Шпилька 2 М12 Д=100мм</t>
  </si>
  <si>
    <t>[160 / 1.2 /  8.71] +  5% Трансп +  2% Заг.скл</t>
  </si>
  <si>
    <t>79</t>
  </si>
  <si>
    <t>80</t>
  </si>
  <si>
    <t>Расчистка поверхностей шпателем, щетками от старых покрасок // поручни, двери, силовые элементы конструкций)</t>
  </si>
  <si>
    <t>81</t>
  </si>
  <si>
    <t>09-03-031-01</t>
  </si>
  <si>
    <t>Демонтаж // Монтаж щитов и блоков встроенных площадок с настилом из листовой стали, ребрами жесткости, составного сечения</t>
  </si>
  <si>
    <t>ФЕР-2001, 09-03-031-01, приказ Минстроя России № 876/пр от 26.12.2019</t>
  </si>
  <si>
    <t>)*1,15)*0,7</t>
  </si>
  <si>
    <t>Поправка: МР 519/пр Прил.2, Табл.3, п. 3  Поправка: МР 571/пр Табл.2, п.4</t>
  </si>
  <si>
    <t>82</t>
  </si>
  <si>
    <t>46-01-008-03</t>
  </si>
  <si>
    <t>Заполнение бетоном отдельных мест в перекрытиях</t>
  </si>
  <si>
    <t>ФЕР-2001, 46-01-008-03, приказ Минстроя России № 876/пр от 26.12.2019</t>
  </si>
  <si>
    <t>82.1</t>
  </si>
  <si>
    <t>08.4.03.04-0001</t>
  </si>
  <si>
    <t>Сталь арматурная, горячекатаная, класс А-I, А-II, А-III</t>
  </si>
  <si>
    <t>ФССЦ-2001, 08.4.03.04-0001, приказ Минстроя России № 876/пр от 26.12.2019</t>
  </si>
  <si>
    <t>83</t>
  </si>
  <si>
    <t>84</t>
  </si>
  <si>
    <t>Бетон В20 с учетом доставки</t>
  </si>
  <si>
    <t>[4 675 / 1.2 /  8.71]</t>
  </si>
  <si>
    <t>85</t>
  </si>
  <si>
    <t>м38-01-001-01</t>
  </si>
  <si>
    <t>Листовые конструкции массой свыше 0,5 т (бункеры, сборники, отстойники, мерники без внутренних устройств и др.), сборка с помощью: крана на автомобильном ходу</t>
  </si>
  <si>
    <t>ФЕРм-2001, м38-01-001-01, приказ Минстроя России № 876/пр от 26.12.2019</t>
  </si>
  <si>
    <t>86</t>
  </si>
  <si>
    <t>Лист металлический рифленный 5мм чечевица</t>
  </si>
  <si>
    <t>[75 000 / 1.2 /  8.71] +  5% Трансп +  0.75% Заг.скл</t>
  </si>
  <si>
    <t>87</t>
  </si>
  <si>
    <t>Сталь угловая 75х5мм</t>
  </si>
  <si>
    <t>[76 000 / 1.2 /  8.71] +  5% Трансп +  0.75% Заг.скл</t>
  </si>
  <si>
    <t>88</t>
  </si>
  <si>
    <t>09-06-001-01</t>
  </si>
  <si>
    <t>Монтаж: конструкций дверей, люков, лазов для автокоптилок и пароварочных камер</t>
  </si>
  <si>
    <t>ФЕР-2001, 09-06-001-01, приказ Минстроя России № 876/пр от 26.12.2019</t>
  </si>
  <si>
    <t>Выравнивание склона</t>
  </si>
  <si>
    <t>89</t>
  </si>
  <si>
    <t>01-01-013-08</t>
  </si>
  <si>
    <t>Разработка грунта с погрузкой на автомобили-самосвалы экскаваторами с ковшом вместимостью: 0,65 (0,5-1) м3, группа грунтов 2</t>
  </si>
  <si>
    <t>1000 м3</t>
  </si>
  <si>
    <t>ФЕР-2001, 01-01-013-08, приказ Минстроя России № 876/пр от 26.12.2019</t>
  </si>
  <si>
    <t>Земляные работы</t>
  </si>
  <si>
    <t>Земляные работы, выполняемые: механизированным способом</t>
  </si>
  <si>
    <t>ФЕР-01</t>
  </si>
  <si>
    <t>Пр/812-001.1-1</t>
  </si>
  <si>
    <t>Пр/774-001.1</t>
  </si>
  <si>
    <t>90</t>
  </si>
  <si>
    <t>т03-21-01-002</t>
  </si>
  <si>
    <t>Перевозка грузов I класса автомобилями-самосвалами грузоподъемностью 10 т работающих вне карьера на расстояние до 2 км</t>
  </si>
  <si>
    <t>1 т груза</t>
  </si>
  <si>
    <t>ФССЦпг-2001, т03-21-01-002, приказ Минстроя России №876/пр от 26.12.2019</t>
  </si>
  <si>
    <t>Автомобили-самосвалы</t>
  </si>
  <si>
    <t>Перевозка строительных грузов автомобильным транспортом</t>
  </si>
  <si>
    <t>Перевозка строительных грузов автомобильным транспортом: Автомобили-самосвалы</t>
  </si>
  <si>
    <t>ФССЦпг 03-21, 03-22</t>
  </si>
  <si>
    <t>91</t>
  </si>
  <si>
    <t>01-01-016-02</t>
  </si>
  <si>
    <t>Работа на отвале, группа грунтов: 2-3</t>
  </si>
  <si>
    <t>ФЕР-2001, 01-01-016-02, приказ Минстроя России № 876/пр от 26.12.2019</t>
  </si>
  <si>
    <t>Устройство отмостки</t>
  </si>
  <si>
    <t>92</t>
  </si>
  <si>
    <t>93</t>
  </si>
  <si>
    <t>01-02-057-02</t>
  </si>
  <si>
    <t>Разработка грунта вручную в траншеях глубиной до 2 м без креплений с откосами, группа грунтов: 2</t>
  </si>
  <si>
    <t>100 м3</t>
  </si>
  <si>
    <t>ФЕР-2001, 01-02-057-02, приказ Минстроя России № 876/пр от 26.12.2019</t>
  </si>
  <si>
    <t>)*1,15)*1,15)*1,2</t>
  </si>
  <si>
    <t>Земляные работы, выполняемые: ручным способом</t>
  </si>
  <si>
    <t>Поправка: МР 519/пр Прил.2, Табл.3, п. 3  Поправка: М-ка 421/пр 04.08.20 п.58 п.п. б)  Поправка: Прил. 1.12, п.3.187.</t>
  </si>
  <si>
    <t>Пр/812-001.2-1</t>
  </si>
  <si>
    <t>Пр/774-001.2</t>
  </si>
  <si>
    <t>94</t>
  </si>
  <si>
    <t>01-02-060-02</t>
  </si>
  <si>
    <t>Погрузка вручную неуплотненного грунта из штабелей и отвалов в транспортные средства, группа грунтов: 2</t>
  </si>
  <si>
    <t>ФЕР-2001, 01-02-060-02, приказ Минстроя России № 876/пр от 26.12.2019</t>
  </si>
  <si>
    <t>95</t>
  </si>
  <si>
    <t>96</t>
  </si>
  <si>
    <t>97</t>
  </si>
  <si>
    <t>08-01-002-01</t>
  </si>
  <si>
    <t>Устройство основания под фундаменты: песчаного</t>
  </si>
  <si>
    <t>ФЕР-2001, 08-01-002-01, приказ Минстроя России № 876/пр от 26.12.2019</t>
  </si>
  <si>
    <t>98</t>
  </si>
  <si>
    <t>Песок</t>
  </si>
  <si>
    <t>[350 / 1.2 /  8.71] +  5% Трансп +  2% Заг.скл</t>
  </si>
  <si>
    <t>99</t>
  </si>
  <si>
    <t>08-01-002-02</t>
  </si>
  <si>
    <t>Устройство основания под фундаменты: щебеночного</t>
  </si>
  <si>
    <t>ФЕР-2001, 08-01-002-02, приказ Минстроя России № 876/пр от 26.12.2019</t>
  </si>
  <si>
    <t>100</t>
  </si>
  <si>
    <t>Щебень известковый фр. 5-20мм</t>
  </si>
  <si>
    <t>[912.8 / 1.2 /  8.71] +  5% Трансп +  2% Заг.скл</t>
  </si>
  <si>
    <t>101</t>
  </si>
  <si>
    <t>06-03-004-12</t>
  </si>
  <si>
    <t>Армирование подстилающих слоев и набетонок</t>
  </si>
  <si>
    <t>ФЕР-2001 доп. 3, 06-03-004-12, приказ Минстроя России № 352/пр от 30.06.2020</t>
  </si>
  <si>
    <t>Бетонные и железобетонные монолитные конструкции и работы в строительстве</t>
  </si>
  <si>
    <t>ФЕР-06</t>
  </si>
  <si>
    <t>Пр/812-006.0-1</t>
  </si>
  <si>
    <t>Пр/774-006.0</t>
  </si>
  <si>
    <t>102</t>
  </si>
  <si>
    <t>Сетка сварная 100х100х4мм</t>
  </si>
  <si>
    <t>[130 / 1.2 /  8.71] +  5% Трансп +  2% Заг.скл</t>
  </si>
  <si>
    <t>103</t>
  </si>
  <si>
    <t>06-01-001-01</t>
  </si>
  <si>
    <t>Устройство бетонной подготовки</t>
  </si>
  <si>
    <t>ФЕР-2001, 06-01-001-01, приказ Минстроя России № 876/пр от 26.12.2019</t>
  </si>
  <si>
    <t>104</t>
  </si>
  <si>
    <t>Бетон В15 с учетом доставки</t>
  </si>
  <si>
    <t>[4 350 / 1.2 /  8.71]</t>
  </si>
  <si>
    <t>105</t>
  </si>
  <si>
    <t>Доска 20мм</t>
  </si>
  <si>
    <t>[16 000 / 1.2 /  8.71] +  5% Трансп +  2% Заг.скл</t>
  </si>
  <si>
    <t>106</t>
  </si>
  <si>
    <t>Мастика битумная</t>
  </si>
  <si>
    <t>[101.04 / 1.2 /  8.71] +  5% Трансп +  2% Заг.скл</t>
  </si>
  <si>
    <t>АКЗ консольных площадок, лестничного марша и ограждения межэтажного перехода</t>
  </si>
  <si>
    <t>107</t>
  </si>
  <si>
    <t>108</t>
  </si>
  <si>
    <t>13-06-004-01</t>
  </si>
  <si>
    <t>Обеспыливание поверхности</t>
  </si>
  <si>
    <t>ФЕР-2001, 13-06-004-01, приказ Минстроя России № 876/пр от 26.12.2019</t>
  </si>
  <si>
    <t>Защита строительных конструкций и оборудования от коррозии</t>
  </si>
  <si>
    <t>Защита строительных конструкций</t>
  </si>
  <si>
    <t>ФЕР-13</t>
  </si>
  <si>
    <t>Пр/812-013.0-1</t>
  </si>
  <si>
    <t>Пр/774-013.0</t>
  </si>
  <si>
    <t>109</t>
  </si>
  <si>
    <t>13-07-001-02</t>
  </si>
  <si>
    <t>Обезжиривание поверхностей аппаратов и трубопроводов диаметром до 500 мм: уайт-спиритом</t>
  </si>
  <si>
    <t>ФЕР-2001, 13-07-001-02, приказ Минстроя России № 876/пр от 26.12.2019</t>
  </si>
  <si>
    <t>110</t>
  </si>
  <si>
    <t>13-03-004-26</t>
  </si>
  <si>
    <t>Окраска металлических огрунтованных поверхностей: эмалью ПФ-115</t>
  </si>
  <si>
    <t>ФЕР-2001, 13-03-004-26, приказ Минстроя России № 876/пр от 26.12.2019</t>
  </si>
  <si>
    <t>)*3</t>
  </si>
  <si>
    <t>)*1,25)*1,15)*3</t>
  </si>
  <si>
    <t>)*1,15)*1,15)*3</t>
  </si>
  <si>
    <t>110.1</t>
  </si>
  <si>
    <t>14.4.04.08-0003</t>
  </si>
  <si>
    <t>Эмаль ПФ-115, серая</t>
  </si>
  <si>
    <t>ФССЦ-2001, 14.4.04.08-0003, приказ Минстроя России № 876/пр от 26.12.2019</t>
  </si>
  <si>
    <t>111</t>
  </si>
  <si>
    <t>Краска 3 в 1 графитовая грунт-эмаль по ржавчине</t>
  </si>
  <si>
    <t>[264 / 1.2 /  8.71] +  5% Трансп +  2% Заг.скл</t>
  </si>
  <si>
    <t>112</t>
  </si>
  <si>
    <t>113</t>
  </si>
  <si>
    <t>07-07-001-03</t>
  </si>
  <si>
    <t>Демонтаж // Устройство в одноэтажных промышленных неотапливаемых зданиях стен из хризотилцементных листов унифицированного профиля по ригелям каркаса: стальным</t>
  </si>
  <si>
    <t>ФЕР-2001, 07-07-001-03, приказ Минстроя России № 876/пр от 26.12.2019</t>
  </si>
  <si>
    <t>Бетонные и железобетонные сборные конструкции и работы в строительстве</t>
  </si>
  <si>
    <t>ФЕР-07</t>
  </si>
  <si>
    <t>Поправка: МР 519/пр Прил.2, Табл.3, п. 3  Поправка: МР 519/пр Табл.2, п.1</t>
  </si>
  <si>
    <t>Пр/812-007.0-1</t>
  </si>
  <si>
    <t>Пр/774-007.0</t>
  </si>
  <si>
    <t>114</t>
  </si>
  <si>
    <t>м38-01-006-02</t>
  </si>
  <si>
    <t>Сборка с помощью крана на автомобильном ходу: стремянки, связи, кронштейны, тормозные конструкции и пр.</t>
  </si>
  <si>
    <t>ФЕРм-2001, м38-01-006-02, приказ Минстроя России № 876/пр от 26.12.2019</t>
  </si>
  <si>
    <t>115</t>
  </si>
  <si>
    <t>09-04-006-01</t>
  </si>
  <si>
    <t>Монтаж фахверка</t>
  </si>
  <si>
    <t>ФЕР-2001, 09-04-006-01, приказ Минстроя России № 876/пр от 26.12.2019</t>
  </si>
  <si>
    <t>116</t>
  </si>
  <si>
    <t>Сталь угловая 50х4</t>
  </si>
  <si>
    <t>[73 000 / 1.2 /  8.71] +  5% Трансп +  0.75% Заг.скл</t>
  </si>
  <si>
    <t>117</t>
  </si>
  <si>
    <t>118</t>
  </si>
  <si>
    <t>119</t>
  </si>
  <si>
    <t>119.1</t>
  </si>
  <si>
    <t>120</t>
  </si>
  <si>
    <t>121</t>
  </si>
  <si>
    <t>09-04-006-02</t>
  </si>
  <si>
    <t>Монтаж ограждающих конструкций стен: из профилированного листа при высоте здания до 30 м</t>
  </si>
  <si>
    <t>ФЕР-2001, 09-04-006-02, приказ Минстроя России № 876/пр от 26.12.2019</t>
  </si>
  <si>
    <t>122</t>
  </si>
  <si>
    <t>Профлист НС35-1000-0,55 с полимерным покрытием</t>
  </si>
  <si>
    <t>[733 / 1.2 /  8.71] +  5% Трансп +  2% Заг.скл</t>
  </si>
  <si>
    <t>123</t>
  </si>
  <si>
    <t>Кровельный саморез 4,8х35</t>
  </si>
  <si>
    <t>[4.44 / 1.2 /  8.71] +  5% Трансп +  2% Заг.скл</t>
  </si>
  <si>
    <t>Утизизация строительного мусора</t>
  </si>
  <si>
    <t>124</t>
  </si>
  <si>
    <t>т01-01-01-041</t>
  </si>
  <si>
    <t>Погрузка при автомобильных перевозках мусора строительного с погрузкой вручную</t>
  </si>
  <si>
    <t>ФССЦпг-2001, т01-01-01-041, приказ Минстроя России №876/пр от 26.12.2019</t>
  </si>
  <si>
    <t>Погрузочно-разгрузочные работы</t>
  </si>
  <si>
    <t>ФССЦпр  пог. а/п (2011,изм. 4-6)</t>
  </si>
  <si>
    <t>125</t>
  </si>
  <si>
    <t>т01-01-01-043</t>
  </si>
  <si>
    <t>Погрузка при автомобильных перевозках мусора строительного с погрузкой экскаваторами емкостью ковша до 0,5 м3</t>
  </si>
  <si>
    <t>ФССЦпг-2001, т01-01-01-043, приказ Минстроя России №876/пр от 26.12.2019</t>
  </si>
  <si>
    <t>126</t>
  </si>
  <si>
    <t>т03-21-01-050</t>
  </si>
  <si>
    <t>Перевозка грузов I класса автомобилями-самосвалами грузоподъемностью 10 т работающих вне карьера на расстояние до 50 км</t>
  </si>
  <si>
    <t>ФССЦпг-2001, т03-21-01-050, приказ Минстроя России №876/пр от 26.12.2019</t>
  </si>
  <si>
    <t>127</t>
  </si>
  <si>
    <t>Договорная цена</t>
  </si>
  <si>
    <t>Утилизация строительного мусора</t>
  </si>
  <si>
    <t>[790 / 1.2 /  8.71]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</si>
  <si>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</si>
  <si>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</si>
  <si>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</si>
  <si>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</si>
  <si>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</si>
  <si>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</si>
  <si>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</si>
  <si>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</si>
  <si>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</si>
  <si>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</si>
  <si>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</si>
  <si>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</si>
  <si>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</si>
  <si>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</si>
  <si>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</si>
  <si>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</si>
  <si>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</si>
  <si>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</si>
  <si>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</si>
  <si>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</si>
  <si>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</si>
  <si>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</si>
  <si>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</si>
  <si>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</si>
  <si>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</si>
  <si>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</si>
  <si>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</si>
  <si>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</si>
  <si>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</si>
  <si>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</si>
  <si>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</si>
  <si>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</si>
  <si>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</si>
  <si>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</si>
  <si>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</si>
  <si>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</si>
  <si>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</si>
  <si>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</si>
  <si>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</si>
  <si>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</si>
  <si>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</si>
  <si>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</si>
  <si>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</si>
  <si>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</si>
  <si>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</si>
  <si>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</si>
  <si>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</si>
  <si>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</si>
  <si>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</si>
  <si>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</si>
  <si>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</si>
  <si>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</si>
  <si>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</si>
  <si>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</t>
  </si>
  <si>
    <t>НДС 20%</t>
  </si>
  <si>
    <t>в с н</t>
  </si>
  <si>
    <t>Всего с НДС 20%</t>
  </si>
  <si>
    <t>НДС</t>
  </si>
  <si>
    <t>Новая переменная</t>
  </si>
  <si>
    <t>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</si>
  <si>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</si>
  <si>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</si>
  <si>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</si>
  <si>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</si>
  <si>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</si>
  <si>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</si>
  <si>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</si>
  <si>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</si>
  <si>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</si>
  <si>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</si>
  <si>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</si>
  <si>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</si>
  <si>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</si>
  <si>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</si>
  <si>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</si>
  <si>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</si>
  <si>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</si>
  <si>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</si>
  <si>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</si>
  <si>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</si>
  <si>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СТНДРТ</t>
  </si>
  <si>
    <t>При определении сметной стоимости строительства объектов капитального строительства (за исключением АЭС).</t>
  </si>
  <si>
    <t>АЭС_ПНР</t>
  </si>
  <si>
    <t>При определении сметной стоимости строительства объектов капитального строительства АЭС. Пусконаладочные работы (за исключением технологического оборудования АЭС).</t>
  </si>
  <si>
    <t>АЭС_ПНР_ТЕХ</t>
  </si>
  <si>
    <t>При определении сметной стоимости строительства объектов капитального строительства АЭС. Пусконаладочные работы технологического оборудования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</si>
  <si>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</si>
  <si>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АЭС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</si>
  <si>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</si>
  <si>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</si>
  <si>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</si>
  <si>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</si>
  <si>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</si>
  <si>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</si>
  <si>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</si>
  <si>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</si>
  <si>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</si>
  <si>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</si>
  <si>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</si>
  <si>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</si>
  <si>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</si>
  <si>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</si>
  <si>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</si>
  <si>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ОБ_ПР</t>
  </si>
  <si>
    <t>Объект производственного назначения</t>
  </si>
  <si>
    <t>ОБ_НПР</t>
  </si>
  <si>
    <t>Объект непроизводственного назначения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</si>
  <si>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</si>
  <si>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</si>
  <si>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</si>
  <si>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</si>
  <si>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</si>
  <si>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</si>
  <si>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</si>
  <si>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</si>
  <si>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</si>
  <si>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</si>
  <si>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</si>
  <si>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</si>
  <si>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</si>
  <si>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</si>
  <si>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</si>
  <si>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</si>
  <si>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</si>
  <si>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</si>
  <si>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</si>
  <si>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</si>
  <si>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1-100-20</t>
  </si>
  <si>
    <t>Затраты труда рабочих (Средний разряд - 2)</t>
  </si>
  <si>
    <t>чел.-ч.</t>
  </si>
  <si>
    <t>999-9900</t>
  </si>
  <si>
    <t>Строительный мусор</t>
  </si>
  <si>
    <t>1-100-39</t>
  </si>
  <si>
    <t>Затраты труда рабочих (Средний разряд - 3,9)</t>
  </si>
  <si>
    <t>4-100-00</t>
  </si>
  <si>
    <t>Затраты труда машинистов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</si>
  <si>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</si>
  <si>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</si>
  <si>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</si>
  <si>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01.7.03.01-0001</t>
  </si>
  <si>
    <t>ФССЦ-2001, 01.7.03.01-0001, приказ Минстроя России № 876/пр от 26.12.2019</t>
  </si>
  <si>
    <t>Вода</t>
  </si>
  <si>
    <t>1-100-34</t>
  </si>
  <si>
    <t>Затраты труда рабочих (Средний разряд - 3,4)</t>
  </si>
  <si>
    <t>04.3.02.04</t>
  </si>
  <si>
    <t>Смесь бетонная</t>
  </si>
  <si>
    <t>14.2.06.08-0103</t>
  </si>
  <si>
    <t>ФССЦ-2001, 14.2.06.08-0103, приказ Минстроя России № 876/пр от 26.12.2019</t>
  </si>
  <si>
    <t>Средство высококачественное запечатывающее, для ухода за бетонным полом, натурального цвета</t>
  </si>
  <si>
    <t>1-100-30</t>
  </si>
  <si>
    <t>Затраты труда рабочих (Средний разряд - 3)</t>
  </si>
  <si>
    <t>1-100-33</t>
  </si>
  <si>
    <t>Затраты труда рабочих (Средний разряд - 3,3)</t>
  </si>
  <si>
    <t>91.05.01-017</t>
  </si>
  <si>
    <t>ФСЭМ-2001, 91.05.01-017 , приказ Минстроя России № 876/пр от 26.12.2019</t>
  </si>
  <si>
    <t>Краны башенные, грузоподъемность 8 т</t>
  </si>
  <si>
    <t>91.05.05-015</t>
  </si>
  <si>
    <t>ФСЭМ-2001, 91.05.05-015 , приказ Минстроя России № 876/пр от 26.12.2019</t>
  </si>
  <si>
    <t>Краны на автомобильном ходу, грузоподъемность 16 т</t>
  </si>
  <si>
    <t>91.17.04-233</t>
  </si>
  <si>
    <t>ФСЭМ-2001, 91.17.04-233 , приказ Минстроя России № 876/пр от 26.12.2019</t>
  </si>
  <si>
    <t>Установки для сварки ручной дуговой (постоянного тока)</t>
  </si>
  <si>
    <t>01.7.11.07-0054</t>
  </si>
  <si>
    <t>ФССЦ-2001, 01.7.11.07-0054, приказ Минстроя России № 876/пр от 26.12.2019</t>
  </si>
  <si>
    <t>Электроды сварочные Э42, диаметр 6 мм</t>
  </si>
  <si>
    <t>01.7.19.07-0003</t>
  </si>
  <si>
    <t>ФССЦ-2001, 01.7.19.07-0003, приказ Минстроя России № 876/пр от 26.12.2019</t>
  </si>
  <si>
    <t>Резина прессованная</t>
  </si>
  <si>
    <t>07.2.07.13</t>
  </si>
  <si>
    <t>Конструкции стальные перил</t>
  </si>
  <si>
    <t>1-100-38</t>
  </si>
  <si>
    <t>Затраты труда рабочих (Средний разряд - 3,8)</t>
  </si>
  <si>
    <t>91.06.03-062</t>
  </si>
  <si>
    <t>ФСЭМ-2001, 91.06.03-062 , приказ Минстроя России № 876/пр от 26.12.2019</t>
  </si>
  <si>
    <t>Лебедки электрические тяговым усилием до 31,39 кН (3,2 т)</t>
  </si>
  <si>
    <t>91.14.02-002</t>
  </si>
  <si>
    <t>ФСЭМ-2001, 91.14.02-002 , приказ Минстроя России № 876/пр от 26.12.2019</t>
  </si>
  <si>
    <t>Автомобили бортовые, грузоподъемность до 8 т</t>
  </si>
  <si>
    <t>91.17.04-011</t>
  </si>
  <si>
    <t>ФСЭМ-2001, 91.17.04-011 , приказ Минстроя России № 876/пр от 26.12.2019</t>
  </si>
  <si>
    <t>Автоматы сварочные номинальным сварочным током 450-1250 А</t>
  </si>
  <si>
    <t>91.17.04-042</t>
  </si>
  <si>
    <t>ФСЭМ-2001, 91.17.04-042 , приказ Минстроя России № 876/пр от 26.12.2019</t>
  </si>
  <si>
    <t>Аппараты для газовой сварки и резки</t>
  </si>
  <si>
    <t>91.21.16-001</t>
  </si>
  <si>
    <t>ФСЭМ-2001, 91.21.16-001 , приказ Минстроя России № 876/пр от 26.12.2019</t>
  </si>
  <si>
    <t>Пресс-ножницы комбинированные</t>
  </si>
  <si>
    <t>91.21.19-031</t>
  </si>
  <si>
    <t>ФСЭМ-2001, 91.21.19-031 , приказ Минстроя России № 876/пр от 26.12.2019</t>
  </si>
  <si>
    <t>Станки сверлильные</t>
  </si>
  <si>
    <t>01.3.02.08-0001</t>
  </si>
  <si>
    <t>ФССЦ-2001, 01.3.02.08-0001, приказ Минстроя России № 876/пр от 26.12.2019</t>
  </si>
  <si>
    <t>Кислород газообразный технический</t>
  </si>
  <si>
    <t>01.3.02.09-0022</t>
  </si>
  <si>
    <t>ФССЦ-2001, 01.3.02.09-0022, приказ Минстроя России № 876/пр от 26.12.2019</t>
  </si>
  <si>
    <t>Пропан-бутан смесь техническая</t>
  </si>
  <si>
    <t>01.7.11.07-0044</t>
  </si>
  <si>
    <t>ФССЦ-2001, 01.7.11.07-0044, приказ Минстроя России № 876/пр от 26.12.2019</t>
  </si>
  <si>
    <t>Электроды сварочные Э42, диаметр 5 мм</t>
  </si>
  <si>
    <t>999-9950</t>
  </si>
  <si>
    <t>Вспомогательные ненормируемые материалы (2% от ОЗП)</t>
  </si>
  <si>
    <t>1-100-31</t>
  </si>
  <si>
    <t>Затраты труда рабочих (Средний разряд - 3,1)</t>
  </si>
  <si>
    <t>01.7.16.02-0001</t>
  </si>
  <si>
    <t>ФССЦ-2001, 01.7.16.02-0001, приказ Минстроя России № 876/пр от 26.12.2019</t>
  </si>
  <si>
    <t>Детали деревянные лесов из пиломатериалов хвойных пород</t>
  </si>
  <si>
    <t>01.7.16.02-0003</t>
  </si>
  <si>
    <t>ФССЦ-2001, 01.7.16.02-0003, приказ Минстроя России № 876/пр от 26.12.2019</t>
  </si>
  <si>
    <t>Детали стальных трубчатых лесов, укомплектованные пробками, крючками и хомутами, окрашенные</t>
  </si>
  <si>
    <t>11.2.13.06-0011</t>
  </si>
  <si>
    <t>ФССЦ-2001, 11.2.13.06-0011, приказ Минстроя России № 876/пр от 26.12.2019</t>
  </si>
  <si>
    <t>Щиты настила, все толщины</t>
  </si>
  <si>
    <t>1-100-16</t>
  </si>
  <si>
    <t>Затраты труда рабочих (Средний разряд - 1,6)</t>
  </si>
  <si>
    <t>1-100-36</t>
  </si>
  <si>
    <t>Затраты труда рабочих (Средний разряд - 3,6)</t>
  </si>
  <si>
    <t>91.06.06-046</t>
  </si>
  <si>
    <t>ФСЭМ-2001, 91.06.06-046 , приказ Минстроя России № 876/пр от 26.12.2019</t>
  </si>
  <si>
    <t>Подъемники одномачтовые, грузоподъемность до 500 кг, высота подъема 25 м</t>
  </si>
  <si>
    <t>91.21.01-012</t>
  </si>
  <si>
    <t>ФСЭМ-2001, 91.21.01-012 , приказ Минстроя России № 876/пр от 26.12.2019</t>
  </si>
  <si>
    <t>Агрегаты окрасочные высокого давления для окраски поверхностей конструкций, мощность 1 кВт</t>
  </si>
  <si>
    <t>01.7.20.08-0051</t>
  </si>
  <si>
    <t>ФССЦ-2001, 01.7.20.08-0051, приказ Минстроя России № 876/пр от 26.12.2019</t>
  </si>
  <si>
    <t>Ветошь</t>
  </si>
  <si>
    <t>14.4.01.02</t>
  </si>
  <si>
    <t>Грунтовки на акриловой основе</t>
  </si>
  <si>
    <t>91.06.05-011</t>
  </si>
  <si>
    <t>ФСЭМ-2001, 91.06.05-011 , приказ Минстроя России № 876/пр от 26.12.2019</t>
  </si>
  <si>
    <t>Погрузчики, грузоподъемность 5 т</t>
  </si>
  <si>
    <t>91.06.06-048</t>
  </si>
  <si>
    <t>ФСЭМ-2001, 91.06.06-048 , приказ Минстроя России № 876/пр от 26.12.2019</t>
  </si>
  <si>
    <t>Подъемники одномачтовые, грузоподъемность до 500 кг, высота подъема 45 м</t>
  </si>
  <si>
    <t>08.3.03.04-0043</t>
  </si>
  <si>
    <t>ФССЦ-2001, 08.3.03.04-0043, приказ Минстроя России № 876/пр от 26.12.2019</t>
  </si>
  <si>
    <t>Проволока черная, диаметр 1,1 мм</t>
  </si>
  <si>
    <t>08.3.03.06-0002</t>
  </si>
  <si>
    <t>ФССЦ-2001, 08.3.03.06-0002, приказ Минстроя России № 876/пр от 26.12.2019</t>
  </si>
  <si>
    <t>Проволока горячекатаная в мотках, диаметр 6,3-6,5 мм</t>
  </si>
  <si>
    <t>1-100-47</t>
  </si>
  <si>
    <t>Затраты труда рабочих (Средний разряд - 4,7)</t>
  </si>
  <si>
    <t>91.07.08-024</t>
  </si>
  <si>
    <t>ФСЭМ-2001, 91.07.08-024 , приказ Минстроя России № 876/пр от 26.12.2019</t>
  </si>
  <si>
    <t>Растворосмесители передвижные, объем барабана 65 л</t>
  </si>
  <si>
    <t>01.7.17.11-0011</t>
  </si>
  <si>
    <t>ФССЦ-2001, 01.7.17.11-0011, приказ Минстроя России № 876/пр от 26.12.2019</t>
  </si>
  <si>
    <t>Шкурка шлифовальная двухслойная с зернистостью 40-25</t>
  </si>
  <si>
    <t>04.3.02.09</t>
  </si>
  <si>
    <t>Смеси на цементной основе</t>
  </si>
  <si>
    <t>14.2.06.06-0011</t>
  </si>
  <si>
    <t>ФССЦ-2001, 14.2.06.06-0011, приказ Минстроя России № 876/пр от 26.12.2019</t>
  </si>
  <si>
    <t>Латекс СКС-65 ГП</t>
  </si>
  <si>
    <t>1-100-32</t>
  </si>
  <si>
    <t>Затраты труда рабочих (Средний разряд - 3,2)</t>
  </si>
  <si>
    <t>91.18.01-011</t>
  </si>
  <si>
    <t>ФСЭМ-2001, 91.18.01-011 , приказ Минстроя России № 876/пр от 26.12.2019</t>
  </si>
  <si>
    <t>Компрессоры передвижные с электродвигателем давление 600 кПа (6 ат), производительность 0,5 м3/мин</t>
  </si>
  <si>
    <t>01.7.15.07</t>
  </si>
  <si>
    <t>Пакер инъекционный</t>
  </si>
  <si>
    <t>10 ШТ</t>
  </si>
  <si>
    <t>01.7.17.09</t>
  </si>
  <si>
    <t>Буры с победитовым наконечником</t>
  </si>
  <si>
    <t>Смеси сухие цементные быстродействующие</t>
  </si>
  <si>
    <t>1-100-44</t>
  </si>
  <si>
    <t>Затраты труда рабочих (Средний разряд - 4,4)</t>
  </si>
  <si>
    <t>91.21.22-588</t>
  </si>
  <si>
    <t>ФСЭМ-2001 доп.1, 91.21.22-588, приказ Минстроя России № 172/пр от 30.03.2020</t>
  </si>
  <si>
    <t>Насосы инъекционные мембранные высокого давления, производительность 2,5 л/мин</t>
  </si>
  <si>
    <t>14.5.09.07-1016</t>
  </si>
  <si>
    <t>ФССЦ-2001, 14.5.09.07-1016, приказ Минстроя России № 876/пр от 26.12.2019</t>
  </si>
  <si>
    <t>Растворитель органический для очистки от полиуретановых составов</t>
  </si>
  <si>
    <t>1-100-35</t>
  </si>
  <si>
    <t>Затраты труда рабочих (Средний разряд - 3,5)</t>
  </si>
  <si>
    <t>01.7.03.04-0001</t>
  </si>
  <si>
    <t>ФССЦ-2001, 01.7.03.04-0001, приказ Минстроя России № 876/пр от 26.12.2019</t>
  </si>
  <si>
    <t>Электроэнергия</t>
  </si>
  <si>
    <t>КВТ-Ч</t>
  </si>
  <si>
    <t>01.7.07.29-0111</t>
  </si>
  <si>
    <t>ФССЦ-2001, 01.7.07.29-0111, приказ Минстроя России № 876/пр от 26.12.2019</t>
  </si>
  <si>
    <t>Пакля пропитанная</t>
  </si>
  <si>
    <t>04.3.01.07-0013</t>
  </si>
  <si>
    <t>ФССЦ-2001, 04.3.01.07-0013, приказ Минстроя России № 876/пр от 26.12.2019</t>
  </si>
  <si>
    <t>Раствор готовый отделочный тяжелый, известковый, состав 1:3</t>
  </si>
  <si>
    <t>14.2.06.03-0514</t>
  </si>
  <si>
    <t>ФССЦ-2001, 14.2.06.03-0514, приказ Минстроя России № 876/пр от 26.12.2019</t>
  </si>
  <si>
    <t>Жидкость гидрофобизирующая ГКЖ-10</t>
  </si>
  <si>
    <t>14.5.02.02-0103</t>
  </si>
  <si>
    <t>ФССЦ-2001, 14.5.02.02-0103, приказ Минстроя России № 876/пр от 26.12.2019</t>
  </si>
  <si>
    <t>Замазка силикатная</t>
  </si>
  <si>
    <t>1-100-40</t>
  </si>
  <si>
    <t>Затраты труда рабочих (Средний разряд - 4)</t>
  </si>
  <si>
    <t>01.3.02.03-0001</t>
  </si>
  <si>
    <t>ФССЦ-2001, 01.3.02.03-0001, приказ Минстроя России № 876/пр от 26.12.2019</t>
  </si>
  <si>
    <t>Ацетилен газообразный технический</t>
  </si>
  <si>
    <t>91.18.01-012</t>
  </si>
  <si>
    <t>ФСЭМ-2001, 91.18.01-012 , приказ Минстроя России № 876/пр от 26.12.2019</t>
  </si>
  <si>
    <t>Компрессоры передвижные с электродвигателем давление 600 кПа (6 ат), производительность до 3,5 м3/мин</t>
  </si>
  <si>
    <t>01.7.15.02</t>
  </si>
  <si>
    <t>Болты анкерные</t>
  </si>
  <si>
    <t>14.2.05.05</t>
  </si>
  <si>
    <t>Составы на цементно-эпоксидной основе</t>
  </si>
  <si>
    <t>01.8.01.01-0022</t>
  </si>
  <si>
    <t>ФССЦ-2001, 01.8.01.01-0022, приказ Минстроя России № 876/пр от 26.12.2019</t>
  </si>
  <si>
    <t>Блоки стеклянные пустотелые бесцветные, размер 194x194x98 мм</t>
  </si>
  <si>
    <t>04.3.01.12-0002</t>
  </si>
  <si>
    <t>ФССЦ-2001, 04.3.01.12-0002, приказ Минстроя России № 876/пр от 26.12.2019</t>
  </si>
  <si>
    <t>Раствор кладочный, цементно-известковый, М25</t>
  </si>
  <si>
    <t>08.4.03.02-0001</t>
  </si>
  <si>
    <t>ФССЦ-2001, 08.4.03.02-0001, приказ Минстроя России № 876/пр от 26.12.2019</t>
  </si>
  <si>
    <t>Сталь арматурная, горячекатаная, гладкая, класс А-I, диаметр 6 мм</t>
  </si>
  <si>
    <t>91.18.01-508</t>
  </si>
  <si>
    <t>ФСЭМ-2001, 91.18.01-508 , приказ Минстроя России № 876/пр от 26.12.2019</t>
  </si>
  <si>
    <t>Компрессоры передвижные с электродвигателем, производительность до 5,0 м3/мин</t>
  </si>
  <si>
    <t>91.21.10-003</t>
  </si>
  <si>
    <t>ФСЭМ-2001, 91.21.10-003 , приказ Минстроя России № 876/пр от 26.12.2019</t>
  </si>
  <si>
    <t>Молотки при работе от передвижных компрессорных станций отбойные пневматические</t>
  </si>
  <si>
    <t>1-100-25</t>
  </si>
  <si>
    <t>Затраты труда рабочих (Средний разряд - 2,5)</t>
  </si>
  <si>
    <t>91.06.03-055</t>
  </si>
  <si>
    <t>ФСЭМ-2001, 91.06.03-055 , приказ Минстроя России № 876/пр от 26.12.2019</t>
  </si>
  <si>
    <t>Лебедки электрические тяговым усилием 19,62 кН (2 т)</t>
  </si>
  <si>
    <t>06.1.01.05</t>
  </si>
  <si>
    <t>Кирпич глиняный обыкновенный</t>
  </si>
  <si>
    <t>01.7.06.02-0001</t>
  </si>
  <si>
    <t>ФССЦ-2001, 01.7.06.02-0001, приказ Минстроя России № 876/пр от 26.12.2019</t>
  </si>
  <si>
    <t>Лента бутиловая</t>
  </si>
  <si>
    <t>01.7.06.02-0002</t>
  </si>
  <si>
    <t>ФССЦ-2001, 01.7.06.02-0002, приказ Минстроя России № 876/пр от 26.12.2019</t>
  </si>
  <si>
    <t>Лента бутиловая диффузионная</t>
  </si>
  <si>
    <t>01.7.06.11-0001</t>
  </si>
  <si>
    <t>ФССЦ-2001, 01.7.06.11-0001, приказ Минстроя России № 876/пр от 26.12.2019</t>
  </si>
  <si>
    <t>Лента предварительно сжатая, уплотнительная</t>
  </si>
  <si>
    <t>10 м</t>
  </si>
  <si>
    <t>01.7.15.07-0005</t>
  </si>
  <si>
    <t>ФССЦ-2001, 01.7.15.07-0005, приказ Минстроя России № 876/пр от 26.12.2019</t>
  </si>
  <si>
    <t>Дюбели монтажные, размер 10x130 (10x132, 10x150) мм</t>
  </si>
  <si>
    <t>11.3.02.03</t>
  </si>
  <si>
    <t>Блоки оконные пластиковые</t>
  </si>
  <si>
    <t>11.3.03.15-0021</t>
  </si>
  <si>
    <t>ФССЦ-2001, 11.3.03.15-0021, приказ Минстроя России № 876/пр от 26.12.2019</t>
  </si>
  <si>
    <t>Клинья пластиковые монтажные</t>
  </si>
  <si>
    <t>14.5.01.10-0003</t>
  </si>
  <si>
    <t>ФССЦ-2001, 14.5.01.10-0003, приказ Минстроя России № 876/пр от 26.12.2019</t>
  </si>
  <si>
    <t>Пена монтажная</t>
  </si>
  <si>
    <t>14.4.01.21</t>
  </si>
  <si>
    <t>Грунтовка</t>
  </si>
  <si>
    <t>01.7.15.08</t>
  </si>
  <si>
    <t>Заклепки</t>
  </si>
  <si>
    <t>01.7.15.14</t>
  </si>
  <si>
    <t>Шурупы</t>
  </si>
  <si>
    <t>01.7.17.06</t>
  </si>
  <si>
    <t>Круги отрезные</t>
  </si>
  <si>
    <t>Бур с наконечником из твердого сплава</t>
  </si>
  <si>
    <t>Сверло спиральное для сверления алюминия, нержавеющей стали, углеродистой стали и чугуна</t>
  </si>
  <si>
    <t>07.2.06.03-0298</t>
  </si>
  <si>
    <t>ФССЦ-2001 доп.4, 07.2.06.03-0298, приказ Минстроя России № 636/пр от 20.10.2020</t>
  </si>
  <si>
    <t>Профиль монтажный угловой 79° из оцинкованной стали с полимерным покрытием для навесных вентилируемых фасадов, сечение 40х40 мм, толщина стали 1,2 мм</t>
  </si>
  <si>
    <t>91.06.03-060</t>
  </si>
  <si>
    <t>ФСЭМ-2001, 91.06.03-060 , приказ Минстроя России № 876/пр от 26.12.2019</t>
  </si>
  <si>
    <t>Лебедки электрические тяговым усилием до 5,79 кН (0,59 т)</t>
  </si>
  <si>
    <t>91.18.01-007</t>
  </si>
  <si>
    <t>ФСЭМ-2001, 91.18.01-007 , приказ Минстроя России № 876/пр от 26.12.2019</t>
  </si>
  <si>
    <t>Компрессоры передвижные с двигателем внутреннего сгорания, давление до 686 кПа (7 ат), производительность до 5 м3/мин</t>
  </si>
  <si>
    <t>07.2.07.12</t>
  </si>
  <si>
    <t>Конструкции стальные</t>
  </si>
  <si>
    <t>Рабочий среднего разряда 1.6</t>
  </si>
  <si>
    <t>91.05.02-005</t>
  </si>
  <si>
    <t>ФСЭМ-2001, 91.05.02-005 , приказ Минстроя России № 876/пр от 26.12.2019</t>
  </si>
  <si>
    <t>Краны козловые, грузоподъемность 32 т</t>
  </si>
  <si>
    <t>91.05.06-007</t>
  </si>
  <si>
    <t>ФСЭМ-2001, 91.05.06-007 , приказ Минстроя России № 876/пр от 26.12.2019</t>
  </si>
  <si>
    <t>Краны на гусеничном ходу, грузоподъемность 25 т</t>
  </si>
  <si>
    <t>91.06.01-003</t>
  </si>
  <si>
    <t>ФСЭМ-2001, 91.06.01-003 , приказ Минстроя России № 876/пр от 26.12.2019</t>
  </si>
  <si>
    <t>Домкраты гидравлические, грузоподъемность 63-100 т</t>
  </si>
  <si>
    <t>91.17.04-171</t>
  </si>
  <si>
    <t>ФСЭМ-2001, 91.17.04-171 , приказ Минстроя России № 876/пр от 26.12.2019</t>
  </si>
  <si>
    <t>Преобразователи сварочные номинальным сварочным током 315-500 А</t>
  </si>
  <si>
    <t>01.7.11.07-0036</t>
  </si>
  <si>
    <t>ФССЦ-2001, 01.7.11.07-0036, приказ Минстроя России № 876/пр от 26.12.2019</t>
  </si>
  <si>
    <t>Электроды сварочные Э46, диаметр 4 мм</t>
  </si>
  <si>
    <t>01.7.15.03-0042</t>
  </si>
  <si>
    <t>ФССЦ-2001, 01.7.15.03-0042, приказ Минстроя России № 876/пр от 26.12.2019</t>
  </si>
  <si>
    <t>Болты с гайками и шайбами строительные</t>
  </si>
  <si>
    <t>01.7.15.06-0111</t>
  </si>
  <si>
    <t>ФССЦ-2001, 01.7.15.06-0111, приказ Минстроя России № 876/пр от 26.12.2019</t>
  </si>
  <si>
    <t>Гвозди строительные</t>
  </si>
  <si>
    <t>01.7.20.08-0071</t>
  </si>
  <si>
    <t>ФССЦ-2001, 01.7.20.08-0071, приказ Минстроя России № 876/пр от 26.12.2019</t>
  </si>
  <si>
    <t>Канат пеньковый пропитанный</t>
  </si>
  <si>
    <t>07.2.07.12-0020</t>
  </si>
  <si>
    <t>ФССЦ-2001, 07.2.07.12-0020, приказ Минстроя России № 876/пр от 26.12.2019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</si>
  <si>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</si>
  <si>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08.2.02.11-0007</t>
  </si>
  <si>
    <t>ФССЦ-2001, 08.2.02.11-0007, приказ Минстроя России № 876/пр от 26.12.2019</t>
  </si>
  <si>
    <t>Канат двойной свивки ТК, конструкции 6х19(1+6+12)+1 о.с., оцинкованный, из проволок марки В, маркировочная группа 1770 н/мм2, диаметр 5,5 мм</t>
  </si>
  <si>
    <t>08.3.11.01-0091</t>
  </si>
  <si>
    <t>ФССЦ-2001, 08.3.11.01-0091, приказ Минстроя России № 876/пр от 26.12.2019</t>
  </si>
  <si>
    <t>Швеллеры № 40, марка стали Ст0</t>
  </si>
  <si>
    <t>11.1.03.01-0077</t>
  </si>
  <si>
    <t>ФССЦ-2001, 11.1.03.01-0077, приказ Минстроя России № 876/пр от 26.12.2019</t>
  </si>
  <si>
    <t>Бруски обрезные, хвойных пород, длина 4-6,5 м, ширина 75-150 мм, толщина 40-75 мм, сорт I</t>
  </si>
  <si>
    <t>14.4.01.01-0003</t>
  </si>
  <si>
    <t>ФССЦ-2001, 14.4.01.01-0003, приказ Минстроя России № 876/пр от 26.12.2019</t>
  </si>
  <si>
    <t>Грунтовка ГФ-021</t>
  </si>
  <si>
    <t>14.5.09.07-0030</t>
  </si>
  <si>
    <t>ФССЦ-2001, 14.5.09.07-0030, приказ Минстроя России № 876/пр от 26.12.2019</t>
  </si>
  <si>
    <t>Растворитель Р-4</t>
  </si>
  <si>
    <t>1-100-29</t>
  </si>
  <si>
    <t>Затраты труда рабочих (Средний разряд - 2,9)</t>
  </si>
  <si>
    <t>91.07.04-002</t>
  </si>
  <si>
    <t>ФСЭМ-2001, 91.07.04-002 , приказ Минстроя России № 876/пр от 26.12.2019</t>
  </si>
  <si>
    <t>Вибраторы поверхностные</t>
  </si>
  <si>
    <t>03.1.02.03-0011</t>
  </si>
  <si>
    <t>ФССЦ-2001, 03.1.02.03-0011, приказ Минстроя России № 876/пр от 26.12.2019</t>
  </si>
  <si>
    <t>Известь строительная негашеная комовая, сорт I</t>
  </si>
  <si>
    <t>04.1.02.05</t>
  </si>
  <si>
    <t>Смеси бетонные тяжелого бетона</t>
  </si>
  <si>
    <t>08.1.02.11-0001</t>
  </si>
  <si>
    <t>ФССЦ-2001, 08.1.02.11-0001, приказ Минстроя России № 876/пр от 26.12.2019</t>
  </si>
  <si>
    <t>Поковки из квадратных заготовок, масса 1,8 кг</t>
  </si>
  <si>
    <t>11.1.02.04-0031</t>
  </si>
  <si>
    <t>ФССЦ-2001, 11.1.02.04-0031, приказ Минстроя России № 876/пр от 26.12.2019</t>
  </si>
  <si>
    <t>Лесоматериалы круглые, хвойных пород, для строительства, диаметр 14-24 см, длина 3-6,5 м</t>
  </si>
  <si>
    <t>11.1.03.06-0094</t>
  </si>
  <si>
    <t>ФССЦ-2001, 11.1.03.06-0094, приказ Минстроя России № 876/пр от 26.12.2019</t>
  </si>
  <si>
    <t>Доска обрезная, хвойных пород, ширина 75-150 мм, толщина 44 мм и более, длина 4-6,5 м, сорт II</t>
  </si>
  <si>
    <t>11.2.13.04-0011</t>
  </si>
  <si>
    <t>ФССЦ-2001, 11.2.13.04-0011, приказ Минстроя России № 876/пр от 26.12.2019</t>
  </si>
  <si>
    <t>Щиты из досок, толщина 25 мм</t>
  </si>
  <si>
    <t>91.21.12-002</t>
  </si>
  <si>
    <t>ФСЭМ-2001, 91.21.12-002 , приказ Минстроя России № 876/пр от 26.12.2019</t>
  </si>
  <si>
    <t>Ножницы листовые кривошипные гильотинные</t>
  </si>
  <si>
    <t>91.21.16-012</t>
  </si>
  <si>
    <t>ФСЭМ-2001, 91.21.16-012 , приказ Минстроя России № 876/пр от 26.12.2019</t>
  </si>
  <si>
    <t>Прессы гидравлические с электроприводом</t>
  </si>
  <si>
    <t>91.01.01-035</t>
  </si>
  <si>
    <t>ФСЭМ-2001, 91.01.01-035 , приказ Минстроя России № 876/пр от 26.12.2019</t>
  </si>
  <si>
    <t>Бульдозеры, мощность 79 кВт (108 л.с.)</t>
  </si>
  <si>
    <t>91.01.05-086</t>
  </si>
  <si>
    <t>ФСЭМ-2001, 91.01.05-086 , приказ Минстроя России № 876/пр от 26.12.2019</t>
  </si>
  <si>
    <t>Экскаваторы одноковшовые дизельные на гусеничном ходу, емкость ковша 0,65 м3</t>
  </si>
  <si>
    <t>02.2.05.04-1777</t>
  </si>
  <si>
    <t>ФССЦ-2001, 02.2.05.04-1777, приказ Минстроя России № 876/пр от 26.12.2019</t>
  </si>
  <si>
    <t>Щебень М 800, фракция 20-40 мм, группа 2</t>
  </si>
  <si>
    <t>91.14.03-001</t>
  </si>
  <si>
    <t>ФСЭМ-2001, 91.14.03-001 , приказ Минстроя России № 876/пр от 26.12.2019</t>
  </si>
  <si>
    <t>Автомобили-самосвалы, грузоподъемность до 7 т</t>
  </si>
  <si>
    <t>1-100-15</t>
  </si>
  <si>
    <t>Затраты труда рабочих (Средний разряд - 1,5)</t>
  </si>
  <si>
    <t>1-100-22</t>
  </si>
  <si>
    <t>Затраты труда рабочих (Средний разряд - 2,2)</t>
  </si>
  <si>
    <t>91.06.05-057</t>
  </si>
  <si>
    <t>ФСЭМ-2001, 91.06.05-057 , приказ Минстроя России № 876/пр от 26.12.2019</t>
  </si>
  <si>
    <t>Погрузчики одноковшовые универсальные фронтальные пневмоколесные, грузоподъемность 3 т</t>
  </si>
  <si>
    <t>91.08.09-024</t>
  </si>
  <si>
    <t>ФСЭМ-2001, 91.08.09-024 , приказ Минстроя России № 876/пр от 26.12.2019</t>
  </si>
  <si>
    <t>Трамбовки пневматические при работе от стационарного компрессора</t>
  </si>
  <si>
    <t>02.3.01.02</t>
  </si>
  <si>
    <t>Песок для строительных работ природный</t>
  </si>
  <si>
    <t>02.2.05.04</t>
  </si>
  <si>
    <t>Щебень</t>
  </si>
  <si>
    <t>08.3.03.04-0012</t>
  </si>
  <si>
    <t>ФССЦ-2001, 08.3.03.04-0012, приказ Минстроя России № 876/пр от 26.12.2019</t>
  </si>
  <si>
    <t>Проволока светлая, диаметр 1,1 мм</t>
  </si>
  <si>
    <t>08.4.03.03</t>
  </si>
  <si>
    <t>Арматура</t>
  </si>
  <si>
    <t>01.7.07.12-0024</t>
  </si>
  <si>
    <t>ФССЦ-2001, 01.7.07.12-0024, приказ Минстроя России № 876/пр от 26.12.2019</t>
  </si>
  <si>
    <t>Пленка полиэтиленовая, толщина 0,15 мм</t>
  </si>
  <si>
    <t>91.21.22-638</t>
  </si>
  <si>
    <t>ФСЭМ-2001, 91.21.22-638 , приказ Минстроя России № 876/пр от 26.12.2019</t>
  </si>
  <si>
    <t>Пылесосы промышленные, мощность до 2000 Вт</t>
  </si>
  <si>
    <t>14.5.09.11-0102</t>
  </si>
  <si>
    <t>ФССЦ-2001, 14.5.09.11-0102, приказ Минстроя России № 876/пр от 26.12.2019</t>
  </si>
  <si>
    <t>Уайт-спирит</t>
  </si>
  <si>
    <t>01.1.01.01-0011</t>
  </si>
  <si>
    <t>ФССЦ-2001, 01.1.01.01-0011, приказ Минстроя России № 876/пр от 26.12.2019</t>
  </si>
  <si>
    <t>Детали фасонные к листам хризотилцементным стеновым</t>
  </si>
  <si>
    <t>01.1.01.04-0004</t>
  </si>
  <si>
    <t>ФССЦ-2001, 01.1.01.04-0004, приказ Минстроя России № 876/пр от 26.12.2019</t>
  </si>
  <si>
    <t>Листы хризотилцементные волнистые унифицированного профиля 54/200, толщина 6,0 мм</t>
  </si>
  <si>
    <t>08.1.02.11-0013</t>
  </si>
  <si>
    <t>ФССЦ-2001, 08.1.02.11-0013, приказ Минстроя России № 876/пр от 26.12.2019</t>
  </si>
  <si>
    <t>Поковки оцинкованные, масса 2,825 кг</t>
  </si>
  <si>
    <t>11.1.03.06-0088</t>
  </si>
  <si>
    <t>ФССЦ-2001, 11.1.03.06-0088, приказ Минстроя России № 876/пр от 26.12.2019</t>
  </si>
  <si>
    <t>Доска обрезная, хвойных пород, ширина 75-150 мм, толщина 25 мм, длина 4-6,5 м, сорт IV</t>
  </si>
  <si>
    <t>1-100-43</t>
  </si>
  <si>
    <t>Затраты труда рабочих (Средний разряд - 4,3)</t>
  </si>
  <si>
    <t>07.2.03.06</t>
  </si>
  <si>
    <t>91.05.06-008</t>
  </si>
  <si>
    <t>ФСЭМ-2001, 91.05.06-008 , приказ Минстроя России № 876/пр от 26.12.2019</t>
  </si>
  <si>
    <t>Краны на гусеничном ходу, грузоподъемность 40 т</t>
  </si>
  <si>
    <t>91.05.06-009</t>
  </si>
  <si>
    <t>ФСЭМ-2001, 91.05.06-009 , приказ Минстроя России № 876/пр от 26.12.2019</t>
  </si>
  <si>
    <t>Краны на гусеничном ходу, грузоподъемность 50-63 т</t>
  </si>
  <si>
    <t>01.7.11.07-0032</t>
  </si>
  <si>
    <t>ФССЦ-2001, 01.7.11.07-0032, приказ Минстроя России № 876/пр от 26.12.2019</t>
  </si>
  <si>
    <t>Электроды сварочные Э42, диаметр 4 мм</t>
  </si>
  <si>
    <t>Конструкции стальные нащельников и деталей обрамления</t>
  </si>
  <si>
    <t>08.1.02.25</t>
  </si>
  <si>
    <t>Крепежные детали для крепления профилированного настила к несущим конструкциям</t>
  </si>
  <si>
    <t>08.3.09.05</t>
  </si>
  <si>
    <t>Стальной гнутый профиль (профилированный настил)</t>
  </si>
  <si>
    <t>ГОСУДАРСТВЕННЫЕ СМЕТНЫЕ НОРМАТИВЫ (ФЕР-2020), утвержденные приказами Минстроя России от 26 декабря 2019 г.   № 876/пр (в редакции приказов Минстроя РФ от 30 марта 2020 г. № 172/пр, от 1 июня 2020 г. № 294/пр, от 30 июня 2020 г. № 352/пр,   от 20 октября 2020 г. № 636/пр, от 9 февраля 2021 г. № 51/пр, от 24 мая 2021 г. № 321/пр, от 24 июня 2021 г. № 408/пр,  от 14 октября 2021 № 746/пр, от 20 декабря 2021 № 962/пр)</t>
  </si>
  <si>
    <t>Поправка: МР 519/пр Прил.2, Табл.3, п. 3 (сб.46)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</si>
  <si>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</si>
  <si>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  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</si>
  <si>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  Поправка: МР 519/пр Табл.2, п.2  Наименование: При демонтаже (разборке) сборных деревянных конструкций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</si>
  <si>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  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</si>
  <si>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  Поправка: МР 571/пр Табл.2, п.4  Наименование: При демонтаже (разборке) металлических конструкций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</si>
  <si>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  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  Поправка: Прил. 1.12, п.3.187.  Наименование: Доработка вручную, зачистка дна и стенок с выкидкой грунта в котлованах и траншеях, разработанных механизированным способом</t>
  </si>
  <si>
    <t>Поправка: МР 519/пр Прил.2, Табл.3, п. 3  Наименование: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  Поправка: МР 519/пр Табл.2, п.1  Наименование: При демонтаже (разборке) сборных бетонных и железобетонных конструкций</t>
  </si>
  <si>
    <t>"СОГЛАСОВАНО"</t>
  </si>
  <si>
    <t>"УТВЕРЖДАЮ"</t>
  </si>
  <si>
    <t>(наименование стройки)</t>
  </si>
  <si>
    <t>(наименование работ и затрат, наименование объекта)</t>
  </si>
  <si>
    <t>текущая цена</t>
  </si>
  <si>
    <t>Сметная стоимость</t>
  </si>
  <si>
    <t>тыс. руб.</t>
  </si>
  <si>
    <t>Строительный объем:</t>
  </si>
  <si>
    <t>Стоимость ед.стр.объема: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</si>
  <si>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</si>
  <si>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</si>
  <si>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</si>
  <si>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</si>
  <si>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</si>
  <si>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</si>
  <si>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</si>
  <si>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</si>
  <si>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</si>
  <si>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</si>
  <si>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</si>
  <si>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</si>
  <si>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 квартал 2024 года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</si>
  <si>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</si>
  <si>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</si>
  <si>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</si>
  <si>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</si>
  <si>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</si>
  <si>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</si>
  <si>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</si>
  <si>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t>Материальные ресурсы</t>
  </si>
  <si>
    <r>
      <t>Смесь для защиты арматуры MasterEmaco P 5000 AP</t>
    </r>
    <r>
      <rPr>
        <i/>
        <sz val="10"/>
        <rFont val="Arial"/>
        <family val="2"/>
        <charset val="204"/>
      </rPr>
      <t xml:space="preserve">
34.56 = [337.33 / 1.2 /  8.71] +  5% Трансп +  2% Заг.скл</t>
    </r>
  </si>
  <si>
    <r>
      <t>Ремонтная смесь MasterEmaco S 5400</t>
    </r>
    <r>
      <rPr>
        <i/>
        <sz val="10"/>
        <rFont val="Arial"/>
        <family val="2"/>
        <charset val="204"/>
      </rPr>
      <t xml:space="preserve">
10.88 = [106.2 / 1.2 /  8.71] +  5% Трансп +  2% Заг.скл</t>
    </r>
  </si>
  <si>
    <r>
      <t>Дюбель-гвоздь 6х60</t>
    </r>
    <r>
      <rPr>
        <i/>
        <sz val="10"/>
        <rFont val="Arial"/>
        <family val="2"/>
        <charset val="204"/>
      </rPr>
      <t xml:space="preserve">
0.27 = [2.61 / 1.2 /  8.71] +  5% Трансп +  2% Заг.скл</t>
    </r>
  </si>
  <si>
    <r>
      <t>Арматура А500 12мм</t>
    </r>
    <r>
      <rPr>
        <i/>
        <sz val="10"/>
        <rFont val="Arial"/>
        <family val="2"/>
        <charset val="204"/>
      </rPr>
      <t xml:space="preserve">
6 629.43 = [65 500 / 1.2 /  8.71] +  5% Трансп +  0.75% Заг.скл</t>
    </r>
  </si>
  <si>
    <r>
      <t>Полоса 50х4</t>
    </r>
    <r>
      <rPr>
        <i/>
        <sz val="10"/>
        <rFont val="Arial"/>
        <family val="2"/>
        <charset val="204"/>
      </rPr>
      <t xml:space="preserve">
8 299.44 = [82 000 / 1.2 /  8.71] +  5% Трансп +  0.75% Заг.скл</t>
    </r>
  </si>
  <si>
    <r>
      <t>Грунтовка Оптимист G103 (расход 0,25кг/м2)</t>
    </r>
    <r>
      <rPr>
        <i/>
        <sz val="10"/>
        <rFont val="Arial"/>
        <family val="2"/>
        <charset val="204"/>
      </rPr>
      <t xml:space="preserve">
9.33 = [91 / 1.2 /  8.71] +  5% Трансп +  2% Заг.скл</t>
    </r>
  </si>
  <si>
    <r>
      <t>Сетка штукатурная сварная оцинкованная 10х10 мм d0,6 мм</t>
    </r>
    <r>
      <rPr>
        <i/>
        <sz val="10"/>
        <rFont val="Arial"/>
        <family val="2"/>
        <charset val="204"/>
      </rPr>
      <t xml:space="preserve">
9.02 = [88 / 1.2 /  8.71] +  5% Трансп +  2% Заг.скл</t>
    </r>
  </si>
  <si>
    <r>
      <t>Дюбель-гвоздь 6х40</t>
    </r>
    <r>
      <rPr>
        <i/>
        <sz val="10"/>
        <rFont val="Arial"/>
        <family val="2"/>
        <charset val="204"/>
      </rPr>
      <t xml:space="preserve">
0.15 = [1.51 / 1.2 /  8.71] +  5% Трансп +  2% Заг.скл</t>
    </r>
  </si>
  <si>
    <r>
      <t>Штукатурка цементная Waber Vetonit TT40 (расход 17 кг/м2 при толщине слоя 10мм)</t>
    </r>
    <r>
      <rPr>
        <i/>
        <sz val="10"/>
        <rFont val="Arial"/>
        <family val="2"/>
        <charset val="204"/>
      </rPr>
      <t xml:space="preserve">
4.90 = [47.8 / 1.2 /  8.71] +  5% Трансп +  2% Заг.скл</t>
    </r>
  </si>
  <si>
    <r>
      <t>Пакер для инъектирования (10х100 мм, алюминий, кеглевидная масленка) КСГ 201</t>
    </r>
    <r>
      <rPr>
        <i/>
        <sz val="10"/>
        <rFont val="Arial"/>
        <family val="2"/>
        <charset val="204"/>
      </rPr>
      <t xml:space="preserve">
2.92 = [28.38 / 1.2 /  8.71] +  5% Трансп +  2% Заг.скл</t>
    </r>
  </si>
  <si>
    <r>
      <t>Инъекционная полиуретановая пена MasterRoc MP 355 1K</t>
    </r>
    <r>
      <rPr>
        <i/>
        <sz val="10"/>
        <rFont val="Arial"/>
        <family val="2"/>
        <charset val="204"/>
      </rPr>
      <t xml:space="preserve">
138.79 = [1 354.49 / 1.2 /  8.71] +  5% Трансп +  2% Заг.скл</t>
    </r>
  </si>
  <si>
    <r>
      <t>Ускоритель master roc 355 1k accelerator</t>
    </r>
    <r>
      <rPr>
        <i/>
        <sz val="10"/>
        <rFont val="Arial"/>
        <family val="2"/>
        <charset val="204"/>
      </rPr>
      <t xml:space="preserve">
399.91 = [3 902.77 / 1.2 /  8.71] +  5% Трансп +  2% Заг.скл</t>
    </r>
  </si>
  <si>
    <r>
      <t>Пакер для инъектирования 18х105 мм</t>
    </r>
    <r>
      <rPr>
        <i/>
        <sz val="10"/>
        <rFont val="Arial"/>
        <family val="2"/>
        <charset val="204"/>
      </rPr>
      <t xml:space="preserve">
2.49 = [24.25 / 1.2 /  8.71] +  5% Трансп +  2% Заг.скл</t>
    </r>
  </si>
  <si>
    <r>
      <t>Реновир Шлюз</t>
    </r>
    <r>
      <rPr>
        <i/>
        <sz val="10"/>
        <rFont val="Arial"/>
        <family val="2"/>
        <charset val="204"/>
      </rPr>
      <t xml:space="preserve">
11.49 = [112 / 1.2 /  8.71] +  5% Трансп +  2% Заг.скл</t>
    </r>
  </si>
  <si>
    <r>
      <t>Реновит Инжект</t>
    </r>
    <r>
      <rPr>
        <i/>
        <sz val="10"/>
        <rFont val="Arial"/>
        <family val="2"/>
        <charset val="204"/>
      </rPr>
      <t xml:space="preserve">
9.22 = [90 / 1.2 /  8.71] +  5% Трансп +  2% Заг.скл</t>
    </r>
  </si>
  <si>
    <r>
      <t>Ремонтная смесь Вайтмикс RT40 с учетом доставки</t>
    </r>
    <r>
      <rPr>
        <i/>
        <sz val="10"/>
        <rFont val="Arial"/>
        <family val="2"/>
        <charset val="204"/>
      </rPr>
      <t xml:space="preserve">
3.79 = [38.9 / 1.2 /  8.71] +  2% Заг.скл</t>
    </r>
  </si>
  <si>
    <r>
      <t>Арматура А500 16мм</t>
    </r>
    <r>
      <rPr>
        <i/>
        <sz val="10"/>
        <rFont val="Arial"/>
        <family val="2"/>
        <charset val="204"/>
      </rPr>
      <t xml:space="preserve">
6 660.46 = [65 000 / 1.2 /  8.71] +  5% Трансп +  2% Заг.скл</t>
    </r>
  </si>
  <si>
    <r>
      <t>Раствор цементно-песчаный М150 с учетом доставки</t>
    </r>
    <r>
      <rPr>
        <i/>
        <sz val="10"/>
        <rFont val="Arial"/>
        <family val="2"/>
        <charset val="204"/>
      </rPr>
      <t xml:space="preserve">
437.72 = [4 575 / 1.2 /  8.71]</t>
    </r>
  </si>
  <si>
    <r>
      <t>Кирпич 250х120х88</t>
    </r>
    <r>
      <rPr>
        <i/>
        <sz val="10"/>
        <rFont val="Arial"/>
        <family val="2"/>
        <charset val="204"/>
      </rPr>
      <t xml:space="preserve">
2.25 = [22 / 1.2 /  8.71] +  5% Трансп +  2% Заг.скл</t>
    </r>
  </si>
  <si>
    <r>
      <t>Арматура А500 8мм</t>
    </r>
    <r>
      <rPr>
        <i/>
        <sz val="10"/>
        <rFont val="Arial"/>
        <family val="2"/>
        <charset val="204"/>
      </rPr>
      <t xml:space="preserve">
6 711.68 = [65 500 / 1.2 /  8.71] +  5% Трансп +  2% Заг.скл</t>
    </r>
  </si>
  <si>
    <r>
      <t>Окнонный блок ПВХ 1470х1970 однокамерный</t>
    </r>
    <r>
      <rPr>
        <i/>
        <sz val="10"/>
        <rFont val="Arial"/>
        <family val="2"/>
        <charset val="204"/>
      </rPr>
      <t xml:space="preserve">
977.80 = [9 542.51 / 1.2 /  8.71] +  5% Трансп +  2% Заг.скл</t>
    </r>
  </si>
  <si>
    <r>
      <t>Окнонный блок ПВХ 1970х970 однокамерный</t>
    </r>
    <r>
      <rPr>
        <i/>
        <sz val="10"/>
        <rFont val="Arial"/>
        <family val="2"/>
        <charset val="204"/>
      </rPr>
      <t xml:space="preserve">
609.17 = [5 944.95 / 1.2 /  8.71] +  5% Трансп +  2% Заг.скл</t>
    </r>
  </si>
  <si>
    <r>
      <t>Отлив оконный 150мм</t>
    </r>
    <r>
      <rPr>
        <i/>
        <sz val="10"/>
        <rFont val="Arial"/>
        <family val="2"/>
        <charset val="204"/>
      </rPr>
      <t xml:space="preserve">
18.44 = [180 / 1.2 /  8.71] +  5% Трансп +  2% Заг.скл</t>
    </r>
  </si>
  <si>
    <r>
      <t>Швеллер 14П</t>
    </r>
    <r>
      <rPr>
        <i/>
        <sz val="10"/>
        <rFont val="Arial"/>
        <family val="2"/>
        <charset val="204"/>
      </rPr>
      <t xml:space="preserve">
8 299.44 = [82 000 / 1.2 /  8.71] +  5% Трансп +  0.75% Заг.скл</t>
    </r>
  </si>
  <si>
    <r>
      <t>Брус 50х50</t>
    </r>
    <r>
      <rPr>
        <i/>
        <sz val="10"/>
        <rFont val="Arial"/>
        <family val="2"/>
        <charset val="204"/>
      </rPr>
      <t xml:space="preserve">
1 690.73 = [16 500 / 1.2 /  8.71] +  5% Трансп +  2% Заг.скл</t>
    </r>
  </si>
  <si>
    <r>
      <t>Шпилька 2 М12 Д=100мм</t>
    </r>
    <r>
      <rPr>
        <i/>
        <sz val="10"/>
        <rFont val="Arial"/>
        <family val="2"/>
        <charset val="204"/>
      </rPr>
      <t xml:space="preserve">
16.40 = [160 / 1.2 /  8.71] +  5% Трансп +  2% Заг.скл</t>
    </r>
  </si>
  <si>
    <r>
      <t>Арматура А500 12мм</t>
    </r>
    <r>
      <rPr>
        <i/>
        <sz val="10"/>
        <rFont val="Arial"/>
        <family val="2"/>
        <charset val="204"/>
      </rPr>
      <t xml:space="preserve">
6 711.68 = [65 500 / 1.2 /  8.71] +  5% Трансп +  2% Заг.скл</t>
    </r>
  </si>
  <si>
    <r>
      <t>Бетон В20 с учетом доставки</t>
    </r>
    <r>
      <rPr>
        <i/>
        <sz val="10"/>
        <rFont val="Arial"/>
        <family val="2"/>
        <charset val="204"/>
      </rPr>
      <t xml:space="preserve">
447.28 = [4 675 / 1.2 /  8.71]</t>
    </r>
  </si>
  <si>
    <r>
      <t>Лист металлический рифленный 5мм чечевица</t>
    </r>
    <r>
      <rPr>
        <i/>
        <sz val="10"/>
        <rFont val="Arial"/>
        <family val="2"/>
        <charset val="204"/>
      </rPr>
      <t xml:space="preserve">
7 590.95 = [75 000 / 1.2 /  8.71] +  5% Трансп +  0.75% Заг.скл</t>
    </r>
  </si>
  <si>
    <r>
      <t>Сталь угловая 75х5мм</t>
    </r>
    <r>
      <rPr>
        <i/>
        <sz val="10"/>
        <rFont val="Arial"/>
        <family val="2"/>
        <charset val="204"/>
      </rPr>
      <t xml:space="preserve">
7 692.17 = [76 000 / 1.2 /  8.71] +  5% Трансп +  0.75% Заг.скл</t>
    </r>
  </si>
  <si>
    <r>
      <t>Песок</t>
    </r>
    <r>
      <rPr>
        <i/>
        <sz val="10"/>
        <rFont val="Arial"/>
        <family val="2"/>
        <charset val="204"/>
      </rPr>
      <t xml:space="preserve">
35.86 = [350 / 1.2 /  8.71] +  5% Трансп +  2% Заг.скл</t>
    </r>
  </si>
  <si>
    <r>
      <t>Щебень известковый фр. 5-20мм</t>
    </r>
    <r>
      <rPr>
        <i/>
        <sz val="10"/>
        <rFont val="Arial"/>
        <family val="2"/>
        <charset val="204"/>
      </rPr>
      <t xml:space="preserve">
93.53 = [912.8 / 1.2 /  8.71] +  5% Трансп +  2% Заг.скл</t>
    </r>
  </si>
  <si>
    <r>
      <t>Сетка сварная 100х100х4мм</t>
    </r>
    <r>
      <rPr>
        <i/>
        <sz val="10"/>
        <rFont val="Arial"/>
        <family val="2"/>
        <charset val="204"/>
      </rPr>
      <t xml:space="preserve">
13.32 = [130 / 1.2 /  8.71] +  5% Трансп +  2% Заг.скл</t>
    </r>
  </si>
  <si>
    <r>
      <t>Бетон В15 с учетом доставки</t>
    </r>
    <r>
      <rPr>
        <i/>
        <sz val="10"/>
        <rFont val="Arial"/>
        <family val="2"/>
        <charset val="204"/>
      </rPr>
      <t xml:space="preserve">
416.19 = [4 350 / 1.2 /  8.71]</t>
    </r>
  </si>
  <si>
    <r>
      <t>Доска 20мм</t>
    </r>
    <r>
      <rPr>
        <i/>
        <sz val="10"/>
        <rFont val="Arial"/>
        <family val="2"/>
        <charset val="204"/>
      </rPr>
      <t xml:space="preserve">
1 639.50 = [16 000 / 1.2 /  8.71] +  5% Трансп +  2% Заг.скл</t>
    </r>
  </si>
  <si>
    <r>
      <t>Мастика битумная</t>
    </r>
    <r>
      <rPr>
        <i/>
        <sz val="10"/>
        <rFont val="Arial"/>
        <family val="2"/>
        <charset val="204"/>
      </rPr>
      <t xml:space="preserve">
10.35 = [101.04 / 1.2 /  8.71] +  5% Трансп +  2% Заг.скл</t>
    </r>
  </si>
  <si>
    <t>к нр )*3</t>
  </si>
  <si>
    <r>
      <t>Краска 3 в 1 графитовая грунт-эмаль по ржавчине</t>
    </r>
    <r>
      <rPr>
        <i/>
        <sz val="10"/>
        <rFont val="Arial"/>
        <family val="2"/>
        <charset val="204"/>
      </rPr>
      <t xml:space="preserve">
27.05 = [264 / 1.2 /  8.71] +  5% Трансп +  2% Заг.скл</t>
    </r>
  </si>
  <si>
    <r>
      <t>Сталь угловая 50х4</t>
    </r>
    <r>
      <rPr>
        <i/>
        <sz val="10"/>
        <rFont val="Arial"/>
        <family val="2"/>
        <charset val="204"/>
      </rPr>
      <t xml:space="preserve">
7 388.53 = [73 000 / 1.2 /  8.71] +  5% Трансп +  0.75% Заг.скл</t>
    </r>
  </si>
  <si>
    <r>
      <t>Профлист НС35-1000-0,55 с полимерным покрытием</t>
    </r>
    <r>
      <rPr>
        <i/>
        <sz val="10"/>
        <rFont val="Arial"/>
        <family val="2"/>
        <charset val="204"/>
      </rPr>
      <t xml:space="preserve">
75.11 = [733 / 1.2 /  8.71] +  5% Трансп +  2% Заг.скл</t>
    </r>
  </si>
  <si>
    <r>
      <t>Кровельный саморез 4,8х35</t>
    </r>
    <r>
      <rPr>
        <i/>
        <sz val="10"/>
        <rFont val="Arial"/>
        <family val="2"/>
        <charset val="204"/>
      </rPr>
      <t xml:space="preserve">
0.45 = [4.44 / 1.2 /  8.71] +  5% Трансп +  2% Заг.скл</t>
    </r>
  </si>
  <si>
    <r>
      <t>Утилизация строительного мусора</t>
    </r>
    <r>
      <rPr>
        <i/>
        <sz val="10"/>
        <rFont val="Arial"/>
        <family val="2"/>
        <charset val="204"/>
      </rPr>
      <t xml:space="preserve">
75.58 = [790 / 1.2 /  8.71]</t>
    </r>
  </si>
  <si>
    <t>Ремонт здания первичного дробления Инв. № 10-10003</t>
  </si>
  <si>
    <t>ЛОКАЛЬНАЯ СМЕТА №1</t>
  </si>
  <si>
    <t xml:space="preserve">Генеральный директор </t>
  </si>
  <si>
    <t>___________Смирнов С.Н.</t>
  </si>
  <si>
    <t>«___»_____________2024 г.</t>
  </si>
  <si>
    <t>Технический директор</t>
  </si>
  <si>
    <t>Тюленев В.Е.___________</t>
  </si>
  <si>
    <t>Приложение №2 к ТЗ</t>
  </si>
  <si>
    <t>Итого с понижающим коэффициентом К=0,99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</si>
</sst>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########;[Red]\-\ #,##0.00############"/>
  </numFmts>
  <fonts count="23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vertical="top" wrapText="1"/>
    </xf>
    <xf numFmtId="0" fontId="0" fillId="0" borderId="2" xfId="0" applyBorder="1"/>
    <xf numFmtId="0" fontId="9" fillId="0" borderId="2" xfId="0" applyFont="1" applyBorder="1" applyAlignment="1">
      <alignment vertical="top" wrapText="1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/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1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02"/>
  <sheetViews>
    <sheetView tabSelected="1" topLeftCell="A778" zoomScale="110" zoomScaleNormal="110" workbookViewId="0">
      <selection activeCell="AK794" sqref="AK794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28" width="0" hidden="1" customWidth="1"/>
    <col min="29" max="29" width="147.7109375" hidden="1" customWidth="1"/>
    <col min="30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 t="str">
        <f>Source!B1</f>
        <v>Smeta.RU  (495) 974-1589</v>
      </c>
    </row>
    <row r="2" spans="1:12" x14ac:dyDescent="0.2">
      <c r="A2" s="9"/>
      <c r="H2" s="63" t="s">
        <v>1189</v>
      </c>
      <c r="I2" s="63"/>
      <c r="J2" s="63"/>
    </row>
    <row r="3" spans="1:12" x14ac:dyDescent="0.2">
      <c r="A3" s="9"/>
    </row>
    <row r="4" spans="1:12" ht="14.2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</row>
    <row r="5" spans="1:12" ht="16.5" x14ac:dyDescent="0.25">
      <c r="A5" s="12"/>
      <c r="B5" s="78" t="s">
        <v>1110</v>
      </c>
      <c r="C5" s="78"/>
      <c r="D5" s="78"/>
      <c r="E5" s="78"/>
      <c r="F5" s="11"/>
      <c r="G5" s="11"/>
      <c r="H5" s="84" t="s">
        <v>1111</v>
      </c>
      <c r="I5" s="84"/>
      <c r="J5" s="84"/>
      <c r="K5" s="59"/>
      <c r="L5" s="59"/>
    </row>
    <row r="6" spans="1:12" ht="18.75" customHeight="1" x14ac:dyDescent="0.2">
      <c r="A6" s="11"/>
      <c r="B6" s="85" t="s">
        <v>1187</v>
      </c>
      <c r="C6" s="85"/>
      <c r="D6" s="13"/>
      <c r="E6" s="13"/>
      <c r="F6" s="11"/>
      <c r="G6" s="11"/>
      <c r="H6" s="81" t="s">
        <v>1184</v>
      </c>
      <c r="I6" s="81"/>
      <c r="J6" s="81"/>
      <c r="K6" s="13"/>
      <c r="L6" s="13"/>
    </row>
    <row r="7" spans="1:12" ht="15" x14ac:dyDescent="0.2">
      <c r="A7" s="13"/>
      <c r="B7" s="85" t="s">
        <v>4</v>
      </c>
      <c r="C7" s="85"/>
      <c r="D7" s="14"/>
      <c r="E7" s="14"/>
      <c r="F7" s="11"/>
      <c r="G7" s="11"/>
      <c r="H7" s="82" t="s">
        <v>4</v>
      </c>
      <c r="I7" s="82"/>
      <c r="J7" s="82"/>
      <c r="K7" s="14"/>
      <c r="L7" s="15"/>
    </row>
    <row r="8" spans="1:12" ht="15" x14ac:dyDescent="0.2">
      <c r="A8" s="15"/>
      <c r="B8" s="86" t="s">
        <v>1188</v>
      </c>
      <c r="C8" s="86"/>
      <c r="D8" s="13"/>
      <c r="E8" s="13"/>
      <c r="F8" s="11"/>
      <c r="G8" s="11"/>
      <c r="H8" s="82" t="s">
        <v>1185</v>
      </c>
      <c r="I8" s="82"/>
      <c r="J8" s="82"/>
      <c r="K8" s="13"/>
      <c r="L8" s="13"/>
    </row>
    <row r="9" spans="1:12" ht="14.25" customHeight="1" x14ac:dyDescent="0.2">
      <c r="A9" s="16"/>
      <c r="B9" s="87" t="s">
        <v>1186</v>
      </c>
      <c r="C9" s="87"/>
      <c r="D9" s="16"/>
      <c r="E9" s="16"/>
      <c r="F9" s="11"/>
      <c r="G9" s="11"/>
      <c r="H9" s="83" t="s">
        <v>1186</v>
      </c>
      <c r="I9" s="83"/>
      <c r="J9" s="83"/>
      <c r="K9" s="16"/>
      <c r="L9" s="16"/>
    </row>
    <row r="13" spans="1:12" ht="15.75" x14ac:dyDescent="0.25">
      <c r="A13" s="16"/>
      <c r="B13" s="74" t="s">
        <v>4</v>
      </c>
      <c r="C13" s="74"/>
      <c r="D13" s="74"/>
      <c r="E13" s="74"/>
      <c r="F13" s="74"/>
      <c r="G13" s="74"/>
      <c r="H13" s="74"/>
      <c r="I13" s="74"/>
      <c r="J13" s="74"/>
      <c r="K13" s="74"/>
      <c r="L13" s="16"/>
    </row>
    <row r="14" spans="1:12" ht="14.25" x14ac:dyDescent="0.2">
      <c r="A14" s="17"/>
      <c r="B14" s="75" t="s">
        <v>1112</v>
      </c>
      <c r="C14" s="75"/>
      <c r="D14" s="75"/>
      <c r="E14" s="75"/>
      <c r="F14" s="75"/>
      <c r="G14" s="75"/>
      <c r="H14" s="75"/>
      <c r="I14" s="75"/>
      <c r="J14" s="75"/>
      <c r="K14" s="75"/>
      <c r="L14" s="16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.75" x14ac:dyDescent="0.25">
      <c r="A16" s="18"/>
      <c r="B16" s="74" t="s">
        <v>1183</v>
      </c>
      <c r="C16" s="74"/>
      <c r="D16" s="74"/>
      <c r="E16" s="74"/>
      <c r="F16" s="74"/>
      <c r="G16" s="74"/>
      <c r="H16" s="74"/>
      <c r="I16" s="74"/>
      <c r="J16" s="74"/>
      <c r="K16" s="74"/>
      <c r="L16" s="18"/>
    </row>
    <row r="17" spans="1:12" ht="15.75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</row>
    <row r="18" spans="1:12" ht="18" hidden="1" x14ac:dyDescent="0.25">
      <c r="A18" s="1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18"/>
    </row>
    <row r="19" spans="1:12" ht="14.25" hidden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8" x14ac:dyDescent="0.25">
      <c r="A20" s="11"/>
      <c r="B20" s="80" t="str">
        <f>IF(Source!G12&lt;&gt;"Новый объект", Source!G12, "")</f>
        <v>Ремонт здания первичного дробления Инв. № 10-10003</v>
      </c>
      <c r="C20" s="80"/>
      <c r="D20" s="80"/>
      <c r="E20" s="80"/>
      <c r="F20" s="80"/>
      <c r="G20" s="80"/>
      <c r="H20" s="80"/>
      <c r="I20" s="80"/>
      <c r="J20" s="80"/>
      <c r="K20" s="80"/>
      <c r="L20" s="20"/>
    </row>
    <row r="21" spans="1:12" ht="14.25" x14ac:dyDescent="0.2">
      <c r="A21" s="11"/>
      <c r="B21" s="72" t="s">
        <v>1113</v>
      </c>
      <c r="C21" s="72"/>
      <c r="D21" s="72"/>
      <c r="E21" s="72"/>
      <c r="F21" s="72"/>
      <c r="G21" s="72"/>
      <c r="H21" s="72"/>
      <c r="I21" s="72"/>
      <c r="J21" s="72"/>
      <c r="K21" s="72"/>
      <c r="L21" s="16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67" t="str">
        <f>CONCATENATE("Основание: ", Source!J12)</f>
        <v>Основание: Ведомость объемов работ №01-03-24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4.25" x14ac:dyDescent="0.2">
      <c r="A26" s="11"/>
      <c r="B26" s="11"/>
      <c r="C26" s="11"/>
      <c r="D26" s="11"/>
      <c r="E26" s="21"/>
      <c r="F26" s="21"/>
      <c r="G26" s="73"/>
      <c r="H26" s="73"/>
      <c r="I26" s="73" t="s">
        <v>1114</v>
      </c>
      <c r="J26" s="73"/>
      <c r="K26" s="11"/>
      <c r="L26" s="11"/>
    </row>
    <row r="27" spans="1:12" ht="15" x14ac:dyDescent="0.25">
      <c r="A27" s="11"/>
      <c r="B27" s="11"/>
      <c r="C27" s="76" t="s">
        <v>1115</v>
      </c>
      <c r="D27" s="76"/>
      <c r="E27" s="76"/>
      <c r="F27" s="76"/>
      <c r="G27" s="68"/>
      <c r="H27" s="68"/>
      <c r="I27" s="68">
        <f>J802/1000</f>
        <v>5373.8471595600004</v>
      </c>
      <c r="J27" s="68"/>
      <c r="K27" s="77" t="s">
        <v>1116</v>
      </c>
      <c r="L27" s="77"/>
    </row>
    <row r="28" spans="1:12" ht="14.25" hidden="1" x14ac:dyDescent="0.2">
      <c r="A28" s="11"/>
      <c r="B28" s="11"/>
      <c r="C28" s="70" t="s">
        <v>634</v>
      </c>
      <c r="D28" s="70"/>
      <c r="E28" s="70"/>
      <c r="F28" s="70"/>
      <c r="G28" s="68"/>
      <c r="H28" s="68"/>
      <c r="I28" s="68"/>
      <c r="J28" s="68"/>
      <c r="K28" s="22" t="s">
        <v>1116</v>
      </c>
      <c r="L28" s="11"/>
    </row>
    <row r="29" spans="1:12" ht="15" x14ac:dyDescent="0.25">
      <c r="A29" s="11"/>
      <c r="B29" s="11"/>
      <c r="C29" s="23"/>
      <c r="D29" s="23"/>
      <c r="E29" s="23"/>
      <c r="F29" s="15"/>
      <c r="G29" s="24"/>
      <c r="H29" s="24"/>
      <c r="I29" s="24"/>
      <c r="J29" s="24"/>
      <c r="K29" s="24"/>
      <c r="L29" s="24"/>
    </row>
    <row r="30" spans="1:12" ht="15" hidden="1" x14ac:dyDescent="0.2">
      <c r="A30" s="15" t="s">
        <v>1117</v>
      </c>
      <c r="B30" s="11"/>
      <c r="C30" s="11"/>
      <c r="D30" s="13"/>
      <c r="E30" s="11"/>
      <c r="F30" s="11"/>
      <c r="G30" s="25"/>
      <c r="H30" s="25"/>
      <c r="I30" s="26"/>
      <c r="J30" s="25"/>
      <c r="K30" s="25"/>
      <c r="L30" s="25"/>
    </row>
    <row r="31" spans="1:12" ht="15" hidden="1" x14ac:dyDescent="0.2">
      <c r="A31" s="15" t="s">
        <v>1118</v>
      </c>
      <c r="B31" s="11"/>
      <c r="C31" s="11"/>
      <c r="D31" s="13"/>
      <c r="E31" s="11"/>
      <c r="F31" s="11"/>
      <c r="G31" s="25"/>
      <c r="H31" s="25"/>
      <c r="I31" s="26"/>
      <c r="J31" s="25"/>
      <c r="K31" s="25"/>
      <c r="L31" s="25"/>
    </row>
    <row r="32" spans="1:12" ht="15" hidden="1" x14ac:dyDescent="0.2">
      <c r="A32" s="11"/>
      <c r="B32" s="11"/>
      <c r="C32" s="10"/>
      <c r="D32" s="10"/>
      <c r="E32" s="10"/>
      <c r="F32" s="10"/>
      <c r="G32" s="25"/>
      <c r="H32" s="25"/>
      <c r="I32" s="26"/>
      <c r="J32" s="25"/>
      <c r="K32" s="25"/>
      <c r="L32" s="25"/>
    </row>
    <row r="33" spans="1:26" ht="14.25" x14ac:dyDescent="0.2">
      <c r="A33" s="71" t="s">
        <v>1131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26" ht="57" x14ac:dyDescent="0.2">
      <c r="A34" s="27" t="s">
        <v>1119</v>
      </c>
      <c r="B34" s="27" t="s">
        <v>1120</v>
      </c>
      <c r="C34" s="27" t="s">
        <v>1121</v>
      </c>
      <c r="D34" s="27" t="s">
        <v>1122</v>
      </c>
      <c r="E34" s="27" t="s">
        <v>1123</v>
      </c>
      <c r="F34" s="27" t="s">
        <v>1124</v>
      </c>
      <c r="G34" s="27" t="s">
        <v>1125</v>
      </c>
      <c r="H34" s="27" t="s">
        <v>1126</v>
      </c>
      <c r="I34" s="27" t="s">
        <v>1127</v>
      </c>
      <c r="J34" s="27" t="s">
        <v>1128</v>
      </c>
      <c r="K34" s="27" t="s">
        <v>1129</v>
      </c>
      <c r="L34" s="27" t="s">
        <v>1130</v>
      </c>
    </row>
    <row r="35" spans="1:26" ht="14.25" x14ac:dyDescent="0.2">
      <c r="A35" s="28">
        <v>1</v>
      </c>
      <c r="B35" s="28">
        <v>2</v>
      </c>
      <c r="C35" s="28">
        <v>3</v>
      </c>
      <c r="D35" s="28">
        <v>4</v>
      </c>
      <c r="E35" s="28">
        <v>5</v>
      </c>
      <c r="F35" s="28">
        <v>6</v>
      </c>
      <c r="G35" s="28">
        <v>7</v>
      </c>
      <c r="H35" s="28">
        <v>8</v>
      </c>
      <c r="I35" s="28">
        <v>9</v>
      </c>
      <c r="J35" s="28">
        <v>10</v>
      </c>
      <c r="K35" s="28">
        <v>11</v>
      </c>
      <c r="L35" s="29">
        <v>12</v>
      </c>
    </row>
    <row r="36" spans="1:26" ht="15" x14ac:dyDescent="0.25">
      <c r="B36" s="64" t="str">
        <f>Source!G24</f>
        <v>Восстановление плит покрытий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26" ht="28.5" x14ac:dyDescent="0.2">
      <c r="A37" s="53">
        <v>1</v>
      </c>
      <c r="B37" s="53" t="str">
        <f>Source!F25</f>
        <v>46-02-009-02</v>
      </c>
      <c r="C37" s="53" t="str">
        <f>Source!G25</f>
        <v>Отбивка штукатурки с поверхностей: стен и потолков кирпичных</v>
      </c>
      <c r="D37" s="36" t="str">
        <f>Source!H25</f>
        <v>100 м2</v>
      </c>
      <c r="E37" s="10">
        <f>Source!I25</f>
        <v>0.12690000000000001</v>
      </c>
      <c r="F37" s="37">
        <f>Source!AL25+Source!AM25+Source!AO25</f>
        <v>178</v>
      </c>
      <c r="G37" s="38"/>
      <c r="H37" s="37"/>
      <c r="I37" s="38" t="str">
        <f>Source!BO25</f>
        <v/>
      </c>
      <c r="J37" s="38"/>
      <c r="K37" s="37"/>
      <c r="L37" s="39"/>
      <c r="S37">
        <f>ROUND((Source!FX25/100)*((ROUND(Source!AF25*Source!I25, 2)+ROUND(Source!AE25*Source!I25, 2))), 2)</f>
        <v>23.64</v>
      </c>
      <c r="T37">
        <f>Source!X25</f>
        <v>721.92</v>
      </c>
      <c r="U37">
        <f>ROUND((Source!FY25/100)*((ROUND(Source!AF25*Source!I25, 2)+ROUND(Source!AE25*Source!I25, 2))), 2)</f>
        <v>13.51</v>
      </c>
      <c r="V37">
        <f>Source!Y25</f>
        <v>412.53</v>
      </c>
    </row>
    <row r="38" spans="1:26" ht="14.25" x14ac:dyDescent="0.2">
      <c r="A38" s="53"/>
      <c r="B38" s="53"/>
      <c r="C38" s="53" t="s">
        <v>1132</v>
      </c>
      <c r="D38" s="36"/>
      <c r="E38" s="10"/>
      <c r="F38" s="37">
        <f>Source!AO25</f>
        <v>178</v>
      </c>
      <c r="G38" s="38" t="str">
        <f>Source!DG25</f>
        <v>)*1,15</v>
      </c>
      <c r="H38" s="37">
        <f>ROUND(Source!AF25*Source!I25, 2)</f>
        <v>25.98</v>
      </c>
      <c r="I38" s="38"/>
      <c r="J38" s="38">
        <f>IF(Source!BA25&lt;&gt; 0, Source!BA25, 1)</f>
        <v>30.54</v>
      </c>
      <c r="K38" s="37">
        <f>Source!S25</f>
        <v>793.32</v>
      </c>
      <c r="L38" s="39"/>
      <c r="R38">
        <f>H38</f>
        <v>25.98</v>
      </c>
    </row>
    <row r="39" spans="1:26" ht="14.25" x14ac:dyDescent="0.2">
      <c r="A39" s="53"/>
      <c r="B39" s="53"/>
      <c r="C39" s="53" t="s">
        <v>1133</v>
      </c>
      <c r="D39" s="36" t="s">
        <v>1134</v>
      </c>
      <c r="E39" s="10">
        <f>Source!BZ25</f>
        <v>91</v>
      </c>
      <c r="F39" s="55"/>
      <c r="G39" s="38"/>
      <c r="H39" s="37">
        <f>SUM(S37:S41)</f>
        <v>23.64</v>
      </c>
      <c r="I39" s="40"/>
      <c r="J39" s="35">
        <f>Source!AT25</f>
        <v>91</v>
      </c>
      <c r="K39" s="37">
        <f>SUM(T37:T41)</f>
        <v>721.92</v>
      </c>
      <c r="L39" s="39"/>
    </row>
    <row r="40" spans="1:26" ht="14.25" x14ac:dyDescent="0.2">
      <c r="A40" s="53"/>
      <c r="B40" s="53"/>
      <c r="C40" s="53" t="s">
        <v>1135</v>
      </c>
      <c r="D40" s="36" t="s">
        <v>1134</v>
      </c>
      <c r="E40" s="10">
        <f>Source!CA25</f>
        <v>52</v>
      </c>
      <c r="F40" s="55"/>
      <c r="G40" s="38"/>
      <c r="H40" s="37">
        <f>SUM(U37:U41)</f>
        <v>13.51</v>
      </c>
      <c r="I40" s="40"/>
      <c r="J40" s="35">
        <f>Source!AU25</f>
        <v>52</v>
      </c>
      <c r="K40" s="37">
        <f>SUM(V37:V41)</f>
        <v>412.53</v>
      </c>
      <c r="L40" s="39"/>
    </row>
    <row r="41" spans="1:26" ht="14.25" x14ac:dyDescent="0.2">
      <c r="A41" s="54"/>
      <c r="B41" s="54"/>
      <c r="C41" s="54" t="s">
        <v>1136</v>
      </c>
      <c r="D41" s="41" t="s">
        <v>1137</v>
      </c>
      <c r="E41" s="42">
        <f>Source!AQ25</f>
        <v>22.82</v>
      </c>
      <c r="F41" s="43"/>
      <c r="G41" s="44" t="str">
        <f>Source!DI25</f>
        <v>)*1,15</v>
      </c>
      <c r="H41" s="43"/>
      <c r="I41" s="44"/>
      <c r="J41" s="44"/>
      <c r="K41" s="43"/>
      <c r="L41" s="45">
        <f>Source!U25</f>
        <v>3.3302366999999999</v>
      </c>
    </row>
    <row r="42" spans="1:26" ht="15" x14ac:dyDescent="0.25">
      <c r="G42" s="62">
        <f>H38+H39+H40</f>
        <v>63.13</v>
      </c>
      <c r="H42" s="62"/>
      <c r="J42" s="62">
        <f>K38+K39+K40</f>
        <v>1927.77</v>
      </c>
      <c r="K42" s="62"/>
      <c r="L42" s="46">
        <f>Source!U25</f>
        <v>3.3302366999999999</v>
      </c>
      <c r="O42" s="30">
        <f>G42</f>
        <v>63.13</v>
      </c>
      <c r="P42" s="30">
        <f>J42</f>
        <v>1927.77</v>
      </c>
      <c r="Q42" s="30">
        <f>L42</f>
        <v>3.3302366999999999</v>
      </c>
      <c r="W42">
        <f>IF(Source!BI25&lt;=1,H38+H39+H40, 0)</f>
        <v>63.13</v>
      </c>
      <c r="X42">
        <f>IF(Source!BI25=2,H38+H39+H40, 0)</f>
        <v>0</v>
      </c>
      <c r="Y42">
        <f>IF(Source!BI25=3,H38+H39+H40, 0)</f>
        <v>0</v>
      </c>
      <c r="Z42">
        <f>IF(Source!BI25=4,H38+H39+H40, 0)</f>
        <v>0</v>
      </c>
    </row>
    <row r="43" spans="1:26" ht="28.5" x14ac:dyDescent="0.2">
      <c r="A43" s="53">
        <v>2</v>
      </c>
      <c r="B43" s="53" t="str">
        <f>Source!F26</f>
        <v>52-18-1</v>
      </c>
      <c r="C43" s="53" t="str">
        <f>Source!G26</f>
        <v>Устройство антикоррозийной защиты арматуры перекрытий</v>
      </c>
      <c r="D43" s="36" t="str">
        <f>Source!H26</f>
        <v>10 м2</v>
      </c>
      <c r="E43" s="10">
        <f>Source!I26</f>
        <v>0.33839999999999998</v>
      </c>
      <c r="F43" s="37">
        <f>Source!AL26+Source!AM26+Source!AO26</f>
        <v>1734.04</v>
      </c>
      <c r="G43" s="38"/>
      <c r="H43" s="37"/>
      <c r="I43" s="38" t="str">
        <f>Source!BO26</f>
        <v/>
      </c>
      <c r="J43" s="38"/>
      <c r="K43" s="37"/>
      <c r="L43" s="39"/>
      <c r="S43">
        <f>ROUND((Source!FX26/100)*((ROUND(Source!AF26*Source!I26, 2)+ROUND(Source!AE26*Source!I26, 2))), 2)</f>
        <v>20.79</v>
      </c>
      <c r="T43">
        <f>Source!X26</f>
        <v>634.54</v>
      </c>
      <c r="U43">
        <f>ROUND((Source!FY26/100)*((ROUND(Source!AF26*Source!I26, 2)+ROUND(Source!AE26*Source!I26, 2))), 2)</f>
        <v>12.29</v>
      </c>
      <c r="V43">
        <f>Source!Y26</f>
        <v>375.27</v>
      </c>
    </row>
    <row r="44" spans="1:26" ht="14.25" x14ac:dyDescent="0.2">
      <c r="A44" s="53"/>
      <c r="B44" s="53"/>
      <c r="C44" s="53" t="s">
        <v>1132</v>
      </c>
      <c r="D44" s="36"/>
      <c r="E44" s="10"/>
      <c r="F44" s="37">
        <f>Source!AO26</f>
        <v>57.06</v>
      </c>
      <c r="G44" s="38" t="str">
        <f>Source!DG26</f>
        <v>)*1,15</v>
      </c>
      <c r="H44" s="37">
        <f>ROUND(Source!AF26*Source!I26, 2)</f>
        <v>22.21</v>
      </c>
      <c r="I44" s="38"/>
      <c r="J44" s="38">
        <f>IF(Source!BA26&lt;&gt; 0, Source!BA26, 1)</f>
        <v>30.54</v>
      </c>
      <c r="K44" s="37">
        <f>Source!S26</f>
        <v>678.17</v>
      </c>
      <c r="L44" s="39"/>
      <c r="R44">
        <f>H44</f>
        <v>22.21</v>
      </c>
    </row>
    <row r="45" spans="1:26" ht="14.25" x14ac:dyDescent="0.2">
      <c r="A45" s="53"/>
      <c r="B45" s="53"/>
      <c r="C45" s="53" t="s">
        <v>616</v>
      </c>
      <c r="D45" s="36"/>
      <c r="E45" s="10"/>
      <c r="F45" s="37">
        <f>Source!AM26</f>
        <v>1.97</v>
      </c>
      <c r="G45" s="38" t="str">
        <f>Source!DE26</f>
        <v>)*1,15</v>
      </c>
      <c r="H45" s="37">
        <f>ROUND(((((Source!ET26*1.15))-((Source!EU26*1.15)))+Source!AE26)*Source!I26, 2)</f>
        <v>0.77</v>
      </c>
      <c r="I45" s="38"/>
      <c r="J45" s="38">
        <f>IF(Source!BB26&lt;&gt; 0, Source!BB26, 1)</f>
        <v>12.13</v>
      </c>
      <c r="K45" s="37">
        <f>Source!Q26</f>
        <v>9.27</v>
      </c>
      <c r="L45" s="39"/>
    </row>
    <row r="46" spans="1:26" ht="14.25" x14ac:dyDescent="0.2">
      <c r="A46" s="53"/>
      <c r="B46" s="53"/>
      <c r="C46" s="53" t="s">
        <v>1138</v>
      </c>
      <c r="D46" s="36"/>
      <c r="E46" s="10"/>
      <c r="F46" s="37">
        <f>Source!AN26</f>
        <v>0.35</v>
      </c>
      <c r="G46" s="38" t="str">
        <f>Source!DF26</f>
        <v>)*1,15</v>
      </c>
      <c r="H46" s="47">
        <f>ROUND(Source!AE26*Source!I26, 2)</f>
        <v>0.14000000000000001</v>
      </c>
      <c r="I46" s="38"/>
      <c r="J46" s="38">
        <f>IF(Source!BS26&lt;&gt; 0, Source!BS26, 1)</f>
        <v>30.54</v>
      </c>
      <c r="K46" s="47">
        <f>Source!R26</f>
        <v>4.13</v>
      </c>
      <c r="L46" s="39"/>
      <c r="R46">
        <f>H46</f>
        <v>0.14000000000000001</v>
      </c>
    </row>
    <row r="47" spans="1:26" ht="14.25" x14ac:dyDescent="0.2">
      <c r="A47" s="53"/>
      <c r="B47" s="53"/>
      <c r="C47" s="53" t="s">
        <v>1139</v>
      </c>
      <c r="D47" s="36"/>
      <c r="E47" s="10"/>
      <c r="F47" s="37">
        <f>Source!AL26</f>
        <v>1675.01</v>
      </c>
      <c r="G47" s="38" t="str">
        <f>Source!DD26</f>
        <v/>
      </c>
      <c r="H47" s="37">
        <f>ROUND(Source!AC26*Source!I26, 2)</f>
        <v>566.82000000000005</v>
      </c>
      <c r="I47" s="38"/>
      <c r="J47" s="38">
        <f>IF(Source!BC26&lt;&gt; 0, Source!BC26, 1)</f>
        <v>8.7100000000000009</v>
      </c>
      <c r="K47" s="37">
        <f>Source!P26</f>
        <v>4937.03</v>
      </c>
      <c r="L47" s="39"/>
    </row>
    <row r="48" spans="1:26" ht="14.25" x14ac:dyDescent="0.2">
      <c r="A48" s="53"/>
      <c r="B48" s="53"/>
      <c r="C48" s="53" t="s">
        <v>1133</v>
      </c>
      <c r="D48" s="36" t="s">
        <v>1134</v>
      </c>
      <c r="E48" s="10">
        <f>Source!BZ26</f>
        <v>93</v>
      </c>
      <c r="F48" s="55"/>
      <c r="G48" s="38"/>
      <c r="H48" s="37">
        <f>SUM(S43:S51)</f>
        <v>20.79</v>
      </c>
      <c r="I48" s="40"/>
      <c r="J48" s="35">
        <f>Source!AT26</f>
        <v>93</v>
      </c>
      <c r="K48" s="37">
        <f>SUM(T43:T51)</f>
        <v>634.54</v>
      </c>
      <c r="L48" s="39"/>
    </row>
    <row r="49" spans="1:26" ht="14.25" x14ac:dyDescent="0.2">
      <c r="A49" s="53"/>
      <c r="B49" s="53"/>
      <c r="C49" s="53" t="s">
        <v>1135</v>
      </c>
      <c r="D49" s="36" t="s">
        <v>1134</v>
      </c>
      <c r="E49" s="10">
        <f>Source!CA26</f>
        <v>55</v>
      </c>
      <c r="F49" s="55"/>
      <c r="G49" s="38"/>
      <c r="H49" s="37">
        <f>SUM(U43:U51)</f>
        <v>12.29</v>
      </c>
      <c r="I49" s="40"/>
      <c r="J49" s="35">
        <f>Source!AU26</f>
        <v>55</v>
      </c>
      <c r="K49" s="37">
        <f>SUM(V43:V51)</f>
        <v>375.27</v>
      </c>
      <c r="L49" s="39"/>
    </row>
    <row r="50" spans="1:26" ht="14.25" x14ac:dyDescent="0.2">
      <c r="A50" s="53"/>
      <c r="B50" s="53"/>
      <c r="C50" s="53" t="s">
        <v>1136</v>
      </c>
      <c r="D50" s="36" t="s">
        <v>1137</v>
      </c>
      <c r="E50" s="10">
        <f>Source!AQ26</f>
        <v>6</v>
      </c>
      <c r="F50" s="37"/>
      <c r="G50" s="38" t="str">
        <f>Source!DI26</f>
        <v>)*1,15</v>
      </c>
      <c r="H50" s="37"/>
      <c r="I50" s="38"/>
      <c r="J50" s="38"/>
      <c r="K50" s="37"/>
      <c r="L50" s="48">
        <f>Source!U26</f>
        <v>2.3349599999999997</v>
      </c>
    </row>
    <row r="51" spans="1:26" ht="42.75" x14ac:dyDescent="0.2">
      <c r="A51" s="54">
        <v>2.1</v>
      </c>
      <c r="B51" s="54" t="str">
        <f>Source!F27</f>
        <v>04.3.02.09-0938</v>
      </c>
      <c r="C51" s="54" t="str">
        <f>Source!G27</f>
        <v>Смеси сухие цементные для антикоррозийной защиты арматуры железобетонных конструкций</v>
      </c>
      <c r="D51" s="41" t="str">
        <f>Source!H27</f>
        <v>кг</v>
      </c>
      <c r="E51" s="42">
        <f>Source!I27</f>
        <v>-9.3905999999999992</v>
      </c>
      <c r="F51" s="43">
        <f>Source!AL27+Source!AM27+Source!AO27</f>
        <v>60.36</v>
      </c>
      <c r="G51" s="49" t="s">
        <v>3</v>
      </c>
      <c r="H51" s="43">
        <f>ROUND(Source!AC27*Source!I27, 2)+ROUND((((Source!ET27)-(Source!EU27))+Source!AE27)*Source!I27, 2)+ROUND(Source!AF27*Source!I27, 2)</f>
        <v>-566.82000000000005</v>
      </c>
      <c r="I51" s="44"/>
      <c r="J51" s="44">
        <f>IF(Source!BC27&lt;&gt; 0, Source!BC27, 1)</f>
        <v>8.7100000000000009</v>
      </c>
      <c r="K51" s="43">
        <f>Source!O27</f>
        <v>-4936.97</v>
      </c>
      <c r="L51" s="50"/>
      <c r="S51">
        <f>ROUND((Source!FX27/100)*((ROUND(Source!AF27*Source!I27, 2)+ROUND(Source!AE27*Source!I27, 2))), 2)</f>
        <v>0</v>
      </c>
      <c r="T51">
        <f>Source!X27</f>
        <v>0</v>
      </c>
      <c r="U51">
        <f>ROUND((Source!FY27/100)*((ROUND(Source!AF27*Source!I27, 2)+ROUND(Source!AE27*Source!I27, 2))), 2)</f>
        <v>0</v>
      </c>
      <c r="V51">
        <f>Source!Y27</f>
        <v>0</v>
      </c>
      <c r="W51">
        <f>IF(Source!BI27&lt;=1,H51, 0)</f>
        <v>-566.82000000000005</v>
      </c>
      <c r="X51">
        <f>IF(Source!BI27=2,H51, 0)</f>
        <v>0</v>
      </c>
      <c r="Y51">
        <f>IF(Source!BI27=3,H51, 0)</f>
        <v>0</v>
      </c>
      <c r="Z51">
        <f>IF(Source!BI27=4,H51, 0)</f>
        <v>0</v>
      </c>
    </row>
    <row r="52" spans="1:26" ht="15" x14ac:dyDescent="0.25">
      <c r="G52" s="62">
        <f>H44+H45+H47+H48+H49+SUM(H51:H51)</f>
        <v>56.059999999999945</v>
      </c>
      <c r="H52" s="62"/>
      <c r="J52" s="62">
        <f>K44+K45+K47+K48+K49+SUM(K51:K51)</f>
        <v>1697.3099999999986</v>
      </c>
      <c r="K52" s="62"/>
      <c r="L52" s="46">
        <f>Source!U26</f>
        <v>2.3349599999999997</v>
      </c>
      <c r="O52" s="30">
        <f>G52</f>
        <v>56.059999999999945</v>
      </c>
      <c r="P52" s="30">
        <f>J52</f>
        <v>1697.3099999999986</v>
      </c>
      <c r="Q52" s="30">
        <f>L52</f>
        <v>2.3349599999999997</v>
      </c>
      <c r="W52">
        <f>IF(Source!BI26&lt;=1,H44+H45+H47+H48+H49, 0)</f>
        <v>622.88</v>
      </c>
      <c r="X52">
        <f>IF(Source!BI26=2,H44+H45+H47+H48+H49, 0)</f>
        <v>0</v>
      </c>
      <c r="Y52">
        <f>IF(Source!BI26=3,H44+H45+H47+H48+H49, 0)</f>
        <v>0</v>
      </c>
      <c r="Z52">
        <f>IF(Source!BI26=4,H44+H45+H47+H48+H49, 0)</f>
        <v>0</v>
      </c>
    </row>
    <row r="53" spans="1:26" ht="54" x14ac:dyDescent="0.2">
      <c r="A53" s="54">
        <v>3</v>
      </c>
      <c r="B53" s="54" t="str">
        <f>Source!F28</f>
        <v>Цена Поставщика</v>
      </c>
      <c r="C53" s="54" t="s">
        <v>1140</v>
      </c>
      <c r="D53" s="41" t="str">
        <f>Source!H28</f>
        <v>кг</v>
      </c>
      <c r="E53" s="42">
        <f>Source!I28</f>
        <v>9.3905999999999992</v>
      </c>
      <c r="F53" s="43">
        <f>Source!AL28</f>
        <v>34.56</v>
      </c>
      <c r="G53" s="44" t="str">
        <f>Source!DD28</f>
        <v/>
      </c>
      <c r="H53" s="43">
        <f>ROUND(Source!AC28*Source!I28, 2)</f>
        <v>324.54000000000002</v>
      </c>
      <c r="I53" s="44" t="str">
        <f>Source!BO28</f>
        <v/>
      </c>
      <c r="J53" s="44">
        <f>IF(Source!BC28&lt;&gt; 0, Source!BC28, 1)</f>
        <v>8.7100000000000009</v>
      </c>
      <c r="K53" s="43">
        <f>Source!P28</f>
        <v>2826.74</v>
      </c>
      <c r="L53" s="50"/>
      <c r="S53">
        <f>ROUND((Source!FX28/100)*((ROUND(Source!AF28*Source!I28, 2)+ROUND(Source!AE28*Source!I28, 2))), 2)</f>
        <v>0</v>
      </c>
      <c r="T53">
        <f>Source!X28</f>
        <v>0</v>
      </c>
      <c r="U53">
        <f>ROUND((Source!FY28/100)*((ROUND(Source!AF28*Source!I28, 2)+ROUND(Source!AE28*Source!I28, 2))), 2)</f>
        <v>0</v>
      </c>
      <c r="V53">
        <f>Source!Y28</f>
        <v>0</v>
      </c>
    </row>
    <row r="54" spans="1:26" ht="15" x14ac:dyDescent="0.25">
      <c r="G54" s="62">
        <f>H53</f>
        <v>324.54000000000002</v>
      </c>
      <c r="H54" s="62"/>
      <c r="J54" s="62">
        <f>K53</f>
        <v>2826.74</v>
      </c>
      <c r="K54" s="62"/>
      <c r="L54" s="46">
        <f>Source!U28</f>
        <v>0</v>
      </c>
      <c r="O54" s="30">
        <f>G54</f>
        <v>324.54000000000002</v>
      </c>
      <c r="P54" s="30">
        <f>J54</f>
        <v>2826.74</v>
      </c>
      <c r="Q54" s="30">
        <f>L54</f>
        <v>0</v>
      </c>
      <c r="W54">
        <f>IF(Source!BI28&lt;=1,H53, 0)</f>
        <v>324.54000000000002</v>
      </c>
      <c r="X54">
        <f>IF(Source!BI28=2,H53, 0)</f>
        <v>0</v>
      </c>
      <c r="Y54">
        <f>IF(Source!BI28=3,H53, 0)</f>
        <v>0</v>
      </c>
      <c r="Z54">
        <f>IF(Source!BI28=4,H53, 0)</f>
        <v>0</v>
      </c>
    </row>
    <row r="55" spans="1:26" ht="99.75" x14ac:dyDescent="0.2">
      <c r="A55" s="53">
        <v>4</v>
      </c>
      <c r="B55" s="53" t="str">
        <f>Source!F29</f>
        <v>46-08-004-03</v>
      </c>
      <c r="C55" s="53" t="str">
        <f>Source!G29</f>
        <v>Нанесение безусадочных, быстротвердеющих составов тиксотропного типа вручную в один слой, толщина слоя 20 мм, на поверхности бетонных и железобетонных конструкций: потолочные</v>
      </c>
      <c r="D55" s="36" t="str">
        <f>Source!H29</f>
        <v>100 м2</v>
      </c>
      <c r="E55" s="10">
        <f>Source!I29</f>
        <v>0.12690000000000001</v>
      </c>
      <c r="F55" s="37">
        <f>Source!AL29+Source!AM29+Source!AO29</f>
        <v>529.27</v>
      </c>
      <c r="G55" s="38"/>
      <c r="H55" s="37"/>
      <c r="I55" s="38" t="str">
        <f>Source!BO29</f>
        <v/>
      </c>
      <c r="J55" s="38"/>
      <c r="K55" s="37"/>
      <c r="L55" s="39"/>
      <c r="S55">
        <f>ROUND((Source!FX29/100)*((ROUND(Source!AF29*Source!I29, 2)+ROUND(Source!AE29*Source!I29, 2))), 2)</f>
        <v>67.19</v>
      </c>
      <c r="T55">
        <f>Source!X29</f>
        <v>2052.06</v>
      </c>
      <c r="U55">
        <f>ROUND((Source!FY29/100)*((ROUND(Source!AF29*Source!I29, 2)+ROUND(Source!AE29*Source!I29, 2))), 2)</f>
        <v>38.49</v>
      </c>
      <c r="V55">
        <f>Source!Y29</f>
        <v>1175.45</v>
      </c>
    </row>
    <row r="56" spans="1:26" ht="14.25" x14ac:dyDescent="0.2">
      <c r="A56" s="53"/>
      <c r="B56" s="53"/>
      <c r="C56" s="53" t="s">
        <v>1132</v>
      </c>
      <c r="D56" s="36"/>
      <c r="E56" s="10"/>
      <c r="F56" s="37">
        <f>Source!AO29</f>
        <v>429.39</v>
      </c>
      <c r="G56" s="38" t="str">
        <f>Source!DG29</f>
        <v>)*1,15</v>
      </c>
      <c r="H56" s="37">
        <f>ROUND(Source!AF29*Source!I29, 2)</f>
        <v>62.66</v>
      </c>
      <c r="I56" s="38"/>
      <c r="J56" s="38">
        <f>IF(Source!BA29&lt;&gt; 0, Source!BA29, 1)</f>
        <v>30.54</v>
      </c>
      <c r="K56" s="37">
        <f>Source!S29</f>
        <v>1913.73</v>
      </c>
      <c r="L56" s="39"/>
      <c r="R56">
        <f>H56</f>
        <v>62.66</v>
      </c>
    </row>
    <row r="57" spans="1:26" ht="14.25" x14ac:dyDescent="0.2">
      <c r="A57" s="53"/>
      <c r="B57" s="53"/>
      <c r="C57" s="53" t="s">
        <v>616</v>
      </c>
      <c r="D57" s="36"/>
      <c r="E57" s="10"/>
      <c r="F57" s="37">
        <f>Source!AM29</f>
        <v>99.88</v>
      </c>
      <c r="G57" s="38" t="str">
        <f>Source!DE29</f>
        <v>)*1,15</v>
      </c>
      <c r="H57" s="37">
        <f>ROUND(((((Source!ET29*1.15))-((Source!EU29*1.15)))+Source!AE29)*Source!I29, 2)</f>
        <v>14.58</v>
      </c>
      <c r="I57" s="38"/>
      <c r="J57" s="38">
        <f>IF(Source!BB29&lt;&gt; 0, Source!BB29, 1)</f>
        <v>12.13</v>
      </c>
      <c r="K57" s="37">
        <f>Source!Q29</f>
        <v>176.79</v>
      </c>
      <c r="L57" s="39"/>
    </row>
    <row r="58" spans="1:26" ht="14.25" x14ac:dyDescent="0.2">
      <c r="A58" s="53"/>
      <c r="B58" s="53"/>
      <c r="C58" s="53" t="s">
        <v>1138</v>
      </c>
      <c r="D58" s="36"/>
      <c r="E58" s="10"/>
      <c r="F58" s="37">
        <f>Source!AN29</f>
        <v>17.63</v>
      </c>
      <c r="G58" s="38" t="str">
        <f>Source!DF29</f>
        <v>)*1,15</v>
      </c>
      <c r="H58" s="47">
        <f>ROUND(Source!AE29*Source!I29, 2)</f>
        <v>2.57</v>
      </c>
      <c r="I58" s="38"/>
      <c r="J58" s="38">
        <f>IF(Source!BS29&lt;&gt; 0, Source!BS29, 1)</f>
        <v>30.54</v>
      </c>
      <c r="K58" s="47">
        <f>Source!R29</f>
        <v>78.56</v>
      </c>
      <c r="L58" s="39"/>
      <c r="R58">
        <f>H58</f>
        <v>2.57</v>
      </c>
    </row>
    <row r="59" spans="1:26" ht="14.25" x14ac:dyDescent="0.2">
      <c r="A59" s="53"/>
      <c r="B59" s="53"/>
      <c r="C59" s="53" t="s">
        <v>1133</v>
      </c>
      <c r="D59" s="36" t="s">
        <v>1134</v>
      </c>
      <c r="E59" s="10">
        <f>Source!BZ29</f>
        <v>103</v>
      </c>
      <c r="F59" s="55"/>
      <c r="G59" s="38"/>
      <c r="H59" s="37">
        <f>SUM(S55:S61)</f>
        <v>67.19</v>
      </c>
      <c r="I59" s="40"/>
      <c r="J59" s="35">
        <f>Source!AT29</f>
        <v>103</v>
      </c>
      <c r="K59" s="37">
        <f>SUM(T55:T61)</f>
        <v>2052.06</v>
      </c>
      <c r="L59" s="39"/>
    </row>
    <row r="60" spans="1:26" ht="14.25" x14ac:dyDescent="0.2">
      <c r="A60" s="53"/>
      <c r="B60" s="53"/>
      <c r="C60" s="53" t="s">
        <v>1135</v>
      </c>
      <c r="D60" s="36" t="s">
        <v>1134</v>
      </c>
      <c r="E60" s="10">
        <f>Source!CA29</f>
        <v>59</v>
      </c>
      <c r="F60" s="55"/>
      <c r="G60" s="38"/>
      <c r="H60" s="37">
        <f>SUM(U55:U61)</f>
        <v>38.49</v>
      </c>
      <c r="I60" s="40"/>
      <c r="J60" s="35">
        <f>Source!AU29</f>
        <v>59</v>
      </c>
      <c r="K60" s="37">
        <f>SUM(V55:V61)</f>
        <v>1175.45</v>
      </c>
      <c r="L60" s="39"/>
    </row>
    <row r="61" spans="1:26" ht="14.25" x14ac:dyDescent="0.2">
      <c r="A61" s="54"/>
      <c r="B61" s="54"/>
      <c r="C61" s="54" t="s">
        <v>1136</v>
      </c>
      <c r="D61" s="41" t="s">
        <v>1137</v>
      </c>
      <c r="E61" s="42">
        <f>Source!AQ29</f>
        <v>47.87</v>
      </c>
      <c r="F61" s="43"/>
      <c r="G61" s="44" t="str">
        <f>Source!DI29</f>
        <v>)*1,15</v>
      </c>
      <c r="H61" s="43"/>
      <c r="I61" s="44"/>
      <c r="J61" s="44"/>
      <c r="K61" s="43"/>
      <c r="L61" s="45">
        <f>Source!U29</f>
        <v>6.9859084500000002</v>
      </c>
    </row>
    <row r="62" spans="1:26" ht="15" x14ac:dyDescent="0.25">
      <c r="G62" s="62">
        <f>H56+H57+H59+H60</f>
        <v>182.92000000000002</v>
      </c>
      <c r="H62" s="62"/>
      <c r="J62" s="62">
        <f>K56+K57+K59+K60</f>
        <v>5318.03</v>
      </c>
      <c r="K62" s="62"/>
      <c r="L62" s="46">
        <f>Source!U29</f>
        <v>6.9859084500000002</v>
      </c>
      <c r="O62" s="30">
        <f>G62</f>
        <v>182.92000000000002</v>
      </c>
      <c r="P62" s="30">
        <f>J62</f>
        <v>5318.03</v>
      </c>
      <c r="Q62" s="30">
        <f>L62</f>
        <v>6.9859084500000002</v>
      </c>
      <c r="W62">
        <f>IF(Source!BI29&lt;=1,H56+H57+H59+H60, 0)</f>
        <v>182.92000000000002</v>
      </c>
      <c r="X62">
        <f>IF(Source!BI29=2,H56+H57+H59+H60, 0)</f>
        <v>0</v>
      </c>
      <c r="Y62">
        <f>IF(Source!BI29=3,H56+H57+H59+H60, 0)</f>
        <v>0</v>
      </c>
      <c r="Z62">
        <f>IF(Source!BI29=4,H56+H57+H59+H60, 0)</f>
        <v>0</v>
      </c>
    </row>
    <row r="63" spans="1:26" ht="42.75" x14ac:dyDescent="0.2">
      <c r="A63" s="53">
        <v>5</v>
      </c>
      <c r="B63" s="53" t="str">
        <f>Source!F30</f>
        <v>46-08-004-09</v>
      </c>
      <c r="C63" s="53" t="str">
        <f>Source!G30</f>
        <v>На каждые 5 мм изменения толщины слоя добавлять (уменьшать) к расценкам: 46-08-004-03, 46-08-004-06</v>
      </c>
      <c r="D63" s="36" t="str">
        <f>Source!H30</f>
        <v>100 м2</v>
      </c>
      <c r="E63" s="10">
        <f>Source!I30</f>
        <v>0.12690000000000001</v>
      </c>
      <c r="F63" s="37">
        <f>Source!AL30+Source!AM30+Source!AO30</f>
        <v>64.259999999999991</v>
      </c>
      <c r="G63" s="38"/>
      <c r="H63" s="37"/>
      <c r="I63" s="38" t="str">
        <f>Source!BO30</f>
        <v/>
      </c>
      <c r="J63" s="38"/>
      <c r="K63" s="37"/>
      <c r="L63" s="39"/>
      <c r="S63">
        <f>ROUND((Source!FX30/100)*((ROUND(Source!AF30*Source!I30, 2)+ROUND(Source!AE30*Source!I30, 2))), 2)</f>
        <v>6.56</v>
      </c>
      <c r="T63">
        <f>Source!X30</f>
        <v>200.59</v>
      </c>
      <c r="U63">
        <f>ROUND((Source!FY30/100)*((ROUND(Source!AF30*Source!I30, 2)+ROUND(Source!AE30*Source!I30, 2))), 2)</f>
        <v>3.76</v>
      </c>
      <c r="V63">
        <f>Source!Y30</f>
        <v>114.9</v>
      </c>
    </row>
    <row r="64" spans="1:26" ht="14.25" x14ac:dyDescent="0.2">
      <c r="A64" s="53"/>
      <c r="B64" s="53"/>
      <c r="C64" s="53" t="s">
        <v>1132</v>
      </c>
      <c r="D64" s="36"/>
      <c r="E64" s="10"/>
      <c r="F64" s="37">
        <f>Source!AO30</f>
        <v>39.29</v>
      </c>
      <c r="G64" s="38" t="str">
        <f>Source!DG30</f>
        <v>)*1,15</v>
      </c>
      <c r="H64" s="37">
        <f>ROUND(Source!AF30*Source!I30, 2)</f>
        <v>5.73</v>
      </c>
      <c r="I64" s="38"/>
      <c r="J64" s="38">
        <f>IF(Source!BA30&lt;&gt; 0, Source!BA30, 1)</f>
        <v>30.54</v>
      </c>
      <c r="K64" s="37">
        <f>Source!S30</f>
        <v>175.1</v>
      </c>
      <c r="L64" s="39"/>
      <c r="R64">
        <f>H64</f>
        <v>5.73</v>
      </c>
    </row>
    <row r="65" spans="1:26" ht="14.25" x14ac:dyDescent="0.2">
      <c r="A65" s="53"/>
      <c r="B65" s="53"/>
      <c r="C65" s="53" t="s">
        <v>616</v>
      </c>
      <c r="D65" s="36"/>
      <c r="E65" s="10"/>
      <c r="F65" s="37">
        <f>Source!AM30</f>
        <v>24.97</v>
      </c>
      <c r="G65" s="38" t="str">
        <f>Source!DE30</f>
        <v>)*1,15</v>
      </c>
      <c r="H65" s="37">
        <f>ROUND(((((Source!ET30*1.15))-((Source!EU30*1.15)))+Source!AE30)*Source!I30, 2)</f>
        <v>3.64</v>
      </c>
      <c r="I65" s="38"/>
      <c r="J65" s="38">
        <f>IF(Source!BB30&lt;&gt; 0, Source!BB30, 1)</f>
        <v>12.13</v>
      </c>
      <c r="K65" s="37">
        <f>Source!Q30</f>
        <v>44.2</v>
      </c>
      <c r="L65" s="39"/>
    </row>
    <row r="66" spans="1:26" ht="14.25" x14ac:dyDescent="0.2">
      <c r="A66" s="53"/>
      <c r="B66" s="53"/>
      <c r="C66" s="53" t="s">
        <v>1138</v>
      </c>
      <c r="D66" s="36"/>
      <c r="E66" s="10"/>
      <c r="F66" s="37">
        <f>Source!AN30</f>
        <v>4.41</v>
      </c>
      <c r="G66" s="38" t="str">
        <f>Source!DF30</f>
        <v>)*1,15</v>
      </c>
      <c r="H66" s="47">
        <f>ROUND(Source!AE30*Source!I30, 2)</f>
        <v>0.64</v>
      </c>
      <c r="I66" s="38"/>
      <c r="J66" s="38">
        <f>IF(Source!BS30&lt;&gt; 0, Source!BS30, 1)</f>
        <v>30.54</v>
      </c>
      <c r="K66" s="47">
        <f>Source!R30</f>
        <v>19.649999999999999</v>
      </c>
      <c r="L66" s="39"/>
      <c r="R66">
        <f>H66</f>
        <v>0.64</v>
      </c>
    </row>
    <row r="67" spans="1:26" ht="14.25" x14ac:dyDescent="0.2">
      <c r="A67" s="53"/>
      <c r="B67" s="53"/>
      <c r="C67" s="53" t="s">
        <v>1133</v>
      </c>
      <c r="D67" s="36" t="s">
        <v>1134</v>
      </c>
      <c r="E67" s="10">
        <f>Source!BZ30</f>
        <v>103</v>
      </c>
      <c r="F67" s="55"/>
      <c r="G67" s="38"/>
      <c r="H67" s="37">
        <f>SUM(S63:S69)</f>
        <v>6.56</v>
      </c>
      <c r="I67" s="40"/>
      <c r="J67" s="35">
        <f>Source!AT30</f>
        <v>103</v>
      </c>
      <c r="K67" s="37">
        <f>SUM(T63:T69)</f>
        <v>200.59</v>
      </c>
      <c r="L67" s="39"/>
    </row>
    <row r="68" spans="1:26" ht="14.25" x14ac:dyDescent="0.2">
      <c r="A68" s="53"/>
      <c r="B68" s="53"/>
      <c r="C68" s="53" t="s">
        <v>1135</v>
      </c>
      <c r="D68" s="36" t="s">
        <v>1134</v>
      </c>
      <c r="E68" s="10">
        <f>Source!CA30</f>
        <v>59</v>
      </c>
      <c r="F68" s="55"/>
      <c r="G68" s="38"/>
      <c r="H68" s="37">
        <f>SUM(U63:U69)</f>
        <v>3.76</v>
      </c>
      <c r="I68" s="40"/>
      <c r="J68" s="35">
        <f>Source!AU30</f>
        <v>59</v>
      </c>
      <c r="K68" s="37">
        <f>SUM(V63:V69)</f>
        <v>114.9</v>
      </c>
      <c r="L68" s="39"/>
    </row>
    <row r="69" spans="1:26" ht="14.25" x14ac:dyDescent="0.2">
      <c r="A69" s="54"/>
      <c r="B69" s="54"/>
      <c r="C69" s="54" t="s">
        <v>1136</v>
      </c>
      <c r="D69" s="41" t="s">
        <v>1137</v>
      </c>
      <c r="E69" s="42">
        <f>Source!AQ30</f>
        <v>4.38</v>
      </c>
      <c r="F69" s="43"/>
      <c r="G69" s="44" t="str">
        <f>Source!DI30</f>
        <v>)*1,15</v>
      </c>
      <c r="H69" s="43"/>
      <c r="I69" s="44"/>
      <c r="J69" s="44"/>
      <c r="K69" s="43"/>
      <c r="L69" s="45">
        <f>Source!U30</f>
        <v>0.63919530000000002</v>
      </c>
    </row>
    <row r="70" spans="1:26" ht="15" x14ac:dyDescent="0.25">
      <c r="G70" s="62">
        <f>H64+H65+H67+H68</f>
        <v>19.689999999999998</v>
      </c>
      <c r="H70" s="62"/>
      <c r="J70" s="62">
        <f>K64+K65+K67+K68</f>
        <v>534.79</v>
      </c>
      <c r="K70" s="62"/>
      <c r="L70" s="46">
        <f>Source!U30</f>
        <v>0.63919530000000002</v>
      </c>
      <c r="O70" s="30">
        <f>G70</f>
        <v>19.689999999999998</v>
      </c>
      <c r="P70" s="30">
        <f>J70</f>
        <v>534.79</v>
      </c>
      <c r="Q70" s="30">
        <f>L70</f>
        <v>0.63919530000000002</v>
      </c>
      <c r="W70">
        <f>IF(Source!BI30&lt;=1,H64+H65+H67+H68, 0)</f>
        <v>19.689999999999998</v>
      </c>
      <c r="X70">
        <f>IF(Source!BI30=2,H64+H65+H67+H68, 0)</f>
        <v>0</v>
      </c>
      <c r="Y70">
        <f>IF(Source!BI30=3,H64+H65+H67+H68, 0)</f>
        <v>0</v>
      </c>
      <c r="Z70">
        <f>IF(Source!BI30=4,H64+H65+H67+H68, 0)</f>
        <v>0</v>
      </c>
    </row>
    <row r="71" spans="1:26" ht="57" x14ac:dyDescent="0.2">
      <c r="A71" s="53">
        <v>6</v>
      </c>
      <c r="B71" s="53" t="str">
        <f>Source!F31</f>
        <v>46-08-003-01</v>
      </c>
      <c r="C71" s="53" t="str">
        <f>Source!G31</f>
        <v>Приготовление безусадочных, быстротвердеющих составов тиксотропного типа однокомпонентных: вручную</v>
      </c>
      <c r="D71" s="36" t="str">
        <f>Source!H31</f>
        <v>м3</v>
      </c>
      <c r="E71" s="10">
        <f>Source!I31</f>
        <v>0.31724999999999998</v>
      </c>
      <c r="F71" s="37">
        <f>Source!AL31+Source!AM31+Source!AO31</f>
        <v>68.5</v>
      </c>
      <c r="G71" s="38"/>
      <c r="H71" s="37"/>
      <c r="I71" s="38" t="str">
        <f>Source!BO31</f>
        <v/>
      </c>
      <c r="J71" s="38"/>
      <c r="K71" s="37"/>
      <c r="L71" s="39"/>
      <c r="S71">
        <f>ROUND((Source!FX31/100)*((ROUND(Source!AF31*Source!I31, 2)+ROUND(Source!AE31*Source!I31, 2))), 2)</f>
        <v>18.239999999999998</v>
      </c>
      <c r="T71">
        <f>Source!X31</f>
        <v>557.19000000000005</v>
      </c>
      <c r="U71">
        <f>ROUND((Source!FY31/100)*((ROUND(Source!AF31*Source!I31, 2)+ROUND(Source!AE31*Source!I31, 2))), 2)</f>
        <v>8.5</v>
      </c>
      <c r="V71">
        <f>Source!Y31</f>
        <v>259.52</v>
      </c>
    </row>
    <row r="72" spans="1:26" ht="14.25" x14ac:dyDescent="0.2">
      <c r="A72" s="53"/>
      <c r="B72" s="53"/>
      <c r="C72" s="53" t="s">
        <v>1132</v>
      </c>
      <c r="D72" s="36"/>
      <c r="E72" s="10"/>
      <c r="F72" s="37">
        <f>Source!AO31</f>
        <v>68.5</v>
      </c>
      <c r="G72" s="38" t="str">
        <f>Source!DG31</f>
        <v>)*1,15</v>
      </c>
      <c r="H72" s="37">
        <f>ROUND(Source!AF31*Source!I31, 2)</f>
        <v>24.99</v>
      </c>
      <c r="I72" s="38"/>
      <c r="J72" s="38">
        <f>IF(Source!BA31&lt;&gt; 0, Source!BA31, 1)</f>
        <v>30.54</v>
      </c>
      <c r="K72" s="37">
        <f>Source!S31</f>
        <v>763.28</v>
      </c>
      <c r="L72" s="39"/>
      <c r="R72">
        <f>H72</f>
        <v>24.99</v>
      </c>
    </row>
    <row r="73" spans="1:26" ht="14.25" x14ac:dyDescent="0.2">
      <c r="A73" s="53"/>
      <c r="B73" s="53"/>
      <c r="C73" s="53" t="s">
        <v>1133</v>
      </c>
      <c r="D73" s="36" t="s">
        <v>1134</v>
      </c>
      <c r="E73" s="10">
        <f>Source!BZ31</f>
        <v>73</v>
      </c>
      <c r="F73" s="55"/>
      <c r="G73" s="38"/>
      <c r="H73" s="37">
        <f>SUM(S71:S75)</f>
        <v>18.239999999999998</v>
      </c>
      <c r="I73" s="40"/>
      <c r="J73" s="35">
        <f>Source!AT31</f>
        <v>73</v>
      </c>
      <c r="K73" s="37">
        <f>SUM(T71:T75)</f>
        <v>557.19000000000005</v>
      </c>
      <c r="L73" s="39"/>
    </row>
    <row r="74" spans="1:26" ht="14.25" x14ac:dyDescent="0.2">
      <c r="A74" s="53"/>
      <c r="B74" s="53"/>
      <c r="C74" s="53" t="s">
        <v>1135</v>
      </c>
      <c r="D74" s="36" t="s">
        <v>1134</v>
      </c>
      <c r="E74" s="10">
        <f>Source!CA31</f>
        <v>34</v>
      </c>
      <c r="F74" s="55"/>
      <c r="G74" s="38"/>
      <c r="H74" s="37">
        <f>SUM(U71:U75)</f>
        <v>8.5</v>
      </c>
      <c r="I74" s="40"/>
      <c r="J74" s="35">
        <f>Source!AU31</f>
        <v>34</v>
      </c>
      <c r="K74" s="37">
        <f>SUM(V71:V75)</f>
        <v>259.52</v>
      </c>
      <c r="L74" s="39"/>
    </row>
    <row r="75" spans="1:26" ht="14.25" x14ac:dyDescent="0.2">
      <c r="A75" s="54"/>
      <c r="B75" s="54"/>
      <c r="C75" s="54" t="s">
        <v>1136</v>
      </c>
      <c r="D75" s="41" t="s">
        <v>1137</v>
      </c>
      <c r="E75" s="42">
        <f>Source!AQ31</f>
        <v>8.0299999999999994</v>
      </c>
      <c r="F75" s="43"/>
      <c r="G75" s="44" t="str">
        <f>Source!DI31</f>
        <v>)*1,15</v>
      </c>
      <c r="H75" s="43"/>
      <c r="I75" s="44"/>
      <c r="J75" s="44"/>
      <c r="K75" s="43"/>
      <c r="L75" s="45">
        <f>Source!U31</f>
        <v>2.9296451249999995</v>
      </c>
    </row>
    <row r="76" spans="1:26" ht="15" x14ac:dyDescent="0.25">
      <c r="G76" s="62">
        <f>H72+H73+H74</f>
        <v>51.73</v>
      </c>
      <c r="H76" s="62"/>
      <c r="J76" s="62">
        <f>K72+K73+K74</f>
        <v>1579.99</v>
      </c>
      <c r="K76" s="62"/>
      <c r="L76" s="46">
        <f>Source!U31</f>
        <v>2.9296451249999995</v>
      </c>
      <c r="O76" s="30">
        <f>G76</f>
        <v>51.73</v>
      </c>
      <c r="P76" s="30">
        <f>J76</f>
        <v>1579.99</v>
      </c>
      <c r="Q76" s="30">
        <f>L76</f>
        <v>2.9296451249999995</v>
      </c>
      <c r="W76">
        <f>IF(Source!BI31&lt;=1,H72+H73+H74, 0)</f>
        <v>51.73</v>
      </c>
      <c r="X76">
        <f>IF(Source!BI31=2,H72+H73+H74, 0)</f>
        <v>0</v>
      </c>
      <c r="Y76">
        <f>IF(Source!BI31=3,H72+H73+H74, 0)</f>
        <v>0</v>
      </c>
      <c r="Z76">
        <f>IF(Source!BI31=4,H72+H73+H74, 0)</f>
        <v>0</v>
      </c>
    </row>
    <row r="77" spans="1:26" ht="42.75" x14ac:dyDescent="0.2">
      <c r="A77" s="53">
        <v>7</v>
      </c>
      <c r="B77" s="53" t="str">
        <f>Source!F32</f>
        <v>Цена Поставщика</v>
      </c>
      <c r="C77" s="53" t="s">
        <v>1141</v>
      </c>
      <c r="D77" s="36" t="str">
        <f>Source!H32</f>
        <v>кг</v>
      </c>
      <c r="E77" s="10">
        <f>Source!I32</f>
        <v>634.5</v>
      </c>
      <c r="F77" s="37">
        <f>Source!AL32</f>
        <v>10.88</v>
      </c>
      <c r="G77" s="38" t="str">
        <f>Source!DD32</f>
        <v/>
      </c>
      <c r="H77" s="37">
        <f>ROUND(Source!AC32*Source!I32, 2)</f>
        <v>6903.36</v>
      </c>
      <c r="I77" s="38" t="str">
        <f>Source!BO32</f>
        <v/>
      </c>
      <c r="J77" s="38">
        <f>IF(Source!BC32&lt;&gt; 0, Source!BC32, 1)</f>
        <v>8.7100000000000009</v>
      </c>
      <c r="K77" s="37">
        <f>Source!P32</f>
        <v>60128.27</v>
      </c>
      <c r="L77" s="39"/>
      <c r="S77">
        <f>ROUND((Source!FX32/100)*((ROUND(Source!AF32*Source!I32, 2)+ROUND(Source!AE32*Source!I32, 2))), 2)</f>
        <v>0</v>
      </c>
      <c r="T77">
        <f>Source!X32</f>
        <v>0</v>
      </c>
      <c r="U77">
        <f>ROUND((Source!FY32/100)*((ROUND(Source!AF32*Source!I32, 2)+ROUND(Source!AE32*Source!I32, 2))), 2)</f>
        <v>0</v>
      </c>
      <c r="V77">
        <f>Source!Y32</f>
        <v>0</v>
      </c>
    </row>
    <row r="78" spans="1:26" x14ac:dyDescent="0.2">
      <c r="A78" s="32"/>
      <c r="B78" s="32"/>
      <c r="C78" s="33" t="str">
        <f>"Объем: "&amp;Source!I32&amp;"="&amp;Source!I31&amp;"*"&amp;"2000"</f>
        <v>Объем: 634,5=0,31725*2000</v>
      </c>
      <c r="D78" s="32"/>
      <c r="E78" s="32"/>
      <c r="F78" s="32"/>
      <c r="G78" s="32"/>
      <c r="H78" s="32"/>
      <c r="I78" s="32"/>
      <c r="J78" s="32"/>
      <c r="K78" s="32"/>
      <c r="L78" s="32"/>
    </row>
    <row r="79" spans="1:26" ht="15" x14ac:dyDescent="0.25">
      <c r="G79" s="62">
        <f>H77</f>
        <v>6903.36</v>
      </c>
      <c r="H79" s="62"/>
      <c r="J79" s="62">
        <f>K77</f>
        <v>60128.27</v>
      </c>
      <c r="K79" s="62"/>
      <c r="L79" s="46">
        <f>Source!U32</f>
        <v>0</v>
      </c>
      <c r="O79" s="30">
        <f>G79</f>
        <v>6903.36</v>
      </c>
      <c r="P79" s="30">
        <f>J79</f>
        <v>60128.27</v>
      </c>
      <c r="Q79" s="30">
        <f>L79</f>
        <v>0</v>
      </c>
      <c r="W79">
        <f>IF(Source!BI32&lt;=1,H77, 0)</f>
        <v>6903.36</v>
      </c>
      <c r="X79">
        <f>IF(Source!BI32=2,H77, 0)</f>
        <v>0</v>
      </c>
      <c r="Y79">
        <f>IF(Source!BI32=3,H77, 0)</f>
        <v>0</v>
      </c>
      <c r="Z79">
        <f>IF(Source!BI32=4,H77, 0)</f>
        <v>0</v>
      </c>
    </row>
    <row r="80" spans="1:26" ht="28.5" x14ac:dyDescent="0.2">
      <c r="A80" s="53">
        <v>8</v>
      </c>
      <c r="B80" s="53" t="str">
        <f>Source!F33</f>
        <v>91.06.06-012</v>
      </c>
      <c r="C80" s="53" t="str">
        <f>Source!G33</f>
        <v>Автогидроподъемники, высота подъема 18 м</v>
      </c>
      <c r="D80" s="36" t="str">
        <f>Source!H33</f>
        <v>маш.-ч.</v>
      </c>
      <c r="E80" s="10">
        <f>Source!I33</f>
        <v>13.29</v>
      </c>
      <c r="F80" s="37">
        <f>Source!AL33+Source!AM33+Source!AO33</f>
        <v>113.14</v>
      </c>
      <c r="G80" s="38"/>
      <c r="H80" s="37"/>
      <c r="I80" s="38" t="str">
        <f>Source!BO33</f>
        <v/>
      </c>
      <c r="J80" s="38"/>
      <c r="K80" s="37"/>
      <c r="L80" s="39"/>
      <c r="S80">
        <f>ROUND((Source!FX33/100)*((ROUND(Source!AF33*Source!I33, 2)+ROUND(Source!AE33*Source!I33, 2))), 2)</f>
        <v>0</v>
      </c>
      <c r="T80">
        <f>Source!X33</f>
        <v>0</v>
      </c>
      <c r="U80">
        <f>ROUND((Source!FY33/100)*((ROUND(Source!AF33*Source!I33, 2)+ROUND(Source!AE33*Source!I33, 2))), 2)</f>
        <v>0</v>
      </c>
      <c r="V80">
        <f>Source!Y33</f>
        <v>0</v>
      </c>
    </row>
    <row r="81" spans="1:26" ht="14.25" x14ac:dyDescent="0.2">
      <c r="A81" s="53"/>
      <c r="B81" s="53"/>
      <c r="C81" s="53" t="s">
        <v>616</v>
      </c>
      <c r="D81" s="36"/>
      <c r="E81" s="10"/>
      <c r="F81" s="37">
        <f>Source!AM33</f>
        <v>113.14</v>
      </c>
      <c r="G81" s="38" t="str">
        <f>Source!DE33</f>
        <v/>
      </c>
      <c r="H81" s="37">
        <f>ROUND((((Source!ET33)-(Source!EU33))+Source!AE33)*Source!I33, 2)</f>
        <v>1503.63</v>
      </c>
      <c r="I81" s="38"/>
      <c r="J81" s="38">
        <f>IF(Source!BB33&lt;&gt; 0, Source!BB33, 1)</f>
        <v>12.13</v>
      </c>
      <c r="K81" s="37">
        <f>Source!Q33</f>
        <v>18239.04</v>
      </c>
      <c r="L81" s="39"/>
    </row>
    <row r="82" spans="1:26" ht="14.25" x14ac:dyDescent="0.2">
      <c r="A82" s="54"/>
      <c r="B82" s="54"/>
      <c r="C82" s="54" t="s">
        <v>1138</v>
      </c>
      <c r="D82" s="41"/>
      <c r="E82" s="42"/>
      <c r="F82" s="43">
        <f>Source!AN33</f>
        <v>10.06</v>
      </c>
      <c r="G82" s="44" t="str">
        <f>Source!DF33</f>
        <v/>
      </c>
      <c r="H82" s="51">
        <f>ROUND(Source!AE33*Source!I33, 2)</f>
        <v>133.69999999999999</v>
      </c>
      <c r="I82" s="44"/>
      <c r="J82" s="44">
        <f>IF(Source!BS33&lt;&gt; 0, Source!BS33, 1)</f>
        <v>30.54</v>
      </c>
      <c r="K82" s="51">
        <f>Source!R33</f>
        <v>4083.12</v>
      </c>
      <c r="L82" s="50"/>
      <c r="R82">
        <f>H82</f>
        <v>133.69999999999999</v>
      </c>
    </row>
    <row r="83" spans="1:26" ht="15" x14ac:dyDescent="0.25">
      <c r="G83" s="62">
        <f>H81</f>
        <v>1503.63</v>
      </c>
      <c r="H83" s="62"/>
      <c r="J83" s="62">
        <f>K81</f>
        <v>18239.04</v>
      </c>
      <c r="K83" s="62"/>
      <c r="L83" s="46">
        <f>Source!U33</f>
        <v>0</v>
      </c>
      <c r="O83" s="30">
        <f>G83</f>
        <v>1503.63</v>
      </c>
      <c r="P83" s="30">
        <f>J83</f>
        <v>18239.04</v>
      </c>
      <c r="Q83" s="30">
        <f>L83</f>
        <v>0</v>
      </c>
      <c r="W83">
        <f>IF(Source!BI33&lt;=1,H81, 0)</f>
        <v>1503.63</v>
      </c>
      <c r="X83">
        <f>IF(Source!BI33=2,H81, 0)</f>
        <v>0</v>
      </c>
      <c r="Y83">
        <f>IF(Source!BI33=3,H81, 0)</f>
        <v>0</v>
      </c>
      <c r="Z83">
        <f>IF(Source!BI33=4,H81, 0)</f>
        <v>0</v>
      </c>
    </row>
    <row r="85" spans="1:26" ht="15" x14ac:dyDescent="0.25">
      <c r="B85" s="64" t="str">
        <f>Source!G34</f>
        <v>Ограждение кровли</v>
      </c>
      <c r="C85" s="64"/>
      <c r="D85" s="64"/>
      <c r="E85" s="64"/>
      <c r="F85" s="64"/>
      <c r="G85" s="64"/>
      <c r="H85" s="64"/>
      <c r="I85" s="64"/>
      <c r="J85" s="64"/>
      <c r="K85" s="64"/>
    </row>
    <row r="86" spans="1:26" ht="28.5" x14ac:dyDescent="0.2">
      <c r="A86" s="53">
        <v>9</v>
      </c>
      <c r="B86" s="53" t="str">
        <f>Source!F35</f>
        <v>12-01-012-01</v>
      </c>
      <c r="C86" s="53" t="str">
        <f>Source!G35</f>
        <v>Ограждение кровель перилами</v>
      </c>
      <c r="D86" s="36" t="str">
        <f>Source!H35</f>
        <v>100 м</v>
      </c>
      <c r="E86" s="10">
        <f>Source!I35</f>
        <v>3.96</v>
      </c>
      <c r="F86" s="37">
        <f>Source!AL35+Source!AM35+Source!AO35</f>
        <v>120.19</v>
      </c>
      <c r="G86" s="38"/>
      <c r="H86" s="37"/>
      <c r="I86" s="38" t="str">
        <f>Source!BO35</f>
        <v/>
      </c>
      <c r="J86" s="38"/>
      <c r="K86" s="37"/>
      <c r="L86" s="39"/>
      <c r="S86">
        <f>ROUND((Source!FX35/100)*((ROUND(Source!AF35*Source!I35, 2)+ROUND(Source!AE35*Source!I35, 2))), 2)</f>
        <v>331.2</v>
      </c>
      <c r="T86">
        <f>Source!X35</f>
        <v>10114.76</v>
      </c>
      <c r="U86">
        <f>ROUND((Source!FY35/100)*((ROUND(Source!AF35*Source!I35, 2)+ROUND(Source!AE35*Source!I35, 2))), 2)</f>
        <v>147.22</v>
      </c>
      <c r="V86">
        <f>Source!Y35</f>
        <v>4495.97</v>
      </c>
    </row>
    <row r="87" spans="1:26" x14ac:dyDescent="0.2">
      <c r="C87" s="31" t="str">
        <f>"Объем: "&amp;Source!I35&amp;"=396/"&amp;"100"</f>
        <v>Объем: 3,96=396/100</v>
      </c>
    </row>
    <row r="88" spans="1:26" ht="14.25" x14ac:dyDescent="0.2">
      <c r="A88" s="53"/>
      <c r="B88" s="53"/>
      <c r="C88" s="53" t="s">
        <v>1132</v>
      </c>
      <c r="D88" s="36"/>
      <c r="E88" s="10"/>
      <c r="F88" s="37">
        <f>Source!AO35</f>
        <v>52.27</v>
      </c>
      <c r="G88" s="38" t="str">
        <f>Source!DG35</f>
        <v>)*1,15)*1,15</v>
      </c>
      <c r="H88" s="37">
        <f>ROUND(Source!AF35*Source!I35, 2)</f>
        <v>273.75</v>
      </c>
      <c r="I88" s="38"/>
      <c r="J88" s="38">
        <f>IF(Source!BA35&lt;&gt; 0, Source!BA35, 1)</f>
        <v>30.54</v>
      </c>
      <c r="K88" s="37">
        <f>Source!S35</f>
        <v>8360.4699999999993</v>
      </c>
      <c r="L88" s="39"/>
      <c r="R88">
        <f>H88</f>
        <v>273.75</v>
      </c>
    </row>
    <row r="89" spans="1:26" ht="14.25" x14ac:dyDescent="0.2">
      <c r="A89" s="53"/>
      <c r="B89" s="53"/>
      <c r="C89" s="53" t="s">
        <v>616</v>
      </c>
      <c r="D89" s="36"/>
      <c r="E89" s="10"/>
      <c r="F89" s="37">
        <f>Source!AM35</f>
        <v>48.51</v>
      </c>
      <c r="G89" s="38" t="str">
        <f>Source!DE35</f>
        <v>)*1,25)*1,15</v>
      </c>
      <c r="H89" s="37">
        <f>ROUND((((((Source!ET35*1.25)*1.15))-(((Source!EU35*1.25)*1.15)))+Source!AE35)*Source!I35, 2)</f>
        <v>276.13</v>
      </c>
      <c r="I89" s="38"/>
      <c r="J89" s="38">
        <f>IF(Source!BB35&lt;&gt; 0, Source!BB35, 1)</f>
        <v>12.13</v>
      </c>
      <c r="K89" s="37">
        <f>Source!Q35</f>
        <v>3349.09</v>
      </c>
      <c r="L89" s="39"/>
    </row>
    <row r="90" spans="1:26" ht="14.25" x14ac:dyDescent="0.2">
      <c r="A90" s="53"/>
      <c r="B90" s="53"/>
      <c r="C90" s="53" t="s">
        <v>1138</v>
      </c>
      <c r="D90" s="36"/>
      <c r="E90" s="10"/>
      <c r="F90" s="37">
        <f>Source!AN35</f>
        <v>5.29</v>
      </c>
      <c r="G90" s="38" t="str">
        <f>Source!DF35</f>
        <v>)*1,25)*1,15</v>
      </c>
      <c r="H90" s="47">
        <f>ROUND(Source!AE35*Source!I35, 2)</f>
        <v>30.1</v>
      </c>
      <c r="I90" s="38"/>
      <c r="J90" s="38">
        <f>IF(Source!BS35&lt;&gt; 0, Source!BS35, 1)</f>
        <v>30.54</v>
      </c>
      <c r="K90" s="47">
        <f>Source!R35</f>
        <v>919.13</v>
      </c>
      <c r="L90" s="39"/>
      <c r="R90">
        <f>H90</f>
        <v>30.1</v>
      </c>
    </row>
    <row r="91" spans="1:26" ht="14.25" x14ac:dyDescent="0.2">
      <c r="A91" s="53"/>
      <c r="B91" s="53"/>
      <c r="C91" s="53" t="s">
        <v>1139</v>
      </c>
      <c r="D91" s="36"/>
      <c r="E91" s="10"/>
      <c r="F91" s="37">
        <f>Source!AL35</f>
        <v>19.41</v>
      </c>
      <c r="G91" s="38" t="str">
        <f>Source!DD35</f>
        <v/>
      </c>
      <c r="H91" s="37">
        <f>ROUND(Source!AC35*Source!I35, 2)</f>
        <v>76.86</v>
      </c>
      <c r="I91" s="38"/>
      <c r="J91" s="38">
        <f>IF(Source!BC35&lt;&gt; 0, Source!BC35, 1)</f>
        <v>8.7100000000000009</v>
      </c>
      <c r="K91" s="37">
        <f>Source!P35</f>
        <v>669.48</v>
      </c>
      <c r="L91" s="39"/>
    </row>
    <row r="92" spans="1:26" ht="14.25" x14ac:dyDescent="0.2">
      <c r="A92" s="53"/>
      <c r="B92" s="53"/>
      <c r="C92" s="53" t="s">
        <v>1133</v>
      </c>
      <c r="D92" s="36" t="s">
        <v>1134</v>
      </c>
      <c r="E92" s="10">
        <f>Source!BZ35</f>
        <v>109</v>
      </c>
      <c r="F92" s="55"/>
      <c r="G92" s="38"/>
      <c r="H92" s="37">
        <f>SUM(S86:S94)</f>
        <v>331.2</v>
      </c>
      <c r="I92" s="40"/>
      <c r="J92" s="35">
        <f>Source!AT35</f>
        <v>109</v>
      </c>
      <c r="K92" s="37">
        <f>SUM(T86:T94)</f>
        <v>10114.76</v>
      </c>
      <c r="L92" s="39"/>
    </row>
    <row r="93" spans="1:26" ht="14.25" x14ac:dyDescent="0.2">
      <c r="A93" s="53"/>
      <c r="B93" s="53"/>
      <c r="C93" s="53" t="s">
        <v>1135</v>
      </c>
      <c r="D93" s="36" t="s">
        <v>1134</v>
      </c>
      <c r="E93" s="10">
        <f>Source!CA35</f>
        <v>57</v>
      </c>
      <c r="F93" s="65" t="str">
        <f>CONCATENATE(" )", Source!DM35, Source!FU35, "=", Source!FY35)</f>
        <v xml:space="preserve"> ))*0,85=48,45</v>
      </c>
      <c r="G93" s="66"/>
      <c r="H93" s="37">
        <f>SUM(U86:U94)</f>
        <v>147.22</v>
      </c>
      <c r="I93" s="40"/>
      <c r="J93" s="35">
        <f>Source!AU35</f>
        <v>48.45</v>
      </c>
      <c r="K93" s="37">
        <f>SUM(V86:V94)</f>
        <v>4495.97</v>
      </c>
      <c r="L93" s="39"/>
    </row>
    <row r="94" spans="1:26" ht="14.25" x14ac:dyDescent="0.2">
      <c r="A94" s="54"/>
      <c r="B94" s="54"/>
      <c r="C94" s="54" t="s">
        <v>1136</v>
      </c>
      <c r="D94" s="41" t="s">
        <v>1137</v>
      </c>
      <c r="E94" s="42">
        <f>Source!AQ35</f>
        <v>5.9</v>
      </c>
      <c r="F94" s="43"/>
      <c r="G94" s="44" t="str">
        <f>Source!DI35</f>
        <v>)*1,15)*1,15</v>
      </c>
      <c r="H94" s="43"/>
      <c r="I94" s="44"/>
      <c r="J94" s="44"/>
      <c r="K94" s="43"/>
      <c r="L94" s="45">
        <f>Source!U35</f>
        <v>30.898889999999998</v>
      </c>
    </row>
    <row r="95" spans="1:26" ht="15" x14ac:dyDescent="0.25">
      <c r="G95" s="62">
        <f>H88+H89+H91+H92+H93</f>
        <v>1105.1600000000001</v>
      </c>
      <c r="H95" s="62"/>
      <c r="J95" s="62">
        <f>K88+K89+K91+K92+K93</f>
        <v>26989.77</v>
      </c>
      <c r="K95" s="62"/>
      <c r="L95" s="46">
        <f>Source!U35</f>
        <v>30.898889999999998</v>
      </c>
      <c r="O95" s="30">
        <f>G95</f>
        <v>1105.1600000000001</v>
      </c>
      <c r="P95" s="30">
        <f>J95</f>
        <v>26989.77</v>
      </c>
      <c r="Q95" s="30">
        <f>L95</f>
        <v>30.898889999999998</v>
      </c>
      <c r="W95">
        <f>IF(Source!BI35&lt;=1,H88+H89+H91+H92+H93, 0)</f>
        <v>1105.1600000000001</v>
      </c>
      <c r="X95">
        <f>IF(Source!BI35=2,H88+H89+H91+H92+H93, 0)</f>
        <v>0</v>
      </c>
      <c r="Y95">
        <f>IF(Source!BI35=3,H88+H89+H91+H92+H93, 0)</f>
        <v>0</v>
      </c>
      <c r="Z95">
        <f>IF(Source!BI35=4,H88+H89+H91+H92+H93, 0)</f>
        <v>0</v>
      </c>
    </row>
    <row r="96" spans="1:26" ht="42.75" x14ac:dyDescent="0.2">
      <c r="A96" s="53">
        <v>10</v>
      </c>
      <c r="B96" s="53" t="str">
        <f>Source!F36</f>
        <v>Цена Поставщика</v>
      </c>
      <c r="C96" s="53" t="s">
        <v>1142</v>
      </c>
      <c r="D96" s="36" t="str">
        <f>Source!H36</f>
        <v>шт.</v>
      </c>
      <c r="E96" s="10">
        <f>Source!I36</f>
        <v>1584</v>
      </c>
      <c r="F96" s="37">
        <f>Source!AL36</f>
        <v>0.27</v>
      </c>
      <c r="G96" s="38" t="str">
        <f>Source!DD36</f>
        <v/>
      </c>
      <c r="H96" s="37">
        <f>ROUND(Source!AC36*Source!I36, 2)</f>
        <v>427.68</v>
      </c>
      <c r="I96" s="38" t="str">
        <f>Source!BO36</f>
        <v/>
      </c>
      <c r="J96" s="38">
        <f>IF(Source!BC36&lt;&gt; 0, Source!BC36, 1)</f>
        <v>8.7100000000000009</v>
      </c>
      <c r="K96" s="37">
        <f>Source!P36</f>
        <v>3725.09</v>
      </c>
      <c r="L96" s="39"/>
      <c r="S96">
        <f>ROUND((Source!FX36/100)*((ROUND(Source!AF36*Source!I36, 2)+ROUND(Source!AE36*Source!I36, 2))), 2)</f>
        <v>0</v>
      </c>
      <c r="T96">
        <f>Source!X36</f>
        <v>0</v>
      </c>
      <c r="U96">
        <f>ROUND((Source!FY36/100)*((ROUND(Source!AF36*Source!I36, 2)+ROUND(Source!AE36*Source!I36, 2))), 2)</f>
        <v>0</v>
      </c>
      <c r="V96">
        <f>Source!Y36</f>
        <v>0</v>
      </c>
    </row>
    <row r="97" spans="1:26" x14ac:dyDescent="0.2">
      <c r="A97" s="32"/>
      <c r="B97" s="32"/>
      <c r="C97" s="33" t="str">
        <f>"Объем: "&amp;Source!I36&amp;"="&amp;Source!I35&amp;"*"&amp;"400"</f>
        <v>Объем: 1584=3,96*400</v>
      </c>
      <c r="D97" s="32"/>
      <c r="E97" s="32"/>
      <c r="F97" s="32"/>
      <c r="G97" s="32"/>
      <c r="H97" s="32"/>
      <c r="I97" s="32"/>
      <c r="J97" s="32"/>
      <c r="K97" s="32"/>
      <c r="L97" s="32"/>
    </row>
    <row r="98" spans="1:26" ht="15" x14ac:dyDescent="0.25">
      <c r="G98" s="62">
        <f>H96</f>
        <v>427.68</v>
      </c>
      <c r="H98" s="62"/>
      <c r="J98" s="62">
        <f>K96</f>
        <v>3725.09</v>
      </c>
      <c r="K98" s="62"/>
      <c r="L98" s="46">
        <f>Source!U36</f>
        <v>0</v>
      </c>
      <c r="O98" s="30">
        <f>G98</f>
        <v>427.68</v>
      </c>
      <c r="P98" s="30">
        <f>J98</f>
        <v>3725.09</v>
      </c>
      <c r="Q98" s="30">
        <f>L98</f>
        <v>0</v>
      </c>
      <c r="W98">
        <f>IF(Source!BI36&lt;=1,H96, 0)</f>
        <v>427.68</v>
      </c>
      <c r="X98">
        <f>IF(Source!BI36=2,H96, 0)</f>
        <v>0</v>
      </c>
      <c r="Y98">
        <f>IF(Source!BI36=3,H96, 0)</f>
        <v>0</v>
      </c>
      <c r="Z98">
        <f>IF(Source!BI36=4,H96, 0)</f>
        <v>0</v>
      </c>
    </row>
    <row r="99" spans="1:26" ht="71.25" x14ac:dyDescent="0.2">
      <c r="A99" s="53">
        <v>11</v>
      </c>
      <c r="B99" s="53" t="str">
        <f>Source!F37</f>
        <v>м38-01-006-08</v>
      </c>
      <c r="C99" s="53" t="str">
        <f>Source!G37</f>
        <v>Сборка с помощью лебедок ручных (с установкой и снятием их в процессе работы) или вручную (мелких деталей): стремянки, связи, кронштейны, тормозные конструкции и пр.</v>
      </c>
      <c r="D99" s="36" t="str">
        <f>Source!H37</f>
        <v>т</v>
      </c>
      <c r="E99" s="10">
        <f>Source!I37</f>
        <v>2.2610000000000001</v>
      </c>
      <c r="F99" s="37">
        <f>Source!AL37+Source!AM37+Source!AO37</f>
        <v>3279.93</v>
      </c>
      <c r="G99" s="38"/>
      <c r="H99" s="37"/>
      <c r="I99" s="38" t="str">
        <f>Source!BO37</f>
        <v/>
      </c>
      <c r="J99" s="38"/>
      <c r="K99" s="37"/>
      <c r="L99" s="39"/>
      <c r="S99">
        <f>ROUND((Source!FX37/100)*((ROUND(Source!AF37*Source!I37, 2)+ROUND(Source!AE37*Source!I37, 2))), 2)</f>
        <v>2528.5700000000002</v>
      </c>
      <c r="T99">
        <f>Source!X37</f>
        <v>77222.429999999993</v>
      </c>
      <c r="U99">
        <f>ROUND((Source!FY37/100)*((ROUND(Source!AF37*Source!I37, 2)+ROUND(Source!AE37*Source!I37, 2))), 2)</f>
        <v>1264.28</v>
      </c>
      <c r="V99">
        <f>Source!Y37</f>
        <v>38611.22</v>
      </c>
    </row>
    <row r="100" spans="1:26" ht="14.25" x14ac:dyDescent="0.2">
      <c r="A100" s="53"/>
      <c r="B100" s="53"/>
      <c r="C100" s="53" t="s">
        <v>1132</v>
      </c>
      <c r="D100" s="36"/>
      <c r="E100" s="10"/>
      <c r="F100" s="37">
        <f>Source!AO37</f>
        <v>1222</v>
      </c>
      <c r="G100" s="38" t="str">
        <f>Source!DG37</f>
        <v/>
      </c>
      <c r="H100" s="37">
        <f>ROUND(Source!AF37*Source!I37, 2)</f>
        <v>2762.94</v>
      </c>
      <c r="I100" s="38"/>
      <c r="J100" s="38">
        <f>IF(Source!BA37&lt;&gt; 0, Source!BA37, 1)</f>
        <v>30.54</v>
      </c>
      <c r="K100" s="37">
        <f>Source!S37</f>
        <v>84380.25</v>
      </c>
      <c r="L100" s="39"/>
      <c r="R100">
        <f>H100</f>
        <v>2762.94</v>
      </c>
    </row>
    <row r="101" spans="1:26" ht="14.25" x14ac:dyDescent="0.2">
      <c r="A101" s="53"/>
      <c r="B101" s="53"/>
      <c r="C101" s="53" t="s">
        <v>616</v>
      </c>
      <c r="D101" s="36"/>
      <c r="E101" s="10"/>
      <c r="F101" s="37">
        <f>Source!AM37</f>
        <v>1843</v>
      </c>
      <c r="G101" s="38" t="str">
        <f>Source!DE37</f>
        <v/>
      </c>
      <c r="H101" s="37">
        <f>ROUND((((Source!ET37)-(Source!EU37))+Source!AE37)*Source!I37, 2)</f>
        <v>4167.0200000000004</v>
      </c>
      <c r="I101" s="38"/>
      <c r="J101" s="38">
        <f>IF(Source!BB37&lt;&gt; 0, Source!BB37, 1)</f>
        <v>12.13</v>
      </c>
      <c r="K101" s="37">
        <f>Source!Q37</f>
        <v>50545.99</v>
      </c>
      <c r="L101" s="39"/>
    </row>
    <row r="102" spans="1:26" ht="14.25" x14ac:dyDescent="0.2">
      <c r="A102" s="53"/>
      <c r="B102" s="53"/>
      <c r="C102" s="53" t="s">
        <v>1138</v>
      </c>
      <c r="D102" s="36"/>
      <c r="E102" s="10"/>
      <c r="F102" s="37">
        <f>Source!AN37</f>
        <v>20.6</v>
      </c>
      <c r="G102" s="38" t="str">
        <f>Source!DF37</f>
        <v/>
      </c>
      <c r="H102" s="47">
        <f>ROUND(Source!AE37*Source!I37, 2)</f>
        <v>46.58</v>
      </c>
      <c r="I102" s="38"/>
      <c r="J102" s="38">
        <f>IF(Source!BS37&lt;&gt; 0, Source!BS37, 1)</f>
        <v>30.54</v>
      </c>
      <c r="K102" s="47">
        <f>Source!R37</f>
        <v>1422.45</v>
      </c>
      <c r="L102" s="39"/>
      <c r="R102">
        <f>H102</f>
        <v>46.58</v>
      </c>
    </row>
    <row r="103" spans="1:26" ht="14.25" x14ac:dyDescent="0.2">
      <c r="A103" s="53"/>
      <c r="B103" s="53"/>
      <c r="C103" s="53" t="s">
        <v>1139</v>
      </c>
      <c r="D103" s="36"/>
      <c r="E103" s="10"/>
      <c r="F103" s="37">
        <f>Source!AL37</f>
        <v>214.93</v>
      </c>
      <c r="G103" s="38" t="str">
        <f>Source!DD37</f>
        <v/>
      </c>
      <c r="H103" s="37">
        <f>ROUND(Source!AC37*Source!I37, 2)</f>
        <v>485.96</v>
      </c>
      <c r="I103" s="38"/>
      <c r="J103" s="38">
        <f>IF(Source!BC37&lt;&gt; 0, Source!BC37, 1)</f>
        <v>8.7100000000000009</v>
      </c>
      <c r="K103" s="37">
        <f>Source!P37</f>
        <v>4232.68</v>
      </c>
      <c r="L103" s="39"/>
    </row>
    <row r="104" spans="1:26" ht="14.25" x14ac:dyDescent="0.2">
      <c r="A104" s="53"/>
      <c r="B104" s="53"/>
      <c r="C104" s="53" t="s">
        <v>1133</v>
      </c>
      <c r="D104" s="36" t="s">
        <v>1134</v>
      </c>
      <c r="E104" s="10">
        <f>Source!BZ37</f>
        <v>90</v>
      </c>
      <c r="F104" s="55"/>
      <c r="G104" s="38"/>
      <c r="H104" s="37">
        <f>SUM(S99:S106)</f>
        <v>2528.5700000000002</v>
      </c>
      <c r="I104" s="40"/>
      <c r="J104" s="35">
        <f>Source!AT37</f>
        <v>90</v>
      </c>
      <c r="K104" s="37">
        <f>SUM(T99:T106)</f>
        <v>77222.429999999993</v>
      </c>
      <c r="L104" s="39"/>
    </row>
    <row r="105" spans="1:26" ht="14.25" x14ac:dyDescent="0.2">
      <c r="A105" s="53"/>
      <c r="B105" s="53"/>
      <c r="C105" s="53" t="s">
        <v>1135</v>
      </c>
      <c r="D105" s="36" t="s">
        <v>1134</v>
      </c>
      <c r="E105" s="10">
        <f>Source!CA37</f>
        <v>45</v>
      </c>
      <c r="F105" s="55"/>
      <c r="G105" s="38"/>
      <c r="H105" s="37">
        <f>SUM(U99:U106)</f>
        <v>1264.28</v>
      </c>
      <c r="I105" s="40"/>
      <c r="J105" s="35">
        <f>Source!AU37</f>
        <v>45</v>
      </c>
      <c r="K105" s="37">
        <f>SUM(V99:V106)</f>
        <v>38611.22</v>
      </c>
      <c r="L105" s="39"/>
    </row>
    <row r="106" spans="1:26" ht="14.25" x14ac:dyDescent="0.2">
      <c r="A106" s="54"/>
      <c r="B106" s="54"/>
      <c r="C106" s="54" t="s">
        <v>1136</v>
      </c>
      <c r="D106" s="41" t="s">
        <v>1137</v>
      </c>
      <c r="E106" s="42">
        <f>Source!AQ37</f>
        <v>130</v>
      </c>
      <c r="F106" s="43"/>
      <c r="G106" s="44" t="str">
        <f>Source!DI37</f>
        <v/>
      </c>
      <c r="H106" s="43"/>
      <c r="I106" s="44"/>
      <c r="J106" s="44"/>
      <c r="K106" s="43"/>
      <c r="L106" s="45">
        <f>Source!U37</f>
        <v>293.93</v>
      </c>
    </row>
    <row r="107" spans="1:26" ht="15" x14ac:dyDescent="0.25">
      <c r="G107" s="62">
        <f>H100+H101+H103+H104+H105</f>
        <v>11208.770000000002</v>
      </c>
      <c r="H107" s="62"/>
      <c r="J107" s="62">
        <f>K100+K101+K103+K104+K105</f>
        <v>254992.56999999998</v>
      </c>
      <c r="K107" s="62"/>
      <c r="L107" s="46">
        <f>Source!U37</f>
        <v>293.93</v>
      </c>
      <c r="O107" s="30">
        <f>G107</f>
        <v>11208.770000000002</v>
      </c>
      <c r="P107" s="30">
        <f>J107</f>
        <v>254992.56999999998</v>
      </c>
      <c r="Q107" s="30">
        <f>L107</f>
        <v>293.93</v>
      </c>
      <c r="W107">
        <f>IF(Source!BI37&lt;=1,H100+H101+H103+H104+H105, 0)</f>
        <v>0</v>
      </c>
      <c r="X107">
        <f>IF(Source!BI37=2,H100+H101+H103+H104+H105, 0)</f>
        <v>11208.770000000002</v>
      </c>
      <c r="Y107">
        <f>IF(Source!BI37=3,H100+H101+H103+H104+H105, 0)</f>
        <v>0</v>
      </c>
      <c r="Z107">
        <f>IF(Source!BI37=4,H100+H101+H103+H104+H105, 0)</f>
        <v>0</v>
      </c>
    </row>
    <row r="108" spans="1:26" ht="42.75" x14ac:dyDescent="0.2">
      <c r="A108" s="54">
        <v>12</v>
      </c>
      <c r="B108" s="54" t="str">
        <f>Source!F38</f>
        <v>Цена Поставщика</v>
      </c>
      <c r="C108" s="54" t="s">
        <v>1143</v>
      </c>
      <c r="D108" s="41" t="str">
        <f>Source!H38</f>
        <v>т</v>
      </c>
      <c r="E108" s="42">
        <f>Source!I38</f>
        <v>0.38019999999999998</v>
      </c>
      <c r="F108" s="43">
        <f>Source!AL38</f>
        <v>6629.43</v>
      </c>
      <c r="G108" s="44" t="str">
        <f>Source!DD38</f>
        <v/>
      </c>
      <c r="H108" s="43">
        <f>ROUND(Source!AC38*Source!I38, 2)</f>
        <v>2520.5100000000002</v>
      </c>
      <c r="I108" s="44" t="str">
        <f>Source!BO38</f>
        <v/>
      </c>
      <c r="J108" s="44">
        <f>IF(Source!BC38&lt;&gt; 0, Source!BC38, 1)</f>
        <v>8.7100000000000009</v>
      </c>
      <c r="K108" s="43">
        <f>Source!P38</f>
        <v>21953.64</v>
      </c>
      <c r="L108" s="50"/>
      <c r="S108">
        <f>ROUND((Source!FX38/100)*((ROUND(Source!AF38*Source!I38, 2)+ROUND(Source!AE38*Source!I38, 2))), 2)</f>
        <v>0</v>
      </c>
      <c r="T108">
        <f>Source!X38</f>
        <v>0</v>
      </c>
      <c r="U108">
        <f>ROUND((Source!FY38/100)*((ROUND(Source!AF38*Source!I38, 2)+ROUND(Source!AE38*Source!I38, 2))), 2)</f>
        <v>0</v>
      </c>
      <c r="V108">
        <f>Source!Y38</f>
        <v>0</v>
      </c>
    </row>
    <row r="109" spans="1:26" ht="15" x14ac:dyDescent="0.25">
      <c r="G109" s="62">
        <f>H108</f>
        <v>2520.5100000000002</v>
      </c>
      <c r="H109" s="62"/>
      <c r="J109" s="62">
        <f>K108</f>
        <v>21953.64</v>
      </c>
      <c r="K109" s="62"/>
      <c r="L109" s="46">
        <f>Source!U38</f>
        <v>0</v>
      </c>
      <c r="O109" s="30">
        <f>G109</f>
        <v>2520.5100000000002</v>
      </c>
      <c r="P109" s="30">
        <f>J109</f>
        <v>21953.64</v>
      </c>
      <c r="Q109" s="30">
        <f>L109</f>
        <v>0</v>
      </c>
      <c r="W109">
        <f>IF(Source!BI38&lt;=1,H108, 0)</f>
        <v>2520.5100000000002</v>
      </c>
      <c r="X109">
        <f>IF(Source!BI38=2,H108, 0)</f>
        <v>0</v>
      </c>
      <c r="Y109">
        <f>IF(Source!BI38=3,H108, 0)</f>
        <v>0</v>
      </c>
      <c r="Z109">
        <f>IF(Source!BI38=4,H108, 0)</f>
        <v>0</v>
      </c>
    </row>
    <row r="110" spans="1:26" ht="42.75" x14ac:dyDescent="0.2">
      <c r="A110" s="54">
        <v>13</v>
      </c>
      <c r="B110" s="54" t="str">
        <f>Source!F39</f>
        <v>Цена Поставщика</v>
      </c>
      <c r="C110" s="54" t="s">
        <v>1144</v>
      </c>
      <c r="D110" s="41" t="str">
        <f>Source!H39</f>
        <v>т</v>
      </c>
      <c r="E110" s="42">
        <f>Source!I39</f>
        <v>2.0161199999999999</v>
      </c>
      <c r="F110" s="43">
        <f>Source!AL39</f>
        <v>8299.44</v>
      </c>
      <c r="G110" s="44" t="str">
        <f>Source!DD39</f>
        <v/>
      </c>
      <c r="H110" s="43">
        <f>ROUND(Source!AC39*Source!I39, 2)</f>
        <v>16732.669999999998</v>
      </c>
      <c r="I110" s="44" t="str">
        <f>Source!BO39</f>
        <v/>
      </c>
      <c r="J110" s="44">
        <f>IF(Source!BC39&lt;&gt; 0, Source!BC39, 1)</f>
        <v>8.7100000000000009</v>
      </c>
      <c r="K110" s="43">
        <f>Source!P39</f>
        <v>145741.53</v>
      </c>
      <c r="L110" s="50"/>
      <c r="S110">
        <f>ROUND((Source!FX39/100)*((ROUND(Source!AF39*Source!I39, 2)+ROUND(Source!AE39*Source!I39, 2))), 2)</f>
        <v>0</v>
      </c>
      <c r="T110">
        <f>Source!X39</f>
        <v>0</v>
      </c>
      <c r="U110">
        <f>ROUND((Source!FY39/100)*((ROUND(Source!AF39*Source!I39, 2)+ROUND(Source!AE39*Source!I39, 2))), 2)</f>
        <v>0</v>
      </c>
      <c r="V110">
        <f>Source!Y39</f>
        <v>0</v>
      </c>
    </row>
    <row r="111" spans="1:26" ht="15" x14ac:dyDescent="0.25">
      <c r="G111" s="62">
        <f>H110</f>
        <v>16732.669999999998</v>
      </c>
      <c r="H111" s="62"/>
      <c r="J111" s="62">
        <f>K110</f>
        <v>145741.53</v>
      </c>
      <c r="K111" s="62"/>
      <c r="L111" s="46">
        <f>Source!U39</f>
        <v>0</v>
      </c>
      <c r="O111" s="30">
        <f>G111</f>
        <v>16732.669999999998</v>
      </c>
      <c r="P111" s="30">
        <f>J111</f>
        <v>145741.53</v>
      </c>
      <c r="Q111" s="30">
        <f>L111</f>
        <v>0</v>
      </c>
      <c r="W111">
        <f>IF(Source!BI39&lt;=1,H110, 0)</f>
        <v>16732.669999999998</v>
      </c>
      <c r="X111">
        <f>IF(Source!BI39=2,H110, 0)</f>
        <v>0</v>
      </c>
      <c r="Y111">
        <f>IF(Source!BI39=3,H110, 0)</f>
        <v>0</v>
      </c>
      <c r="Z111">
        <f>IF(Source!BI39=4,H110, 0)</f>
        <v>0</v>
      </c>
    </row>
    <row r="113" spans="1:26" ht="15" x14ac:dyDescent="0.25">
      <c r="B113" s="64" t="str">
        <f>Source!G40</f>
        <v>Ремонт фасада</v>
      </c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26" ht="42.75" x14ac:dyDescent="0.2">
      <c r="A114" s="53">
        <v>14</v>
      </c>
      <c r="B114" s="53" t="str">
        <f>Source!F41</f>
        <v>08-07-001-01</v>
      </c>
      <c r="C114" s="53" t="str">
        <f>Source!G41</f>
        <v>Установка и разборка наружных инвентарных лесов высотой до 16 м: трубчатых для кладки облицовки</v>
      </c>
      <c r="D114" s="36" t="str">
        <f>Source!H41</f>
        <v>100 м2</v>
      </c>
      <c r="E114" s="10">
        <f>Source!I41</f>
        <v>0.72</v>
      </c>
      <c r="F114" s="37">
        <f>Source!AL41+Source!AM41+Source!AO41</f>
        <v>654.21</v>
      </c>
      <c r="G114" s="38"/>
      <c r="H114" s="37"/>
      <c r="I114" s="38" t="str">
        <f>Source!BO41</f>
        <v/>
      </c>
      <c r="J114" s="38"/>
      <c r="K114" s="37"/>
      <c r="L114" s="39"/>
      <c r="S114">
        <f>ROUND((Source!FX41/100)*((ROUND(Source!AF41*Source!I41, 2)+ROUND(Source!AE41*Source!I41, 2))), 2)</f>
        <v>393.69</v>
      </c>
      <c r="T114">
        <f>Source!X41</f>
        <v>12022.98</v>
      </c>
      <c r="U114">
        <f>ROUND((Source!FY41/100)*((ROUND(Source!AF41*Source!I41, 2)+ROUND(Source!AE41*Source!I41, 2))), 2)</f>
        <v>209.91</v>
      </c>
      <c r="V114">
        <f>Source!Y41</f>
        <v>6410.43</v>
      </c>
    </row>
    <row r="115" spans="1:26" x14ac:dyDescent="0.2">
      <c r="C115" s="31" t="str">
        <f>"Объем: "&amp;Source!I41&amp;"=72/"&amp;"100"</f>
        <v>Объем: 0,72=72/100</v>
      </c>
    </row>
    <row r="116" spans="1:26" ht="14.25" x14ac:dyDescent="0.2">
      <c r="A116" s="53"/>
      <c r="B116" s="53"/>
      <c r="C116" s="53" t="s">
        <v>1132</v>
      </c>
      <c r="D116" s="36"/>
      <c r="E116" s="10"/>
      <c r="F116" s="37">
        <f>Source!AO41</f>
        <v>374.98</v>
      </c>
      <c r="G116" s="38" t="str">
        <f>Source!DG41</f>
        <v>)*1,15)*1,15</v>
      </c>
      <c r="H116" s="37">
        <f>ROUND(Source!AF41*Source!I41, 2)</f>
        <v>357.06</v>
      </c>
      <c r="I116" s="38"/>
      <c r="J116" s="38">
        <f>IF(Source!BA41&lt;&gt; 0, Source!BA41, 1)</f>
        <v>30.54</v>
      </c>
      <c r="K116" s="37">
        <f>Source!S41</f>
        <v>10904.47</v>
      </c>
      <c r="L116" s="39"/>
      <c r="R116">
        <f>H116</f>
        <v>357.06</v>
      </c>
    </row>
    <row r="117" spans="1:26" ht="14.25" x14ac:dyDescent="0.2">
      <c r="A117" s="53"/>
      <c r="B117" s="53"/>
      <c r="C117" s="53" t="s">
        <v>616</v>
      </c>
      <c r="D117" s="36"/>
      <c r="E117" s="10"/>
      <c r="F117" s="37">
        <f>Source!AM41</f>
        <v>4.5999999999999996</v>
      </c>
      <c r="G117" s="38" t="str">
        <f>Source!DE41</f>
        <v>)*1,25)*1,15</v>
      </c>
      <c r="H117" s="37">
        <f>ROUND((((((Source!ET41*1.25)*1.15))-(((Source!EU41*1.25)*1.15)))+Source!AE41)*Source!I41, 2)</f>
        <v>4.76</v>
      </c>
      <c r="I117" s="38"/>
      <c r="J117" s="38">
        <f>IF(Source!BB41&lt;&gt; 0, Source!BB41, 1)</f>
        <v>12.13</v>
      </c>
      <c r="K117" s="37">
        <f>Source!Q41</f>
        <v>57.65</v>
      </c>
      <c r="L117" s="39"/>
    </row>
    <row r="118" spans="1:26" ht="14.25" x14ac:dyDescent="0.2">
      <c r="A118" s="53"/>
      <c r="B118" s="53"/>
      <c r="C118" s="53" t="s">
        <v>1138</v>
      </c>
      <c r="D118" s="36"/>
      <c r="E118" s="10"/>
      <c r="F118" s="37">
        <f>Source!AN41</f>
        <v>0.81</v>
      </c>
      <c r="G118" s="38" t="str">
        <f>Source!DF41</f>
        <v>)*1,25)*1,15</v>
      </c>
      <c r="H118" s="47">
        <f>ROUND(Source!AE41*Source!I41, 2)</f>
        <v>0.84</v>
      </c>
      <c r="I118" s="38"/>
      <c r="J118" s="38">
        <f>IF(Source!BS41&lt;&gt; 0, Source!BS41, 1)</f>
        <v>30.54</v>
      </c>
      <c r="K118" s="47">
        <f>Source!R41</f>
        <v>25.51</v>
      </c>
      <c r="L118" s="39"/>
      <c r="R118">
        <f>H118</f>
        <v>0.84</v>
      </c>
    </row>
    <row r="119" spans="1:26" ht="14.25" x14ac:dyDescent="0.2">
      <c r="A119" s="53"/>
      <c r="B119" s="53"/>
      <c r="C119" s="53" t="s">
        <v>1139</v>
      </c>
      <c r="D119" s="36"/>
      <c r="E119" s="10"/>
      <c r="F119" s="37">
        <f>Source!AL41</f>
        <v>274.63</v>
      </c>
      <c r="G119" s="38" t="str">
        <f>Source!DD41</f>
        <v/>
      </c>
      <c r="H119" s="37">
        <f>ROUND(Source!AC41*Source!I41, 2)</f>
        <v>197.73</v>
      </c>
      <c r="I119" s="38"/>
      <c r="J119" s="38">
        <f>IF(Source!BC41&lt;&gt; 0, Source!BC41, 1)</f>
        <v>8.7100000000000009</v>
      </c>
      <c r="K119" s="37">
        <f>Source!P41</f>
        <v>1722.26</v>
      </c>
      <c r="L119" s="39"/>
    </row>
    <row r="120" spans="1:26" ht="14.25" x14ac:dyDescent="0.2">
      <c r="A120" s="53"/>
      <c r="B120" s="53"/>
      <c r="C120" s="53" t="s">
        <v>1133</v>
      </c>
      <c r="D120" s="36" t="s">
        <v>1134</v>
      </c>
      <c r="E120" s="10">
        <f>Source!BZ41</f>
        <v>110</v>
      </c>
      <c r="F120" s="55"/>
      <c r="G120" s="38"/>
      <c r="H120" s="37">
        <f>SUM(S114:S122)</f>
        <v>393.69</v>
      </c>
      <c r="I120" s="40"/>
      <c r="J120" s="35">
        <f>Source!AT41</f>
        <v>110</v>
      </c>
      <c r="K120" s="37">
        <f>SUM(T114:T122)</f>
        <v>12022.98</v>
      </c>
      <c r="L120" s="39"/>
    </row>
    <row r="121" spans="1:26" ht="14.25" x14ac:dyDescent="0.2">
      <c r="A121" s="53"/>
      <c r="B121" s="53"/>
      <c r="C121" s="53" t="s">
        <v>1135</v>
      </c>
      <c r="D121" s="36" t="s">
        <v>1134</v>
      </c>
      <c r="E121" s="10">
        <f>Source!CA41</f>
        <v>69</v>
      </c>
      <c r="F121" s="65" t="str">
        <f>CONCATENATE(" )", Source!DM41, Source!FU41, "=", Source!FY41)</f>
        <v xml:space="preserve"> ))*0,85=58,65</v>
      </c>
      <c r="G121" s="66"/>
      <c r="H121" s="37">
        <f>SUM(U114:U122)</f>
        <v>209.91</v>
      </c>
      <c r="I121" s="40"/>
      <c r="J121" s="35">
        <f>Source!AU41</f>
        <v>58.65</v>
      </c>
      <c r="K121" s="37">
        <f>SUM(V114:V122)</f>
        <v>6410.43</v>
      </c>
      <c r="L121" s="39"/>
    </row>
    <row r="122" spans="1:26" ht="14.25" x14ac:dyDescent="0.2">
      <c r="A122" s="54"/>
      <c r="B122" s="54"/>
      <c r="C122" s="54" t="s">
        <v>1136</v>
      </c>
      <c r="D122" s="41" t="s">
        <v>1137</v>
      </c>
      <c r="E122" s="42">
        <f>Source!AQ41</f>
        <v>43.4</v>
      </c>
      <c r="F122" s="43"/>
      <c r="G122" s="44" t="str">
        <f>Source!DI41</f>
        <v>)*1,15)*1,15</v>
      </c>
      <c r="H122" s="43"/>
      <c r="I122" s="44"/>
      <c r="J122" s="44"/>
      <c r="K122" s="43"/>
      <c r="L122" s="45">
        <f>Source!U41</f>
        <v>41.325479999999992</v>
      </c>
    </row>
    <row r="123" spans="1:26" ht="15" x14ac:dyDescent="0.25">
      <c r="G123" s="62">
        <f>H116+H117+H119+H120+H121</f>
        <v>1163.1500000000001</v>
      </c>
      <c r="H123" s="62"/>
      <c r="J123" s="62">
        <f>K116+K117+K119+K120+K121</f>
        <v>31117.79</v>
      </c>
      <c r="K123" s="62"/>
      <c r="L123" s="46">
        <f>Source!U41</f>
        <v>41.325479999999992</v>
      </c>
      <c r="O123" s="30">
        <f>G123</f>
        <v>1163.1500000000001</v>
      </c>
      <c r="P123" s="30">
        <f>J123</f>
        <v>31117.79</v>
      </c>
      <c r="Q123" s="30">
        <f>L123</f>
        <v>41.325479999999992</v>
      </c>
      <c r="W123">
        <f>IF(Source!BI41&lt;=1,H116+H117+H119+H120+H121, 0)</f>
        <v>1163.1500000000001</v>
      </c>
      <c r="X123">
        <f>IF(Source!BI41=2,H116+H117+H119+H120+H121, 0)</f>
        <v>0</v>
      </c>
      <c r="Y123">
        <f>IF(Source!BI41=3,H116+H117+H119+H120+H121, 0)</f>
        <v>0</v>
      </c>
      <c r="Z123">
        <f>IF(Source!BI41=4,H116+H117+H119+H120+H121, 0)</f>
        <v>0</v>
      </c>
    </row>
    <row r="124" spans="1:26" ht="28.5" x14ac:dyDescent="0.2">
      <c r="A124" s="53">
        <v>15</v>
      </c>
      <c r="B124" s="53" t="str">
        <f>Source!F42</f>
        <v>62-47-1</v>
      </c>
      <c r="C124" s="53" t="str">
        <f>Source!G42</f>
        <v>Расчистка поверхностей шпателем, щетками от старых покрасок</v>
      </c>
      <c r="D124" s="36" t="str">
        <f>Source!H42</f>
        <v>м2</v>
      </c>
      <c r="E124" s="10">
        <f>Source!I42</f>
        <v>6</v>
      </c>
      <c r="F124" s="37">
        <f>Source!AL42+Source!AM42+Source!AO42</f>
        <v>4.38</v>
      </c>
      <c r="G124" s="38"/>
      <c r="H124" s="37"/>
      <c r="I124" s="38" t="str">
        <f>Source!BO42</f>
        <v/>
      </c>
      <c r="J124" s="38"/>
      <c r="K124" s="37"/>
      <c r="L124" s="39"/>
      <c r="S124">
        <f>ROUND((Source!FX42/100)*((ROUND(Source!AF42*Source!I42, 2)+ROUND(Source!AE42*Source!I42, 2))), 2)</f>
        <v>27.22</v>
      </c>
      <c r="T124">
        <f>Source!X42</f>
        <v>831.18</v>
      </c>
      <c r="U124">
        <f>ROUND((Source!FY42/100)*((ROUND(Source!AF42*Source!I42, 2)+ROUND(Source!AE42*Source!I42, 2))), 2)</f>
        <v>13.91</v>
      </c>
      <c r="V124">
        <f>Source!Y42</f>
        <v>424.82</v>
      </c>
    </row>
    <row r="125" spans="1:26" ht="14.25" x14ac:dyDescent="0.2">
      <c r="A125" s="53"/>
      <c r="B125" s="53"/>
      <c r="C125" s="53" t="s">
        <v>1132</v>
      </c>
      <c r="D125" s="36"/>
      <c r="E125" s="10"/>
      <c r="F125" s="37">
        <f>Source!AO42</f>
        <v>4.38</v>
      </c>
      <c r="G125" s="38" t="str">
        <f>Source!DG42</f>
        <v>)*1,15</v>
      </c>
      <c r="H125" s="37">
        <f>ROUND(Source!AF42*Source!I42, 2)</f>
        <v>30.24</v>
      </c>
      <c r="I125" s="38"/>
      <c r="J125" s="38">
        <f>IF(Source!BA42&lt;&gt; 0, Source!BA42, 1)</f>
        <v>30.54</v>
      </c>
      <c r="K125" s="37">
        <f>Source!S42</f>
        <v>923.53</v>
      </c>
      <c r="L125" s="39"/>
      <c r="R125">
        <f>H125</f>
        <v>30.24</v>
      </c>
    </row>
    <row r="126" spans="1:26" ht="14.25" x14ac:dyDescent="0.2">
      <c r="A126" s="53"/>
      <c r="B126" s="53"/>
      <c r="C126" s="53" t="s">
        <v>1133</v>
      </c>
      <c r="D126" s="36" t="s">
        <v>1134</v>
      </c>
      <c r="E126" s="10">
        <f>Source!BZ42</f>
        <v>90</v>
      </c>
      <c r="F126" s="55"/>
      <c r="G126" s="38"/>
      <c r="H126" s="37">
        <f>SUM(S124:S128)</f>
        <v>27.22</v>
      </c>
      <c r="I126" s="40"/>
      <c r="J126" s="35">
        <f>Source!AT42</f>
        <v>90</v>
      </c>
      <c r="K126" s="37">
        <f>SUM(T124:T128)</f>
        <v>831.18</v>
      </c>
      <c r="L126" s="39"/>
    </row>
    <row r="127" spans="1:26" ht="14.25" x14ac:dyDescent="0.2">
      <c r="A127" s="53"/>
      <c r="B127" s="53"/>
      <c r="C127" s="53" t="s">
        <v>1135</v>
      </c>
      <c r="D127" s="36" t="s">
        <v>1134</v>
      </c>
      <c r="E127" s="10">
        <f>Source!CA42</f>
        <v>46</v>
      </c>
      <c r="F127" s="55"/>
      <c r="G127" s="38"/>
      <c r="H127" s="37">
        <f>SUM(U124:U128)</f>
        <v>13.91</v>
      </c>
      <c r="I127" s="40"/>
      <c r="J127" s="35">
        <f>Source!AU42</f>
        <v>46</v>
      </c>
      <c r="K127" s="37">
        <f>SUM(V124:V128)</f>
        <v>424.82</v>
      </c>
      <c r="L127" s="39"/>
    </row>
    <row r="128" spans="1:26" ht="14.25" x14ac:dyDescent="0.2">
      <c r="A128" s="54"/>
      <c r="B128" s="54"/>
      <c r="C128" s="54" t="s">
        <v>1136</v>
      </c>
      <c r="D128" s="41" t="s">
        <v>1137</v>
      </c>
      <c r="E128" s="42">
        <f>Source!AQ42</f>
        <v>0.57999999999999996</v>
      </c>
      <c r="F128" s="43"/>
      <c r="G128" s="44" t="str">
        <f>Source!DI42</f>
        <v>)*1,15</v>
      </c>
      <c r="H128" s="43"/>
      <c r="I128" s="44"/>
      <c r="J128" s="44"/>
      <c r="K128" s="43"/>
      <c r="L128" s="45">
        <f>Source!U42</f>
        <v>4.0019999999999998</v>
      </c>
    </row>
    <row r="129" spans="1:26" ht="15" x14ac:dyDescent="0.25">
      <c r="G129" s="62">
        <f>H125+H126+H127</f>
        <v>71.36999999999999</v>
      </c>
      <c r="H129" s="62"/>
      <c r="J129" s="62">
        <f>K125+K126+K127</f>
        <v>2179.5300000000002</v>
      </c>
      <c r="K129" s="62"/>
      <c r="L129" s="46">
        <f>Source!U42</f>
        <v>4.0019999999999998</v>
      </c>
      <c r="O129" s="30">
        <f>G129</f>
        <v>71.36999999999999</v>
      </c>
      <c r="P129" s="30">
        <f>J129</f>
        <v>2179.5300000000002</v>
      </c>
      <c r="Q129" s="30">
        <f>L129</f>
        <v>4.0019999999999998</v>
      </c>
      <c r="W129">
        <f>IF(Source!BI42&lt;=1,H125+H126+H127, 0)</f>
        <v>71.36999999999999</v>
      </c>
      <c r="X129">
        <f>IF(Source!BI42=2,H125+H126+H127, 0)</f>
        <v>0</v>
      </c>
      <c r="Y129">
        <f>IF(Source!BI42=3,H125+H126+H127, 0)</f>
        <v>0</v>
      </c>
      <c r="Z129">
        <f>IF(Source!BI42=4,H125+H126+H127, 0)</f>
        <v>0</v>
      </c>
    </row>
    <row r="130" spans="1:26" ht="42.75" x14ac:dyDescent="0.2">
      <c r="A130" s="53">
        <v>16</v>
      </c>
      <c r="B130" s="53" t="str">
        <f>Source!F43</f>
        <v>15-07-003-02</v>
      </c>
      <c r="C130" s="53" t="str">
        <f>Source!G43</f>
        <v>Нанесение водно-дисперсионной грунтовки на поверхности: пористые (камень, кирпич, бетон и т.д.)</v>
      </c>
      <c r="D130" s="36" t="str">
        <f>Source!H43</f>
        <v>100 м2</v>
      </c>
      <c r="E130" s="10">
        <f>Source!I43</f>
        <v>0.06</v>
      </c>
      <c r="F130" s="37">
        <f>Source!AL43+Source!AM43+Source!AO43</f>
        <v>57.849999999999994</v>
      </c>
      <c r="G130" s="38"/>
      <c r="H130" s="37"/>
      <c r="I130" s="38" t="str">
        <f>Source!BO43</f>
        <v/>
      </c>
      <c r="J130" s="38"/>
      <c r="K130" s="37"/>
      <c r="L130" s="39"/>
      <c r="S130">
        <f>ROUND((Source!FX43/100)*((ROUND(Source!AF43*Source!I43, 2)+ROUND(Source!AE43*Source!I43, 2))), 2)</f>
        <v>2.74</v>
      </c>
      <c r="T130">
        <f>Source!X43</f>
        <v>83.59</v>
      </c>
      <c r="U130">
        <f>ROUND((Source!FY43/100)*((ROUND(Source!AF43*Source!I43, 2)+ROUND(Source!AE43*Source!I43, 2))), 2)</f>
        <v>1.1399999999999999</v>
      </c>
      <c r="V130">
        <f>Source!Y43</f>
        <v>34.82</v>
      </c>
    </row>
    <row r="131" spans="1:26" x14ac:dyDescent="0.2">
      <c r="C131" s="31" t="str">
        <f>"Объем: "&amp;Source!I43&amp;"=6/"&amp;"100"</f>
        <v>Объем: 0,06=6/100</v>
      </c>
    </row>
    <row r="132" spans="1:26" ht="14.25" x14ac:dyDescent="0.2">
      <c r="A132" s="53"/>
      <c r="B132" s="53"/>
      <c r="C132" s="53" t="s">
        <v>1132</v>
      </c>
      <c r="D132" s="36"/>
      <c r="E132" s="10"/>
      <c r="F132" s="37">
        <f>Source!AO43</f>
        <v>33.869999999999997</v>
      </c>
      <c r="G132" s="38" t="str">
        <f>Source!DG43</f>
        <v>)*1,15)*1,15</v>
      </c>
      <c r="H132" s="37">
        <f>ROUND(Source!AF43*Source!I43, 2)</f>
        <v>2.69</v>
      </c>
      <c r="I132" s="38"/>
      <c r="J132" s="38">
        <f>IF(Source!BA43&lt;&gt; 0, Source!BA43, 1)</f>
        <v>30.54</v>
      </c>
      <c r="K132" s="37">
        <f>Source!S43</f>
        <v>82.07</v>
      </c>
      <c r="L132" s="39"/>
      <c r="R132">
        <f>H132</f>
        <v>2.69</v>
      </c>
    </row>
    <row r="133" spans="1:26" ht="14.25" x14ac:dyDescent="0.2">
      <c r="A133" s="53"/>
      <c r="B133" s="53"/>
      <c r="C133" s="53" t="s">
        <v>616</v>
      </c>
      <c r="D133" s="36"/>
      <c r="E133" s="10"/>
      <c r="F133" s="37">
        <f>Source!AM43</f>
        <v>22.14</v>
      </c>
      <c r="G133" s="38" t="str">
        <f>Source!DE43</f>
        <v>)*1,25)*1,15</v>
      </c>
      <c r="H133" s="37">
        <f>ROUND((((((Source!ET43*1.25)*1.15))-(((Source!EU43*1.25)*1.15)))+Source!AE43)*Source!I43, 2)</f>
        <v>1.91</v>
      </c>
      <c r="I133" s="38"/>
      <c r="J133" s="38">
        <f>IF(Source!BB43&lt;&gt; 0, Source!BB43, 1)</f>
        <v>12.13</v>
      </c>
      <c r="K133" s="37">
        <f>Source!Q43</f>
        <v>23.16</v>
      </c>
      <c r="L133" s="39"/>
    </row>
    <row r="134" spans="1:26" ht="14.25" x14ac:dyDescent="0.2">
      <c r="A134" s="53"/>
      <c r="B134" s="53"/>
      <c r="C134" s="53" t="s">
        <v>1138</v>
      </c>
      <c r="D134" s="36"/>
      <c r="E134" s="10"/>
      <c r="F134" s="37">
        <f>Source!AN43</f>
        <v>0.57999999999999996</v>
      </c>
      <c r="G134" s="38" t="str">
        <f>Source!DF43</f>
        <v>)*1,25)*1,15</v>
      </c>
      <c r="H134" s="47">
        <f>ROUND(Source!AE43*Source!I43, 2)</f>
        <v>0.05</v>
      </c>
      <c r="I134" s="38"/>
      <c r="J134" s="38">
        <f>IF(Source!BS43&lt;&gt; 0, Source!BS43, 1)</f>
        <v>30.54</v>
      </c>
      <c r="K134" s="47">
        <f>Source!R43</f>
        <v>1.52</v>
      </c>
      <c r="L134" s="39"/>
      <c r="R134">
        <f>H134</f>
        <v>0.05</v>
      </c>
    </row>
    <row r="135" spans="1:26" ht="14.25" x14ac:dyDescent="0.2">
      <c r="A135" s="53"/>
      <c r="B135" s="53"/>
      <c r="C135" s="53" t="s">
        <v>1139</v>
      </c>
      <c r="D135" s="36"/>
      <c r="E135" s="10"/>
      <c r="F135" s="37">
        <f>Source!AL43</f>
        <v>1.84</v>
      </c>
      <c r="G135" s="38" t="str">
        <f>Source!DD43</f>
        <v/>
      </c>
      <c r="H135" s="37">
        <f>ROUND(Source!AC43*Source!I43, 2)</f>
        <v>0.11</v>
      </c>
      <c r="I135" s="38"/>
      <c r="J135" s="38">
        <f>IF(Source!BC43&lt;&gt; 0, Source!BC43, 1)</f>
        <v>8.7100000000000009</v>
      </c>
      <c r="K135" s="37">
        <f>Source!P43</f>
        <v>0.96</v>
      </c>
      <c r="L135" s="39"/>
    </row>
    <row r="136" spans="1:26" ht="14.25" x14ac:dyDescent="0.2">
      <c r="A136" s="53"/>
      <c r="B136" s="53"/>
      <c r="C136" s="53" t="s">
        <v>1133</v>
      </c>
      <c r="D136" s="36" t="s">
        <v>1134</v>
      </c>
      <c r="E136" s="10">
        <f>Source!BZ43</f>
        <v>100</v>
      </c>
      <c r="F136" s="55"/>
      <c r="G136" s="38"/>
      <c r="H136" s="37">
        <f>SUM(S130:S138)</f>
        <v>2.74</v>
      </c>
      <c r="I136" s="40"/>
      <c r="J136" s="35">
        <f>Source!AT43</f>
        <v>100</v>
      </c>
      <c r="K136" s="37">
        <f>SUM(T130:T138)</f>
        <v>83.59</v>
      </c>
      <c r="L136" s="39"/>
    </row>
    <row r="137" spans="1:26" ht="14.25" x14ac:dyDescent="0.2">
      <c r="A137" s="53"/>
      <c r="B137" s="53"/>
      <c r="C137" s="53" t="s">
        <v>1135</v>
      </c>
      <c r="D137" s="36" t="s">
        <v>1134</v>
      </c>
      <c r="E137" s="10">
        <f>Source!CA43</f>
        <v>49</v>
      </c>
      <c r="F137" s="65" t="str">
        <f>CONCATENATE(" )", Source!DM43, Source!FU43, "=", Source!FY43)</f>
        <v xml:space="preserve"> ))*0,85=41,65</v>
      </c>
      <c r="G137" s="66"/>
      <c r="H137" s="37">
        <f>SUM(U130:U138)</f>
        <v>1.1399999999999999</v>
      </c>
      <c r="I137" s="40"/>
      <c r="J137" s="35">
        <f>Source!AU43</f>
        <v>41.65</v>
      </c>
      <c r="K137" s="37">
        <f>SUM(V130:V138)</f>
        <v>34.82</v>
      </c>
      <c r="L137" s="39"/>
    </row>
    <row r="138" spans="1:26" ht="14.25" x14ac:dyDescent="0.2">
      <c r="A138" s="54"/>
      <c r="B138" s="54"/>
      <c r="C138" s="54" t="s">
        <v>1136</v>
      </c>
      <c r="D138" s="41" t="s">
        <v>1137</v>
      </c>
      <c r="E138" s="42">
        <f>Source!AQ43</f>
        <v>3.69</v>
      </c>
      <c r="F138" s="43"/>
      <c r="G138" s="44" t="str">
        <f>Source!DI43</f>
        <v>)*1,15)*1,15</v>
      </c>
      <c r="H138" s="43"/>
      <c r="I138" s="44"/>
      <c r="J138" s="44"/>
      <c r="K138" s="43"/>
      <c r="L138" s="45">
        <f>Source!U43</f>
        <v>0.29280149999999999</v>
      </c>
    </row>
    <row r="139" spans="1:26" ht="15" x14ac:dyDescent="0.25">
      <c r="G139" s="62">
        <f>H132+H133+H135+H136+H137</f>
        <v>8.59</v>
      </c>
      <c r="H139" s="62"/>
      <c r="J139" s="62">
        <f>K132+K133+K135+K136+K137</f>
        <v>224.59999999999997</v>
      </c>
      <c r="K139" s="62"/>
      <c r="L139" s="46">
        <f>Source!U43</f>
        <v>0.29280149999999999</v>
      </c>
      <c r="O139" s="30">
        <f>G139</f>
        <v>8.59</v>
      </c>
      <c r="P139" s="30">
        <f>J139</f>
        <v>224.59999999999997</v>
      </c>
      <c r="Q139" s="30">
        <f>L139</f>
        <v>0.29280149999999999</v>
      </c>
      <c r="W139">
        <f>IF(Source!BI43&lt;=1,H132+H133+H135+H136+H137, 0)</f>
        <v>8.59</v>
      </c>
      <c r="X139">
        <f>IF(Source!BI43=2,H132+H133+H135+H136+H137, 0)</f>
        <v>0</v>
      </c>
      <c r="Y139">
        <f>IF(Source!BI43=3,H132+H133+H135+H136+H137, 0)</f>
        <v>0</v>
      </c>
      <c r="Z139">
        <f>IF(Source!BI43=4,H132+H133+H135+H136+H137, 0)</f>
        <v>0</v>
      </c>
    </row>
    <row r="140" spans="1:26" ht="54" x14ac:dyDescent="0.2">
      <c r="A140" s="53">
        <v>17</v>
      </c>
      <c r="B140" s="53" t="str">
        <f>Source!F44</f>
        <v>Цена Поставщика</v>
      </c>
      <c r="C140" s="53" t="s">
        <v>1145</v>
      </c>
      <c r="D140" s="36" t="str">
        <f>Source!H44</f>
        <v>л</v>
      </c>
      <c r="E140" s="10">
        <f>Source!I44</f>
        <v>1.5</v>
      </c>
      <c r="F140" s="37">
        <f>Source!AL44</f>
        <v>9.33</v>
      </c>
      <c r="G140" s="38" t="str">
        <f>Source!DD44</f>
        <v/>
      </c>
      <c r="H140" s="37">
        <f>ROUND(Source!AC44*Source!I44, 2)</f>
        <v>14</v>
      </c>
      <c r="I140" s="38" t="str">
        <f>Source!BO44</f>
        <v/>
      </c>
      <c r="J140" s="38">
        <f>IF(Source!BC44&lt;&gt; 0, Source!BC44, 1)</f>
        <v>8.7100000000000009</v>
      </c>
      <c r="K140" s="37">
        <f>Source!P44</f>
        <v>121.9</v>
      </c>
      <c r="L140" s="39"/>
      <c r="S140">
        <f>ROUND((Source!FX44/100)*((ROUND(Source!AF44*Source!I44, 2)+ROUND(Source!AE44*Source!I44, 2))), 2)</f>
        <v>0</v>
      </c>
      <c r="T140">
        <f>Source!X44</f>
        <v>0</v>
      </c>
      <c r="U140">
        <f>ROUND((Source!FY44/100)*((ROUND(Source!AF44*Source!I44, 2)+ROUND(Source!AE44*Source!I44, 2))), 2)</f>
        <v>0</v>
      </c>
      <c r="V140">
        <f>Source!Y44</f>
        <v>0</v>
      </c>
    </row>
    <row r="141" spans="1:26" x14ac:dyDescent="0.2">
      <c r="A141" s="32"/>
      <c r="B141" s="32"/>
      <c r="C141" s="33" t="str">
        <f>"Объем: "&amp;Source!I44&amp;"="&amp;Source!I43&amp;"*"&amp;"25"</f>
        <v>Объем: 1,5=0,06*25</v>
      </c>
      <c r="D141" s="32"/>
      <c r="E141" s="32"/>
      <c r="F141" s="32"/>
      <c r="G141" s="32"/>
      <c r="H141" s="32"/>
      <c r="I141" s="32"/>
      <c r="J141" s="32"/>
      <c r="K141" s="32"/>
      <c r="L141" s="32"/>
    </row>
    <row r="142" spans="1:26" ht="15" x14ac:dyDescent="0.25">
      <c r="G142" s="62">
        <f>H140</f>
        <v>14</v>
      </c>
      <c r="H142" s="62"/>
      <c r="J142" s="62">
        <f>K140</f>
        <v>121.9</v>
      </c>
      <c r="K142" s="62"/>
      <c r="L142" s="46">
        <f>Source!U44</f>
        <v>0</v>
      </c>
      <c r="O142" s="30">
        <f>G142</f>
        <v>14</v>
      </c>
      <c r="P142" s="30">
        <f>J142</f>
        <v>121.9</v>
      </c>
      <c r="Q142" s="30">
        <f>L142</f>
        <v>0</v>
      </c>
      <c r="W142">
        <f>IF(Source!BI44&lt;=1,H140, 0)</f>
        <v>14</v>
      </c>
      <c r="X142">
        <f>IF(Source!BI44=2,H140, 0)</f>
        <v>0</v>
      </c>
      <c r="Y142">
        <f>IF(Source!BI44=3,H140, 0)</f>
        <v>0</v>
      </c>
      <c r="Z142">
        <f>IF(Source!BI44=4,H140, 0)</f>
        <v>0</v>
      </c>
    </row>
    <row r="143" spans="1:26" ht="28.5" x14ac:dyDescent="0.2">
      <c r="A143" s="53">
        <v>18</v>
      </c>
      <c r="B143" s="53" t="str">
        <f>Source!F45</f>
        <v>15-02-037-01</v>
      </c>
      <c r="C143" s="53" t="str">
        <f>Source!G45</f>
        <v>Устройство каркаса при оштукатуривании: стен</v>
      </c>
      <c r="D143" s="36" t="str">
        <f>Source!H45</f>
        <v>100 м2</v>
      </c>
      <c r="E143" s="10">
        <f>Source!I45</f>
        <v>0.06</v>
      </c>
      <c r="F143" s="37">
        <f>Source!AL45+Source!AM45+Source!AO45</f>
        <v>1828.29</v>
      </c>
      <c r="G143" s="38"/>
      <c r="H143" s="37"/>
      <c r="I143" s="38" t="str">
        <f>Source!BO45</f>
        <v/>
      </c>
      <c r="J143" s="38"/>
      <c r="K143" s="37"/>
      <c r="L143" s="39"/>
      <c r="S143">
        <f>ROUND((Source!FX45/100)*((ROUND(Source!AF45*Source!I45, 2)+ROUND(Source!AE45*Source!I45, 2))), 2)</f>
        <v>16.46</v>
      </c>
      <c r="T143">
        <f>Source!X45</f>
        <v>502.83</v>
      </c>
      <c r="U143">
        <f>ROUND((Source!FY45/100)*((ROUND(Source!AF45*Source!I45, 2)+ROUND(Source!AE45*Source!I45, 2))), 2)</f>
        <v>6.86</v>
      </c>
      <c r="V143">
        <f>Source!Y45</f>
        <v>209.43</v>
      </c>
    </row>
    <row r="144" spans="1:26" x14ac:dyDescent="0.2">
      <c r="C144" s="31" t="str">
        <f>"Объем: "&amp;Source!I45&amp;"=6/"&amp;"100"</f>
        <v>Объем: 0,06=6/100</v>
      </c>
    </row>
    <row r="145" spans="1:26" ht="14.25" x14ac:dyDescent="0.2">
      <c r="A145" s="53"/>
      <c r="B145" s="53"/>
      <c r="C145" s="53" t="s">
        <v>1132</v>
      </c>
      <c r="D145" s="36"/>
      <c r="E145" s="10"/>
      <c r="F145" s="37">
        <f>Source!AO45</f>
        <v>204.71</v>
      </c>
      <c r="G145" s="38" t="str">
        <f>Source!DG45</f>
        <v>)*1,15)*1,15</v>
      </c>
      <c r="H145" s="37">
        <f>ROUND(Source!AF45*Source!I45, 2)</f>
        <v>16.239999999999998</v>
      </c>
      <c r="I145" s="38"/>
      <c r="J145" s="38">
        <f>IF(Source!BA45&lt;&gt; 0, Source!BA45, 1)</f>
        <v>30.54</v>
      </c>
      <c r="K145" s="37">
        <f>Source!S45</f>
        <v>496.09</v>
      </c>
      <c r="L145" s="39"/>
      <c r="R145">
        <f>H145</f>
        <v>16.239999999999998</v>
      </c>
    </row>
    <row r="146" spans="1:26" ht="14.25" x14ac:dyDescent="0.2">
      <c r="A146" s="53"/>
      <c r="B146" s="53"/>
      <c r="C146" s="53" t="s">
        <v>616</v>
      </c>
      <c r="D146" s="36"/>
      <c r="E146" s="10"/>
      <c r="F146" s="37">
        <f>Source!AM45</f>
        <v>11.26</v>
      </c>
      <c r="G146" s="38" t="str">
        <f>Source!DE45</f>
        <v>)*1,25)*1,15</v>
      </c>
      <c r="H146" s="37">
        <f>ROUND((((((Source!ET45*1.25)*1.15))-(((Source!EU45*1.25)*1.15)))+Source!AE45)*Source!I45, 2)</f>
        <v>0.97</v>
      </c>
      <c r="I146" s="38"/>
      <c r="J146" s="38">
        <f>IF(Source!BB45&lt;&gt; 0, Source!BB45, 1)</f>
        <v>12.13</v>
      </c>
      <c r="K146" s="37">
        <f>Source!Q45</f>
        <v>11.78</v>
      </c>
      <c r="L146" s="39"/>
    </row>
    <row r="147" spans="1:26" ht="14.25" x14ac:dyDescent="0.2">
      <c r="A147" s="53"/>
      <c r="B147" s="53"/>
      <c r="C147" s="53" t="s">
        <v>1138</v>
      </c>
      <c r="D147" s="36"/>
      <c r="E147" s="10"/>
      <c r="F147" s="37">
        <f>Source!AN45</f>
        <v>2.56</v>
      </c>
      <c r="G147" s="38" t="str">
        <f>Source!DF45</f>
        <v>)*1,25)*1,15</v>
      </c>
      <c r="H147" s="47">
        <f>ROUND(Source!AE45*Source!I45, 2)</f>
        <v>0.22</v>
      </c>
      <c r="I147" s="38"/>
      <c r="J147" s="38">
        <f>IF(Source!BS45&lt;&gt; 0, Source!BS45, 1)</f>
        <v>30.54</v>
      </c>
      <c r="K147" s="47">
        <f>Source!R45</f>
        <v>6.74</v>
      </c>
      <c r="L147" s="39"/>
      <c r="R147">
        <f>H147</f>
        <v>0.22</v>
      </c>
    </row>
    <row r="148" spans="1:26" ht="14.25" x14ac:dyDescent="0.2">
      <c r="A148" s="53"/>
      <c r="B148" s="53"/>
      <c r="C148" s="53" t="s">
        <v>1133</v>
      </c>
      <c r="D148" s="36" t="s">
        <v>1134</v>
      </c>
      <c r="E148" s="10">
        <f>Source!BZ45</f>
        <v>100</v>
      </c>
      <c r="F148" s="55"/>
      <c r="G148" s="38"/>
      <c r="H148" s="37">
        <f>SUM(S143:S150)</f>
        <v>16.46</v>
      </c>
      <c r="I148" s="40"/>
      <c r="J148" s="35">
        <f>Source!AT45</f>
        <v>100</v>
      </c>
      <c r="K148" s="37">
        <f>SUM(T143:T150)</f>
        <v>502.83</v>
      </c>
      <c r="L148" s="39"/>
    </row>
    <row r="149" spans="1:26" ht="14.25" x14ac:dyDescent="0.2">
      <c r="A149" s="53"/>
      <c r="B149" s="53"/>
      <c r="C149" s="53" t="s">
        <v>1135</v>
      </c>
      <c r="D149" s="36" t="s">
        <v>1134</v>
      </c>
      <c r="E149" s="10">
        <f>Source!CA45</f>
        <v>49</v>
      </c>
      <c r="F149" s="65" t="str">
        <f>CONCATENATE(" )", Source!DM45, Source!FU45, "=", Source!FY45)</f>
        <v xml:space="preserve"> ))*0,85=41,65</v>
      </c>
      <c r="G149" s="66"/>
      <c r="H149" s="37">
        <f>SUM(U143:U150)</f>
        <v>6.86</v>
      </c>
      <c r="I149" s="40"/>
      <c r="J149" s="35">
        <f>Source!AU45</f>
        <v>41.65</v>
      </c>
      <c r="K149" s="37">
        <f>SUM(V143:V150)</f>
        <v>209.43</v>
      </c>
      <c r="L149" s="39"/>
    </row>
    <row r="150" spans="1:26" ht="14.25" x14ac:dyDescent="0.2">
      <c r="A150" s="54"/>
      <c r="B150" s="54"/>
      <c r="C150" s="54" t="s">
        <v>1136</v>
      </c>
      <c r="D150" s="41" t="s">
        <v>1137</v>
      </c>
      <c r="E150" s="42">
        <f>Source!AQ45</f>
        <v>22.3</v>
      </c>
      <c r="F150" s="43"/>
      <c r="G150" s="44" t="str">
        <f>Source!DI45</f>
        <v>)*1,15)*1,15</v>
      </c>
      <c r="H150" s="43"/>
      <c r="I150" s="44"/>
      <c r="J150" s="44"/>
      <c r="K150" s="43"/>
      <c r="L150" s="45">
        <f>Source!U45</f>
        <v>1.7695049999999997</v>
      </c>
    </row>
    <row r="151" spans="1:26" ht="15" x14ac:dyDescent="0.25">
      <c r="G151" s="62">
        <f>H145+H146+H148+H149</f>
        <v>40.53</v>
      </c>
      <c r="H151" s="62"/>
      <c r="J151" s="62">
        <f>K145+K146+K148+K149</f>
        <v>1220.1299999999999</v>
      </c>
      <c r="K151" s="62"/>
      <c r="L151" s="46">
        <f>Source!U45</f>
        <v>1.7695049999999997</v>
      </c>
      <c r="O151" s="30">
        <f>G151</f>
        <v>40.53</v>
      </c>
      <c r="P151" s="30">
        <f>J151</f>
        <v>1220.1299999999999</v>
      </c>
      <c r="Q151" s="30">
        <f>L151</f>
        <v>1.7695049999999997</v>
      </c>
      <c r="W151">
        <f>IF(Source!BI45&lt;=1,H145+H146+H148+H149, 0)</f>
        <v>40.53</v>
      </c>
      <c r="X151">
        <f>IF(Source!BI45=2,H145+H146+H148+H149, 0)</f>
        <v>0</v>
      </c>
      <c r="Y151">
        <f>IF(Source!BI45=3,H145+H146+H148+H149, 0)</f>
        <v>0</v>
      </c>
      <c r="Z151">
        <f>IF(Source!BI45=4,H145+H146+H148+H149, 0)</f>
        <v>0</v>
      </c>
    </row>
    <row r="152" spans="1:26" ht="54" x14ac:dyDescent="0.2">
      <c r="A152" s="53">
        <v>19</v>
      </c>
      <c r="B152" s="53" t="str">
        <f>Source!F46</f>
        <v>Цена Поставщика</v>
      </c>
      <c r="C152" s="53" t="s">
        <v>1146</v>
      </c>
      <c r="D152" s="36" t="str">
        <f>Source!H46</f>
        <v>м2</v>
      </c>
      <c r="E152" s="10">
        <f>Source!I46</f>
        <v>6.6</v>
      </c>
      <c r="F152" s="37">
        <f>Source!AL46</f>
        <v>9.02</v>
      </c>
      <c r="G152" s="38" t="str">
        <f>Source!DD46</f>
        <v/>
      </c>
      <c r="H152" s="37">
        <f>ROUND(Source!AC46*Source!I46, 2)</f>
        <v>59.53</v>
      </c>
      <c r="I152" s="38" t="str">
        <f>Source!BO46</f>
        <v/>
      </c>
      <c r="J152" s="38">
        <f>IF(Source!BC46&lt;&gt; 0, Source!BC46, 1)</f>
        <v>8.7100000000000009</v>
      </c>
      <c r="K152" s="37">
        <f>Source!P46</f>
        <v>518.52</v>
      </c>
      <c r="L152" s="39"/>
      <c r="S152">
        <f>ROUND((Source!FX46/100)*((ROUND(Source!AF46*Source!I46, 2)+ROUND(Source!AE46*Source!I46, 2))), 2)</f>
        <v>0</v>
      </c>
      <c r="T152">
        <f>Source!X46</f>
        <v>0</v>
      </c>
      <c r="U152">
        <f>ROUND((Source!FY46/100)*((ROUND(Source!AF46*Source!I46, 2)+ROUND(Source!AE46*Source!I46, 2))), 2)</f>
        <v>0</v>
      </c>
      <c r="V152">
        <f>Source!Y46</f>
        <v>0</v>
      </c>
    </row>
    <row r="153" spans="1:26" x14ac:dyDescent="0.2">
      <c r="A153" s="32"/>
      <c r="B153" s="32"/>
      <c r="C153" s="33" t="str">
        <f>"Объем: "&amp;Source!I46&amp;"="&amp;Source!I45&amp;"*"&amp;"110"</f>
        <v>Объем: 6,6=0,06*110</v>
      </c>
      <c r="D153" s="32"/>
      <c r="E153" s="32"/>
      <c r="F153" s="32"/>
      <c r="G153" s="32"/>
      <c r="H153" s="32"/>
      <c r="I153" s="32"/>
      <c r="J153" s="32"/>
      <c r="K153" s="32"/>
      <c r="L153" s="32"/>
    </row>
    <row r="154" spans="1:26" ht="15" x14ac:dyDescent="0.25">
      <c r="G154" s="62">
        <f>H152</f>
        <v>59.53</v>
      </c>
      <c r="H154" s="62"/>
      <c r="J154" s="62">
        <f>K152</f>
        <v>518.52</v>
      </c>
      <c r="K154" s="62"/>
      <c r="L154" s="46">
        <f>Source!U46</f>
        <v>0</v>
      </c>
      <c r="O154" s="30">
        <f>G154</f>
        <v>59.53</v>
      </c>
      <c r="P154" s="30">
        <f>J154</f>
        <v>518.52</v>
      </c>
      <c r="Q154" s="30">
        <f>L154</f>
        <v>0</v>
      </c>
      <c r="W154">
        <f>IF(Source!BI46&lt;=1,H152, 0)</f>
        <v>59.53</v>
      </c>
      <c r="X154">
        <f>IF(Source!BI46=2,H152, 0)</f>
        <v>0</v>
      </c>
      <c r="Y154">
        <f>IF(Source!BI46=3,H152, 0)</f>
        <v>0</v>
      </c>
      <c r="Z154">
        <f>IF(Source!BI46=4,H152, 0)</f>
        <v>0</v>
      </c>
    </row>
    <row r="155" spans="1:26" ht="42.75" x14ac:dyDescent="0.2">
      <c r="A155" s="53">
        <v>20</v>
      </c>
      <c r="B155" s="53" t="str">
        <f>Source!F47</f>
        <v>Цена Поставщика</v>
      </c>
      <c r="C155" s="53" t="s">
        <v>1147</v>
      </c>
      <c r="D155" s="36" t="str">
        <f>Source!H47</f>
        <v>шт.</v>
      </c>
      <c r="E155" s="10">
        <f>Source!I47</f>
        <v>69</v>
      </c>
      <c r="F155" s="37">
        <f>Source!AL47</f>
        <v>0.15000000000000002</v>
      </c>
      <c r="G155" s="38" t="str">
        <f>Source!DD47</f>
        <v/>
      </c>
      <c r="H155" s="37">
        <f>ROUND(Source!AC47*Source!I47, 2)</f>
        <v>10.35</v>
      </c>
      <c r="I155" s="38" t="str">
        <f>Source!BO47</f>
        <v/>
      </c>
      <c r="J155" s="38">
        <f>IF(Source!BC47&lt;&gt; 0, Source!BC47, 1)</f>
        <v>8.7100000000000009</v>
      </c>
      <c r="K155" s="37">
        <f>Source!P47</f>
        <v>90.15</v>
      </c>
      <c r="L155" s="39"/>
      <c r="S155">
        <f>ROUND((Source!FX47/100)*((ROUND(Source!AF47*Source!I47, 2)+ROUND(Source!AE47*Source!I47, 2))), 2)</f>
        <v>0</v>
      </c>
      <c r="T155">
        <f>Source!X47</f>
        <v>0</v>
      </c>
      <c r="U155">
        <f>ROUND((Source!FY47/100)*((ROUND(Source!AF47*Source!I47, 2)+ROUND(Source!AE47*Source!I47, 2))), 2)</f>
        <v>0</v>
      </c>
      <c r="V155">
        <f>Source!Y47</f>
        <v>0</v>
      </c>
    </row>
    <row r="156" spans="1:26" x14ac:dyDescent="0.2">
      <c r="A156" s="32"/>
      <c r="B156" s="32"/>
      <c r="C156" s="33" t="str">
        <f>"Объем: "&amp;Source!I47&amp;"="&amp;Source!I45&amp;"*"&amp;"1150"</f>
        <v>Объем: 69=0,06*1150</v>
      </c>
      <c r="D156" s="32"/>
      <c r="E156" s="32"/>
      <c r="F156" s="32"/>
      <c r="G156" s="32"/>
      <c r="H156" s="32"/>
      <c r="I156" s="32"/>
      <c r="J156" s="32"/>
      <c r="K156" s="32"/>
      <c r="L156" s="32"/>
    </row>
    <row r="157" spans="1:26" ht="15" x14ac:dyDescent="0.25">
      <c r="G157" s="62">
        <f>H155</f>
        <v>10.35</v>
      </c>
      <c r="H157" s="62"/>
      <c r="J157" s="62">
        <f>K155</f>
        <v>90.15</v>
      </c>
      <c r="K157" s="62"/>
      <c r="L157" s="46">
        <f>Source!U47</f>
        <v>0</v>
      </c>
      <c r="O157" s="30">
        <f>G157</f>
        <v>10.35</v>
      </c>
      <c r="P157" s="30">
        <f>J157</f>
        <v>90.15</v>
      </c>
      <c r="Q157" s="30">
        <f>L157</f>
        <v>0</v>
      </c>
      <c r="W157">
        <f>IF(Source!BI47&lt;=1,H155, 0)</f>
        <v>10.35</v>
      </c>
      <c r="X157">
        <f>IF(Source!BI47=2,H155, 0)</f>
        <v>0</v>
      </c>
      <c r="Y157">
        <f>IF(Source!BI47=3,H155, 0)</f>
        <v>0</v>
      </c>
      <c r="Z157">
        <f>IF(Source!BI47=4,H155, 0)</f>
        <v>0</v>
      </c>
    </row>
    <row r="158" spans="1:26" ht="28.5" x14ac:dyDescent="0.2">
      <c r="A158" s="53">
        <v>21</v>
      </c>
      <c r="B158" s="53" t="str">
        <f>Source!F48</f>
        <v>61-24-1</v>
      </c>
      <c r="C158" s="53" t="str">
        <f>Source!G48</f>
        <v>Ремонт штукатурки фасадов сухой растворной смесью</v>
      </c>
      <c r="D158" s="36" t="str">
        <f>Source!H48</f>
        <v>100 м2</v>
      </c>
      <c r="E158" s="10">
        <f>Source!I48</f>
        <v>0.06</v>
      </c>
      <c r="F158" s="37">
        <f>Source!AL48+Source!AM48+Source!AO48</f>
        <v>1040.06</v>
      </c>
      <c r="G158" s="38"/>
      <c r="H158" s="37"/>
      <c r="I158" s="38" t="str">
        <f>Source!BO48</f>
        <v/>
      </c>
      <c r="J158" s="38"/>
      <c r="K158" s="37"/>
      <c r="L158" s="39"/>
      <c r="S158">
        <f>ROUND((Source!FX48/100)*((ROUND(Source!AF48*Source!I48, 2)+ROUND(Source!AE48*Source!I48, 2))), 2)</f>
        <v>45.11</v>
      </c>
      <c r="T158">
        <f>Source!X48</f>
        <v>1377.41</v>
      </c>
      <c r="U158">
        <f>ROUND((Source!FY48/100)*((ROUND(Source!AF48*Source!I48, 2)+ROUND(Source!AE48*Source!I48, 2))), 2)</f>
        <v>22.3</v>
      </c>
      <c r="V158">
        <f>Source!Y48</f>
        <v>680.97</v>
      </c>
    </row>
    <row r="159" spans="1:26" x14ac:dyDescent="0.2">
      <c r="C159" s="31" t="str">
        <f>"Объем: "&amp;Source!I48&amp;"=6/"&amp;"100"</f>
        <v>Объем: 0,06=6/100</v>
      </c>
    </row>
    <row r="160" spans="1:26" ht="14.25" x14ac:dyDescent="0.2">
      <c r="A160" s="53"/>
      <c r="B160" s="53"/>
      <c r="C160" s="53" t="s">
        <v>1132</v>
      </c>
      <c r="D160" s="36"/>
      <c r="E160" s="10"/>
      <c r="F160" s="37">
        <f>Source!AO48</f>
        <v>669.99</v>
      </c>
      <c r="G160" s="38" t="str">
        <f>Source!DG48</f>
        <v>)*1,15</v>
      </c>
      <c r="H160" s="37">
        <f>ROUND(Source!AF48*Source!I48, 2)</f>
        <v>46.23</v>
      </c>
      <c r="I160" s="38"/>
      <c r="J160" s="38">
        <f>IF(Source!BA48&lt;&gt; 0, Source!BA48, 1)</f>
        <v>30.54</v>
      </c>
      <c r="K160" s="37">
        <f>Source!S48</f>
        <v>1411.85</v>
      </c>
      <c r="L160" s="39"/>
      <c r="R160">
        <f>H160</f>
        <v>46.23</v>
      </c>
    </row>
    <row r="161" spans="1:26" ht="14.25" x14ac:dyDescent="0.2">
      <c r="A161" s="53"/>
      <c r="B161" s="53"/>
      <c r="C161" s="53" t="s">
        <v>616</v>
      </c>
      <c r="D161" s="36"/>
      <c r="E161" s="10"/>
      <c r="F161" s="37">
        <f>Source!AM48</f>
        <v>87.7</v>
      </c>
      <c r="G161" s="38" t="str">
        <f>Source!DE48</f>
        <v>)*1,15</v>
      </c>
      <c r="H161" s="37">
        <f>ROUND(((((Source!ET48*1.15))-((Source!EU48*1.15)))+Source!AE48)*Source!I48, 2)</f>
        <v>6.05</v>
      </c>
      <c r="I161" s="38"/>
      <c r="J161" s="38">
        <f>IF(Source!BB48&lt;&gt; 0, Source!BB48, 1)</f>
        <v>12.13</v>
      </c>
      <c r="K161" s="37">
        <f>Source!Q48</f>
        <v>73.41</v>
      </c>
      <c r="L161" s="39"/>
    </row>
    <row r="162" spans="1:26" ht="14.25" x14ac:dyDescent="0.2">
      <c r="A162" s="53"/>
      <c r="B162" s="53"/>
      <c r="C162" s="53" t="s">
        <v>1138</v>
      </c>
      <c r="D162" s="36"/>
      <c r="E162" s="10"/>
      <c r="F162" s="37">
        <f>Source!AN48</f>
        <v>64.44</v>
      </c>
      <c r="G162" s="38" t="str">
        <f>Source!DF48</f>
        <v>)*1,15</v>
      </c>
      <c r="H162" s="47">
        <f>ROUND(Source!AE48*Source!I48, 2)</f>
        <v>4.45</v>
      </c>
      <c r="I162" s="38"/>
      <c r="J162" s="38">
        <f>IF(Source!BS48&lt;&gt; 0, Source!BS48, 1)</f>
        <v>30.54</v>
      </c>
      <c r="K162" s="47">
        <f>Source!R48</f>
        <v>135.80000000000001</v>
      </c>
      <c r="L162" s="39"/>
      <c r="R162">
        <f>H162</f>
        <v>4.45</v>
      </c>
    </row>
    <row r="163" spans="1:26" ht="14.25" x14ac:dyDescent="0.2">
      <c r="A163" s="53"/>
      <c r="B163" s="53"/>
      <c r="C163" s="53" t="s">
        <v>1139</v>
      </c>
      <c r="D163" s="36"/>
      <c r="E163" s="10"/>
      <c r="F163" s="37">
        <f>Source!AL48</f>
        <v>282.37</v>
      </c>
      <c r="G163" s="38" t="str">
        <f>Source!DD48</f>
        <v/>
      </c>
      <c r="H163" s="37">
        <f>ROUND(Source!AC48*Source!I48, 2)</f>
        <v>16.940000000000001</v>
      </c>
      <c r="I163" s="38"/>
      <c r="J163" s="38">
        <f>IF(Source!BC48&lt;&gt; 0, Source!BC48, 1)</f>
        <v>8.7100000000000009</v>
      </c>
      <c r="K163" s="37">
        <f>Source!P48</f>
        <v>147.57</v>
      </c>
      <c r="L163" s="39"/>
    </row>
    <row r="164" spans="1:26" ht="14.25" x14ac:dyDescent="0.2">
      <c r="A164" s="53"/>
      <c r="B164" s="53"/>
      <c r="C164" s="53" t="s">
        <v>1133</v>
      </c>
      <c r="D164" s="36" t="s">
        <v>1134</v>
      </c>
      <c r="E164" s="10">
        <f>Source!BZ48</f>
        <v>89</v>
      </c>
      <c r="F164" s="55"/>
      <c r="G164" s="38"/>
      <c r="H164" s="37">
        <f>SUM(S158:S166)</f>
        <v>45.11</v>
      </c>
      <c r="I164" s="40"/>
      <c r="J164" s="35">
        <f>Source!AT48</f>
        <v>89</v>
      </c>
      <c r="K164" s="37">
        <f>SUM(T158:T166)</f>
        <v>1377.41</v>
      </c>
      <c r="L164" s="39"/>
    </row>
    <row r="165" spans="1:26" ht="14.25" x14ac:dyDescent="0.2">
      <c r="A165" s="53"/>
      <c r="B165" s="53"/>
      <c r="C165" s="53" t="s">
        <v>1135</v>
      </c>
      <c r="D165" s="36" t="s">
        <v>1134</v>
      </c>
      <c r="E165" s="10">
        <f>Source!CA48</f>
        <v>44</v>
      </c>
      <c r="F165" s="55"/>
      <c r="G165" s="38"/>
      <c r="H165" s="37">
        <f>SUM(U158:U166)</f>
        <v>22.3</v>
      </c>
      <c r="I165" s="40"/>
      <c r="J165" s="35">
        <f>Source!AU48</f>
        <v>44</v>
      </c>
      <c r="K165" s="37">
        <f>SUM(V158:V166)</f>
        <v>680.97</v>
      </c>
      <c r="L165" s="39"/>
    </row>
    <row r="166" spans="1:26" ht="14.25" x14ac:dyDescent="0.2">
      <c r="A166" s="54"/>
      <c r="B166" s="54"/>
      <c r="C166" s="54" t="s">
        <v>1136</v>
      </c>
      <c r="D166" s="41" t="s">
        <v>1137</v>
      </c>
      <c r="E166" s="42">
        <f>Source!AQ48</f>
        <v>62.91</v>
      </c>
      <c r="F166" s="43"/>
      <c r="G166" s="44" t="str">
        <f>Source!DI48</f>
        <v>)*1,15</v>
      </c>
      <c r="H166" s="43"/>
      <c r="I166" s="44"/>
      <c r="J166" s="44"/>
      <c r="K166" s="43"/>
      <c r="L166" s="45">
        <f>Source!U48</f>
        <v>4.3407899999999993</v>
      </c>
    </row>
    <row r="167" spans="1:26" ht="15" x14ac:dyDescent="0.25">
      <c r="G167" s="62">
        <f>H160+H161+H163+H164+H165</f>
        <v>136.63</v>
      </c>
      <c r="H167" s="62"/>
      <c r="J167" s="62">
        <f>K160+K161+K163+K164+K165</f>
        <v>3691.21</v>
      </c>
      <c r="K167" s="62"/>
      <c r="L167" s="46">
        <f>Source!U48</f>
        <v>4.3407899999999993</v>
      </c>
      <c r="O167" s="30">
        <f>G167</f>
        <v>136.63</v>
      </c>
      <c r="P167" s="30">
        <f>J167</f>
        <v>3691.21</v>
      </c>
      <c r="Q167" s="30">
        <f>L167</f>
        <v>4.3407899999999993</v>
      </c>
      <c r="W167">
        <f>IF(Source!BI48&lt;=1,H160+H161+H163+H164+H165, 0)</f>
        <v>136.63</v>
      </c>
      <c r="X167">
        <f>IF(Source!BI48=2,H160+H161+H163+H164+H165, 0)</f>
        <v>0</v>
      </c>
      <c r="Y167">
        <f>IF(Source!BI48=3,H160+H161+H163+H164+H165, 0)</f>
        <v>0</v>
      </c>
      <c r="Z167">
        <f>IF(Source!BI48=4,H160+H161+H163+H164+H165, 0)</f>
        <v>0</v>
      </c>
    </row>
    <row r="168" spans="1:26" ht="68.25" x14ac:dyDescent="0.2">
      <c r="A168" s="53">
        <v>22</v>
      </c>
      <c r="B168" s="53" t="str">
        <f>Source!F49</f>
        <v>Цена Поставщика</v>
      </c>
      <c r="C168" s="53" t="s">
        <v>1148</v>
      </c>
      <c r="D168" s="36" t="str">
        <f>Source!H49</f>
        <v>кг</v>
      </c>
      <c r="E168" s="10">
        <f>Source!I49</f>
        <v>204</v>
      </c>
      <c r="F168" s="37">
        <f>Source!AL49</f>
        <v>4.9000000000000004</v>
      </c>
      <c r="G168" s="38" t="str">
        <f>Source!DD49</f>
        <v/>
      </c>
      <c r="H168" s="37">
        <f>ROUND(Source!AC49*Source!I49, 2)</f>
        <v>999.6</v>
      </c>
      <c r="I168" s="38" t="str">
        <f>Source!BO49</f>
        <v/>
      </c>
      <c r="J168" s="38">
        <f>IF(Source!BC49&lt;&gt; 0, Source!BC49, 1)</f>
        <v>8.7100000000000009</v>
      </c>
      <c r="K168" s="37">
        <f>Source!P49</f>
        <v>8706.52</v>
      </c>
      <c r="L168" s="39"/>
      <c r="S168">
        <f>ROUND((Source!FX49/100)*((ROUND(Source!AF49*Source!I49, 2)+ROUND(Source!AE49*Source!I49, 2))), 2)</f>
        <v>0</v>
      </c>
      <c r="T168">
        <f>Source!X49</f>
        <v>0</v>
      </c>
      <c r="U168">
        <f>ROUND((Source!FY49/100)*((ROUND(Source!AF49*Source!I49, 2)+ROUND(Source!AE49*Source!I49, 2))), 2)</f>
        <v>0</v>
      </c>
      <c r="V168">
        <f>Source!Y49</f>
        <v>0</v>
      </c>
    </row>
    <row r="169" spans="1:26" x14ac:dyDescent="0.2">
      <c r="A169" s="32"/>
      <c r="B169" s="32"/>
      <c r="C169" s="33" t="str">
        <f>"Объем: "&amp;Source!I49&amp;"="&amp;Source!I48&amp;"*"&amp;"170*"&amp;"20"</f>
        <v>Объем: 204=0,06*170*20</v>
      </c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26" ht="15" x14ac:dyDescent="0.25">
      <c r="G170" s="62">
        <f>H168</f>
        <v>999.6</v>
      </c>
      <c r="H170" s="62"/>
      <c r="J170" s="62">
        <f>K168</f>
        <v>8706.52</v>
      </c>
      <c r="K170" s="62"/>
      <c r="L170" s="46">
        <f>Source!U49</f>
        <v>0</v>
      </c>
      <c r="O170" s="30">
        <f>G170</f>
        <v>999.6</v>
      </c>
      <c r="P170" s="30">
        <f>J170</f>
        <v>8706.52</v>
      </c>
      <c r="Q170" s="30">
        <f>L170</f>
        <v>0</v>
      </c>
      <c r="W170">
        <f>IF(Source!BI49&lt;=1,H168, 0)</f>
        <v>999.6</v>
      </c>
      <c r="X170">
        <f>IF(Source!BI49=2,H168, 0)</f>
        <v>0</v>
      </c>
      <c r="Y170">
        <f>IF(Source!BI49=3,H168, 0)</f>
        <v>0</v>
      </c>
      <c r="Z170">
        <f>IF(Source!BI49=4,H168, 0)</f>
        <v>0</v>
      </c>
    </row>
    <row r="172" spans="1:26" ht="15" x14ac:dyDescent="0.25">
      <c r="B172" s="64" t="str">
        <f>Source!G50</f>
        <v>Инъектирование ж/б стен в приямке</v>
      </c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1:26" ht="42.75" x14ac:dyDescent="0.2">
      <c r="A173" s="53">
        <v>23</v>
      </c>
      <c r="B173" s="53" t="str">
        <f>Source!F51</f>
        <v>69-23-1</v>
      </c>
      <c r="C173" s="53" t="str">
        <f>Source!G51</f>
        <v>Устройство центров инъектирования на линейных швах: в отверстиях диаметром 10 мм, глубиной 200 мм</v>
      </c>
      <c r="D173" s="36" t="str">
        <f>Source!H51</f>
        <v>1000 ШТ</v>
      </c>
      <c r="E173" s="10">
        <f>Source!I51</f>
        <v>0.185</v>
      </c>
      <c r="F173" s="37">
        <f>Source!AL51+Source!AM51+Source!AO51</f>
        <v>756.33</v>
      </c>
      <c r="G173" s="38"/>
      <c r="H173" s="37"/>
      <c r="I173" s="38" t="str">
        <f>Source!BO51</f>
        <v/>
      </c>
      <c r="J173" s="38"/>
      <c r="K173" s="37"/>
      <c r="L173" s="39"/>
      <c r="S173">
        <f>ROUND((Source!FX51/100)*((ROUND(Source!AF51*Source!I51, 2)+ROUND(Source!AE51*Source!I51, 2))), 2)</f>
        <v>137.69</v>
      </c>
      <c r="T173">
        <f>Source!X51</f>
        <v>4204.8999999999996</v>
      </c>
      <c r="U173">
        <f>ROUND((Source!FY51/100)*((ROUND(Source!AF51*Source!I51, 2)+ROUND(Source!AE51*Source!I51, 2))), 2)</f>
        <v>65.849999999999994</v>
      </c>
      <c r="V173">
        <f>Source!Y51</f>
        <v>2011.04</v>
      </c>
    </row>
    <row r="174" spans="1:26" x14ac:dyDescent="0.2">
      <c r="C174" s="31" t="str">
        <f>"Объем: "&amp;Source!I51&amp;"=185/"&amp;"1000"</f>
        <v>Объем: 0,185=185/1000</v>
      </c>
    </row>
    <row r="175" spans="1:26" ht="14.25" x14ac:dyDescent="0.2">
      <c r="A175" s="53"/>
      <c r="B175" s="53"/>
      <c r="C175" s="53" t="s">
        <v>1132</v>
      </c>
      <c r="D175" s="36"/>
      <c r="E175" s="10"/>
      <c r="F175" s="37">
        <f>Source!AO51</f>
        <v>703.22</v>
      </c>
      <c r="G175" s="38" t="str">
        <f>Source!DG51</f>
        <v>)*1,15</v>
      </c>
      <c r="H175" s="37">
        <f>ROUND(Source!AF51*Source!I51, 2)</f>
        <v>149.61000000000001</v>
      </c>
      <c r="I175" s="38"/>
      <c r="J175" s="38">
        <f>IF(Source!BA51&lt;&gt; 0, Source!BA51, 1)</f>
        <v>30.54</v>
      </c>
      <c r="K175" s="37">
        <f>Source!S51</f>
        <v>4569.07</v>
      </c>
      <c r="L175" s="39"/>
      <c r="R175">
        <f>H175</f>
        <v>149.61000000000001</v>
      </c>
    </row>
    <row r="176" spans="1:26" ht="14.25" x14ac:dyDescent="0.2">
      <c r="A176" s="53"/>
      <c r="B176" s="53"/>
      <c r="C176" s="53" t="s">
        <v>616</v>
      </c>
      <c r="D176" s="36"/>
      <c r="E176" s="10"/>
      <c r="F176" s="37">
        <f>Source!AM51</f>
        <v>53.11</v>
      </c>
      <c r="G176" s="38" t="str">
        <f>Source!DE51</f>
        <v>)*1,15</v>
      </c>
      <c r="H176" s="37">
        <f>ROUND(((((Source!ET51*1.15))-((Source!EU51*1.15)))+Source!AE51)*Source!I51, 2)</f>
        <v>11.3</v>
      </c>
      <c r="I176" s="38"/>
      <c r="J176" s="38">
        <f>IF(Source!BB51&lt;&gt; 0, Source!BB51, 1)</f>
        <v>12.13</v>
      </c>
      <c r="K176" s="37">
        <f>Source!Q51</f>
        <v>137.03</v>
      </c>
      <c r="L176" s="39"/>
    </row>
    <row r="177" spans="1:26" ht="14.25" x14ac:dyDescent="0.2">
      <c r="A177" s="53"/>
      <c r="B177" s="53"/>
      <c r="C177" s="53" t="s">
        <v>1138</v>
      </c>
      <c r="D177" s="36"/>
      <c r="E177" s="10"/>
      <c r="F177" s="37">
        <f>Source!AN51</f>
        <v>0.23</v>
      </c>
      <c r="G177" s="38" t="str">
        <f>Source!DF51</f>
        <v>)*1,15</v>
      </c>
      <c r="H177" s="47">
        <f>ROUND(Source!AE51*Source!I51, 2)</f>
        <v>0.05</v>
      </c>
      <c r="I177" s="38"/>
      <c r="J177" s="38">
        <f>IF(Source!BS51&lt;&gt; 0, Source!BS51, 1)</f>
        <v>30.54</v>
      </c>
      <c r="K177" s="47">
        <f>Source!R51</f>
        <v>1.47</v>
      </c>
      <c r="L177" s="39"/>
      <c r="R177">
        <f>H177</f>
        <v>0.05</v>
      </c>
    </row>
    <row r="178" spans="1:26" ht="14.25" x14ac:dyDescent="0.2">
      <c r="A178" s="53"/>
      <c r="B178" s="53"/>
      <c r="C178" s="53" t="s">
        <v>1133</v>
      </c>
      <c r="D178" s="36" t="s">
        <v>1134</v>
      </c>
      <c r="E178" s="10">
        <f>Source!BZ51</f>
        <v>92</v>
      </c>
      <c r="F178" s="55"/>
      <c r="G178" s="38"/>
      <c r="H178" s="37">
        <f>SUM(S173:S180)</f>
        <v>137.69</v>
      </c>
      <c r="I178" s="40"/>
      <c r="J178" s="35">
        <f>Source!AT51</f>
        <v>92</v>
      </c>
      <c r="K178" s="37">
        <f>SUM(T173:T180)</f>
        <v>4204.8999999999996</v>
      </c>
      <c r="L178" s="39"/>
    </row>
    <row r="179" spans="1:26" ht="14.25" x14ac:dyDescent="0.2">
      <c r="A179" s="53"/>
      <c r="B179" s="53"/>
      <c r="C179" s="53" t="s">
        <v>1135</v>
      </c>
      <c r="D179" s="36" t="s">
        <v>1134</v>
      </c>
      <c r="E179" s="10">
        <f>Source!CA51</f>
        <v>44</v>
      </c>
      <c r="F179" s="55"/>
      <c r="G179" s="38"/>
      <c r="H179" s="37">
        <f>SUM(U173:U180)</f>
        <v>65.849999999999994</v>
      </c>
      <c r="I179" s="40"/>
      <c r="J179" s="35">
        <f>Source!AU51</f>
        <v>44</v>
      </c>
      <c r="K179" s="37">
        <f>SUM(V173:V180)</f>
        <v>2011.04</v>
      </c>
      <c r="L179" s="39"/>
    </row>
    <row r="180" spans="1:26" ht="14.25" x14ac:dyDescent="0.2">
      <c r="A180" s="54"/>
      <c r="B180" s="54"/>
      <c r="C180" s="54" t="s">
        <v>1136</v>
      </c>
      <c r="D180" s="41" t="s">
        <v>1137</v>
      </c>
      <c r="E180" s="42">
        <f>Source!AQ51</f>
        <v>80.459999999999994</v>
      </c>
      <c r="F180" s="43"/>
      <c r="G180" s="44" t="str">
        <f>Source!DI51</f>
        <v>)*1,15</v>
      </c>
      <c r="H180" s="43"/>
      <c r="I180" s="44"/>
      <c r="J180" s="44"/>
      <c r="K180" s="43"/>
      <c r="L180" s="45">
        <f>Source!U51</f>
        <v>17.117864999999995</v>
      </c>
    </row>
    <row r="181" spans="1:26" ht="15" x14ac:dyDescent="0.25">
      <c r="G181" s="62">
        <f>H175+H176+H178+H179</f>
        <v>364.45000000000005</v>
      </c>
      <c r="H181" s="62"/>
      <c r="J181" s="62">
        <f>K175+K176+K178+K179</f>
        <v>10922.04</v>
      </c>
      <c r="K181" s="62"/>
      <c r="L181" s="46">
        <f>Source!U51</f>
        <v>17.117864999999995</v>
      </c>
      <c r="O181" s="30">
        <f>G181</f>
        <v>364.45000000000005</v>
      </c>
      <c r="P181" s="30">
        <f>J181</f>
        <v>10922.04</v>
      </c>
      <c r="Q181" s="30">
        <f>L181</f>
        <v>17.117864999999995</v>
      </c>
      <c r="W181">
        <f>IF(Source!BI51&lt;=1,H175+H176+H178+H179, 0)</f>
        <v>364.45000000000005</v>
      </c>
      <c r="X181">
        <f>IF(Source!BI51=2,H175+H176+H178+H179, 0)</f>
        <v>0</v>
      </c>
      <c r="Y181">
        <f>IF(Source!BI51=3,H175+H176+H178+H179, 0)</f>
        <v>0</v>
      </c>
      <c r="Z181">
        <f>IF(Source!BI51=4,H175+H176+H178+H179, 0)</f>
        <v>0</v>
      </c>
    </row>
    <row r="182" spans="1:26" ht="57" x14ac:dyDescent="0.2">
      <c r="A182" s="53">
        <v>24</v>
      </c>
      <c r="B182" s="53" t="str">
        <f>Source!F52</f>
        <v>69-23-2</v>
      </c>
      <c r="C182" s="53" t="str">
        <f>Source!G52</f>
        <v>Устройство центров инъектирования на линейных швах: добавлять (уменьшать) на каждые 2 мм диаметра отверстия</v>
      </c>
      <c r="D182" s="36" t="str">
        <f>Source!H52</f>
        <v>1000 ШТ</v>
      </c>
      <c r="E182" s="10">
        <f>Source!I52</f>
        <v>0.185</v>
      </c>
      <c r="F182" s="37">
        <f>Source!AL52+Source!AM52+Source!AO52</f>
        <v>88.52</v>
      </c>
      <c r="G182" s="38"/>
      <c r="H182" s="37"/>
      <c r="I182" s="38" t="str">
        <f>Source!BO52</f>
        <v/>
      </c>
      <c r="J182" s="38"/>
      <c r="K182" s="37"/>
      <c r="L182" s="39"/>
      <c r="S182">
        <f>ROUND((Source!FX52/100)*((ROUND(Source!AF52*Source!I52, 2)+ROUND(Source!AE52*Source!I52, 2))), 2)</f>
        <v>17.22</v>
      </c>
      <c r="T182">
        <f>Source!X52</f>
        <v>525.92999999999995</v>
      </c>
      <c r="U182">
        <f>ROUND((Source!FY52/100)*((ROUND(Source!AF52*Source!I52, 2)+ROUND(Source!AE52*Source!I52, 2))), 2)</f>
        <v>8.24</v>
      </c>
      <c r="V182">
        <f>Source!Y52</f>
        <v>251.53</v>
      </c>
    </row>
    <row r="183" spans="1:26" x14ac:dyDescent="0.2">
      <c r="C183" s="31" t="str">
        <f>"Объем: "&amp;Source!I52&amp;"=185/"&amp;"1000"</f>
        <v>Объем: 0,185=185/1000</v>
      </c>
    </row>
    <row r="184" spans="1:26" ht="14.25" x14ac:dyDescent="0.2">
      <c r="A184" s="53"/>
      <c r="B184" s="53"/>
      <c r="C184" s="53" t="s">
        <v>1132</v>
      </c>
      <c r="D184" s="36"/>
      <c r="E184" s="10"/>
      <c r="F184" s="37">
        <f>Source!AO52</f>
        <v>87.86</v>
      </c>
      <c r="G184" s="38" t="str">
        <f>Source!DG52</f>
        <v>)*1,15</v>
      </c>
      <c r="H184" s="37">
        <f>ROUND(Source!AF52*Source!I52, 2)</f>
        <v>18.690000000000001</v>
      </c>
      <c r="I184" s="38"/>
      <c r="J184" s="38">
        <f>IF(Source!BA52&lt;&gt; 0, Source!BA52, 1)</f>
        <v>30.54</v>
      </c>
      <c r="K184" s="37">
        <f>Source!S52</f>
        <v>570.87</v>
      </c>
      <c r="L184" s="39"/>
      <c r="R184">
        <f>H184</f>
        <v>18.690000000000001</v>
      </c>
    </row>
    <row r="185" spans="1:26" ht="14.25" x14ac:dyDescent="0.2">
      <c r="A185" s="53"/>
      <c r="B185" s="53"/>
      <c r="C185" s="53" t="s">
        <v>616</v>
      </c>
      <c r="D185" s="36"/>
      <c r="E185" s="10"/>
      <c r="F185" s="37">
        <f>Source!AM52</f>
        <v>0.66</v>
      </c>
      <c r="G185" s="38" t="str">
        <f>Source!DE52</f>
        <v>)*1,15</v>
      </c>
      <c r="H185" s="37">
        <f>ROUND(((((Source!ET52*1.15))-((Source!EU52*1.15)))+Source!AE52)*Source!I52, 2)</f>
        <v>0.14000000000000001</v>
      </c>
      <c r="I185" s="38"/>
      <c r="J185" s="38">
        <f>IF(Source!BB52&lt;&gt; 0, Source!BB52, 1)</f>
        <v>12.13</v>
      </c>
      <c r="K185" s="37">
        <f>Source!Q52</f>
        <v>1.71</v>
      </c>
      <c r="L185" s="39"/>
    </row>
    <row r="186" spans="1:26" ht="14.25" x14ac:dyDescent="0.2">
      <c r="A186" s="53"/>
      <c r="B186" s="53"/>
      <c r="C186" s="53" t="s">
        <v>1138</v>
      </c>
      <c r="D186" s="36"/>
      <c r="E186" s="10"/>
      <c r="F186" s="37">
        <f>Source!AN52</f>
        <v>0.12</v>
      </c>
      <c r="G186" s="38" t="str">
        <f>Source!DF52</f>
        <v>)*1,15</v>
      </c>
      <c r="H186" s="47">
        <f>ROUND(Source!AE52*Source!I52, 2)</f>
        <v>0.03</v>
      </c>
      <c r="I186" s="38"/>
      <c r="J186" s="38">
        <f>IF(Source!BS52&lt;&gt; 0, Source!BS52, 1)</f>
        <v>30.54</v>
      </c>
      <c r="K186" s="47">
        <f>Source!R52</f>
        <v>0.79</v>
      </c>
      <c r="L186" s="39"/>
      <c r="R186">
        <f>H186</f>
        <v>0.03</v>
      </c>
    </row>
    <row r="187" spans="1:26" ht="14.25" x14ac:dyDescent="0.2">
      <c r="A187" s="53"/>
      <c r="B187" s="53"/>
      <c r="C187" s="53" t="s">
        <v>1133</v>
      </c>
      <c r="D187" s="36" t="s">
        <v>1134</v>
      </c>
      <c r="E187" s="10">
        <f>Source!BZ52</f>
        <v>92</v>
      </c>
      <c r="F187" s="55"/>
      <c r="G187" s="38"/>
      <c r="H187" s="37">
        <f>SUM(S182:S189)</f>
        <v>17.22</v>
      </c>
      <c r="I187" s="40"/>
      <c r="J187" s="35">
        <f>Source!AT52</f>
        <v>92</v>
      </c>
      <c r="K187" s="37">
        <f>SUM(T182:T189)</f>
        <v>525.92999999999995</v>
      </c>
      <c r="L187" s="39"/>
    </row>
    <row r="188" spans="1:26" ht="14.25" x14ac:dyDescent="0.2">
      <c r="A188" s="53"/>
      <c r="B188" s="53"/>
      <c r="C188" s="53" t="s">
        <v>1135</v>
      </c>
      <c r="D188" s="36" t="s">
        <v>1134</v>
      </c>
      <c r="E188" s="10">
        <f>Source!CA52</f>
        <v>44</v>
      </c>
      <c r="F188" s="55"/>
      <c r="G188" s="38"/>
      <c r="H188" s="37">
        <f>SUM(U182:U189)</f>
        <v>8.24</v>
      </c>
      <c r="I188" s="40"/>
      <c r="J188" s="35">
        <f>Source!AU52</f>
        <v>44</v>
      </c>
      <c r="K188" s="37">
        <f>SUM(V182:V189)</f>
        <v>251.53</v>
      </c>
      <c r="L188" s="39"/>
    </row>
    <row r="189" spans="1:26" ht="14.25" x14ac:dyDescent="0.2">
      <c r="A189" s="54"/>
      <c r="B189" s="54"/>
      <c r="C189" s="54" t="s">
        <v>1136</v>
      </c>
      <c r="D189" s="41" t="s">
        <v>1137</v>
      </c>
      <c r="E189" s="42">
        <f>Source!AQ52</f>
        <v>10.3</v>
      </c>
      <c r="F189" s="43"/>
      <c r="G189" s="44" t="str">
        <f>Source!DI52</f>
        <v>)*1,15</v>
      </c>
      <c r="H189" s="43"/>
      <c r="I189" s="44"/>
      <c r="J189" s="44"/>
      <c r="K189" s="43"/>
      <c r="L189" s="45">
        <f>Source!U52</f>
        <v>2.191325</v>
      </c>
    </row>
    <row r="190" spans="1:26" ht="15" x14ac:dyDescent="0.25">
      <c r="G190" s="62">
        <f>H184+H185+H187+H188</f>
        <v>44.29</v>
      </c>
      <c r="H190" s="62"/>
      <c r="J190" s="62">
        <f>K184+K185+K187+K188</f>
        <v>1350.04</v>
      </c>
      <c r="K190" s="62"/>
      <c r="L190" s="46">
        <f>Source!U52</f>
        <v>2.191325</v>
      </c>
      <c r="O190" s="30">
        <f>G190</f>
        <v>44.29</v>
      </c>
      <c r="P190" s="30">
        <f>J190</f>
        <v>1350.04</v>
      </c>
      <c r="Q190" s="30">
        <f>L190</f>
        <v>2.191325</v>
      </c>
      <c r="W190">
        <f>IF(Source!BI52&lt;=1,H184+H185+H187+H188, 0)</f>
        <v>44.29</v>
      </c>
      <c r="X190">
        <f>IF(Source!BI52=2,H184+H185+H187+H188, 0)</f>
        <v>0</v>
      </c>
      <c r="Y190">
        <f>IF(Source!BI52=3,H184+H185+H187+H188, 0)</f>
        <v>0</v>
      </c>
      <c r="Z190">
        <f>IF(Source!BI52=4,H184+H185+H187+H188, 0)</f>
        <v>0</v>
      </c>
    </row>
    <row r="191" spans="1:26" ht="57" x14ac:dyDescent="0.2">
      <c r="A191" s="53">
        <v>25</v>
      </c>
      <c r="B191" s="53" t="str">
        <f>Source!F53</f>
        <v>69-23-3</v>
      </c>
      <c r="C191" s="53" t="str">
        <f>Source!G53</f>
        <v>Устройство центров инъектирования на линейных швах: добавлять (уменьшать) на каждые 50 мм глубины отверстия</v>
      </c>
      <c r="D191" s="36" t="str">
        <f>Source!H53</f>
        <v>1000 ШТ</v>
      </c>
      <c r="E191" s="10">
        <f>Source!I53</f>
        <v>-0.185</v>
      </c>
      <c r="F191" s="37">
        <f>Source!AL53+Source!AM53+Source!AO53</f>
        <v>43.93</v>
      </c>
      <c r="G191" s="38"/>
      <c r="H191" s="37"/>
      <c r="I191" s="38" t="str">
        <f>Source!BO53</f>
        <v/>
      </c>
      <c r="J191" s="38"/>
      <c r="K191" s="37"/>
      <c r="L191" s="39"/>
      <c r="S191">
        <f>ROUND((Source!FX53/100)*((ROUND(Source!AF53*Source!I53, 2)+ROUND(Source!AE53*Source!I53, 2))), 2)</f>
        <v>-17.190000000000001</v>
      </c>
      <c r="T191">
        <f>Source!X53</f>
        <v>-525.20000000000005</v>
      </c>
      <c r="U191">
        <f>ROUND((Source!FY53/100)*((ROUND(Source!AF53*Source!I53, 2)+ROUND(Source!AE53*Source!I53, 2))), 2)</f>
        <v>-8.2200000000000006</v>
      </c>
      <c r="V191">
        <f>Source!Y53</f>
        <v>-251.18</v>
      </c>
    </row>
    <row r="192" spans="1:26" x14ac:dyDescent="0.2">
      <c r="C192" s="31" t="str">
        <f>"Объем: "&amp;Source!I53&amp;"=-"&amp;"185/"&amp;"1000"</f>
        <v>Объем: -0,185=-185/1000</v>
      </c>
    </row>
    <row r="193" spans="1:26" ht="14.25" x14ac:dyDescent="0.2">
      <c r="A193" s="53"/>
      <c r="B193" s="53"/>
      <c r="C193" s="53" t="s">
        <v>1132</v>
      </c>
      <c r="D193" s="36"/>
      <c r="E193" s="10"/>
      <c r="F193" s="37">
        <f>Source!AO53</f>
        <v>43.93</v>
      </c>
      <c r="G193" s="38" t="str">
        <f>Source!DG53</f>
        <v>)*1,15)*2</v>
      </c>
      <c r="H193" s="37">
        <f>ROUND(Source!AF53*Source!I53, 2)</f>
        <v>-18.690000000000001</v>
      </c>
      <c r="I193" s="38"/>
      <c r="J193" s="38">
        <f>IF(Source!BA53&lt;&gt; 0, Source!BA53, 1)</f>
        <v>30.54</v>
      </c>
      <c r="K193" s="37">
        <f>Source!S53</f>
        <v>-570.87</v>
      </c>
      <c r="L193" s="39"/>
      <c r="R193">
        <f>H193</f>
        <v>-18.690000000000001</v>
      </c>
    </row>
    <row r="194" spans="1:26" ht="14.25" x14ac:dyDescent="0.2">
      <c r="A194" s="53"/>
      <c r="B194" s="53"/>
      <c r="C194" s="53" t="s">
        <v>1133</v>
      </c>
      <c r="D194" s="36" t="s">
        <v>1134</v>
      </c>
      <c r="E194" s="10">
        <f>Source!BZ53</f>
        <v>92</v>
      </c>
      <c r="F194" s="55"/>
      <c r="G194" s="38"/>
      <c r="H194" s="37">
        <f>SUM(S191:S196)</f>
        <v>-17.190000000000001</v>
      </c>
      <c r="I194" s="40"/>
      <c r="J194" s="35">
        <f>Source!AT53</f>
        <v>92</v>
      </c>
      <c r="K194" s="37">
        <f>SUM(T191:T196)</f>
        <v>-525.20000000000005</v>
      </c>
      <c r="L194" s="39"/>
    </row>
    <row r="195" spans="1:26" ht="14.25" x14ac:dyDescent="0.2">
      <c r="A195" s="53"/>
      <c r="B195" s="53"/>
      <c r="C195" s="53" t="s">
        <v>1135</v>
      </c>
      <c r="D195" s="36" t="s">
        <v>1134</v>
      </c>
      <c r="E195" s="10">
        <f>Source!CA53</f>
        <v>44</v>
      </c>
      <c r="F195" s="55"/>
      <c r="G195" s="38"/>
      <c r="H195" s="37">
        <f>SUM(U191:U196)</f>
        <v>-8.2200000000000006</v>
      </c>
      <c r="I195" s="40"/>
      <c r="J195" s="35">
        <f>Source!AU53</f>
        <v>44</v>
      </c>
      <c r="K195" s="37">
        <f>SUM(V191:V196)</f>
        <v>-251.18</v>
      </c>
      <c r="L195" s="39"/>
    </row>
    <row r="196" spans="1:26" ht="14.25" x14ac:dyDescent="0.2">
      <c r="A196" s="54"/>
      <c r="B196" s="54"/>
      <c r="C196" s="54" t="s">
        <v>1136</v>
      </c>
      <c r="D196" s="41" t="s">
        <v>1137</v>
      </c>
      <c r="E196" s="42">
        <f>Source!AQ53</f>
        <v>5.15</v>
      </c>
      <c r="F196" s="43"/>
      <c r="G196" s="44" t="str">
        <f>Source!DI53</f>
        <v>)*1,15)*2</v>
      </c>
      <c r="H196" s="43"/>
      <c r="I196" s="44"/>
      <c r="J196" s="44"/>
      <c r="K196" s="43"/>
      <c r="L196" s="45">
        <f>Source!U53</f>
        <v>-2.191325</v>
      </c>
    </row>
    <row r="197" spans="1:26" ht="15" x14ac:dyDescent="0.25">
      <c r="G197" s="62">
        <f>H193+H194+H195</f>
        <v>-44.1</v>
      </c>
      <c r="H197" s="62"/>
      <c r="J197" s="62">
        <f>K193+K194+K195</f>
        <v>-1347.2500000000002</v>
      </c>
      <c r="K197" s="62"/>
      <c r="L197" s="46">
        <f>Source!U53</f>
        <v>-2.191325</v>
      </c>
      <c r="O197" s="30">
        <f>G197</f>
        <v>-44.1</v>
      </c>
      <c r="P197" s="30">
        <f>J197</f>
        <v>-1347.2500000000002</v>
      </c>
      <c r="Q197" s="30">
        <f>L197</f>
        <v>-2.191325</v>
      </c>
      <c r="W197">
        <f>IF(Source!BI53&lt;=1,H193+H194+H195, 0)</f>
        <v>-44.1</v>
      </c>
      <c r="X197">
        <f>IF(Source!BI53=2,H193+H194+H195, 0)</f>
        <v>0</v>
      </c>
      <c r="Y197">
        <f>IF(Source!BI53=3,H193+H194+H195, 0)</f>
        <v>0</v>
      </c>
      <c r="Z197">
        <f>IF(Source!BI53=4,H193+H194+H195, 0)</f>
        <v>0</v>
      </c>
    </row>
    <row r="198" spans="1:26" ht="68.25" x14ac:dyDescent="0.2">
      <c r="A198" s="54">
        <v>26</v>
      </c>
      <c r="B198" s="54" t="str">
        <f>Source!F54</f>
        <v>Цена Поставщика</v>
      </c>
      <c r="C198" s="54" t="s">
        <v>1149</v>
      </c>
      <c r="D198" s="41" t="str">
        <f>Source!H54</f>
        <v>шт.</v>
      </c>
      <c r="E198" s="42">
        <f>Source!I54</f>
        <v>185</v>
      </c>
      <c r="F198" s="43">
        <f>Source!AL54</f>
        <v>2.9200000000000004</v>
      </c>
      <c r="G198" s="44" t="str">
        <f>Source!DD54</f>
        <v/>
      </c>
      <c r="H198" s="43">
        <f>ROUND(Source!AC54*Source!I54, 2)</f>
        <v>540.20000000000005</v>
      </c>
      <c r="I198" s="44" t="str">
        <f>Source!BO54</f>
        <v/>
      </c>
      <c r="J198" s="44">
        <f>IF(Source!BC54&lt;&gt; 0, Source!BC54, 1)</f>
        <v>8.7100000000000009</v>
      </c>
      <c r="K198" s="43">
        <f>Source!P54</f>
        <v>4705.1400000000003</v>
      </c>
      <c r="L198" s="50"/>
      <c r="S198">
        <f>ROUND((Source!FX54/100)*((ROUND(Source!AF54*Source!I54, 2)+ROUND(Source!AE54*Source!I54, 2))), 2)</f>
        <v>0</v>
      </c>
      <c r="T198">
        <f>Source!X54</f>
        <v>0</v>
      </c>
      <c r="U198">
        <f>ROUND((Source!FY54/100)*((ROUND(Source!AF54*Source!I54, 2)+ROUND(Source!AE54*Source!I54, 2))), 2)</f>
        <v>0</v>
      </c>
      <c r="V198">
        <f>Source!Y54</f>
        <v>0</v>
      </c>
    </row>
    <row r="199" spans="1:26" ht="15" x14ac:dyDescent="0.25">
      <c r="G199" s="62">
        <f>H198</f>
        <v>540.20000000000005</v>
      </c>
      <c r="H199" s="62"/>
      <c r="J199" s="62">
        <f>K198</f>
        <v>4705.1400000000003</v>
      </c>
      <c r="K199" s="62"/>
      <c r="L199" s="46">
        <f>Source!U54</f>
        <v>0</v>
      </c>
      <c r="O199" s="30">
        <f>G199</f>
        <v>540.20000000000005</v>
      </c>
      <c r="P199" s="30">
        <f>J199</f>
        <v>4705.1400000000003</v>
      </c>
      <c r="Q199" s="30">
        <f>L199</f>
        <v>0</v>
      </c>
      <c r="W199">
        <f>IF(Source!BI54&lt;=1,H198, 0)</f>
        <v>540.20000000000005</v>
      </c>
      <c r="X199">
        <f>IF(Source!BI54=2,H198, 0)</f>
        <v>0</v>
      </c>
      <c r="Y199">
        <f>IF(Source!BI54=3,H198, 0)</f>
        <v>0</v>
      </c>
      <c r="Z199">
        <f>IF(Source!BI54=4,H198, 0)</f>
        <v>0</v>
      </c>
    </row>
    <row r="200" spans="1:26" ht="99.75" x14ac:dyDescent="0.2">
      <c r="A200" s="53">
        <v>27</v>
      </c>
      <c r="B200" s="53" t="str">
        <f>Source!F55</f>
        <v>69-20-1</v>
      </c>
      <c r="C200" s="53" t="str">
        <f>Source!G55</f>
        <v>Заполнение пустот в железобетонных конструкциях методом инъектирования составом (смолой) инъекционным однокомпонентным, полиуретановым, гидроактивным, с быстрым пенообразованием в комплекте с катализатором</v>
      </c>
      <c r="D200" s="36" t="str">
        <f>Source!H55</f>
        <v>100 л</v>
      </c>
      <c r="E200" s="10">
        <f>Source!I55</f>
        <v>1.85</v>
      </c>
      <c r="F200" s="37">
        <f>Source!AL55+Source!AM55+Source!AO55</f>
        <v>6099.85</v>
      </c>
      <c r="G200" s="38"/>
      <c r="H200" s="37"/>
      <c r="I200" s="38" t="str">
        <f>Source!BO55</f>
        <v/>
      </c>
      <c r="J200" s="38"/>
      <c r="K200" s="37"/>
      <c r="L200" s="39"/>
      <c r="S200">
        <f>ROUND((Source!FX55/100)*((ROUND(Source!AF55*Source!I55, 2)+ROUND(Source!AE55*Source!I55, 2))), 2)</f>
        <v>198.55</v>
      </c>
      <c r="T200">
        <f>Source!X55</f>
        <v>6063.88</v>
      </c>
      <c r="U200">
        <f>ROUND((Source!FY55/100)*((ROUND(Source!AF55*Source!I55, 2)+ROUND(Source!AE55*Source!I55, 2))), 2)</f>
        <v>94.96</v>
      </c>
      <c r="V200">
        <f>Source!Y55</f>
        <v>2900.11</v>
      </c>
    </row>
    <row r="201" spans="1:26" x14ac:dyDescent="0.2">
      <c r="C201" s="31" t="str">
        <f>"Объем: "&amp;Source!I55&amp;"=185/"&amp;"100"</f>
        <v>Объем: 1,85=185/100</v>
      </c>
    </row>
    <row r="202" spans="1:26" ht="14.25" x14ac:dyDescent="0.2">
      <c r="A202" s="53"/>
      <c r="B202" s="53"/>
      <c r="C202" s="53" t="s">
        <v>1132</v>
      </c>
      <c r="D202" s="36"/>
      <c r="E202" s="10"/>
      <c r="F202" s="37">
        <f>Source!AO55</f>
        <v>100.98</v>
      </c>
      <c r="G202" s="38" t="str">
        <f>Source!DG55</f>
        <v>)*1,15</v>
      </c>
      <c r="H202" s="37">
        <f>ROUND(Source!AF55*Source!I55, 2)</f>
        <v>214.84</v>
      </c>
      <c r="I202" s="38"/>
      <c r="J202" s="38">
        <f>IF(Source!BA55&lt;&gt; 0, Source!BA55, 1)</f>
        <v>30.54</v>
      </c>
      <c r="K202" s="37">
        <f>Source!S55</f>
        <v>6561.23</v>
      </c>
      <c r="L202" s="39"/>
      <c r="R202">
        <f>H202</f>
        <v>214.84</v>
      </c>
    </row>
    <row r="203" spans="1:26" ht="14.25" x14ac:dyDescent="0.2">
      <c r="A203" s="53"/>
      <c r="B203" s="53"/>
      <c r="C203" s="53" t="s">
        <v>616</v>
      </c>
      <c r="D203" s="36"/>
      <c r="E203" s="10"/>
      <c r="F203" s="37">
        <f>Source!AM55</f>
        <v>79.849999999999994</v>
      </c>
      <c r="G203" s="38" t="str">
        <f>Source!DE55</f>
        <v>)*1,15</v>
      </c>
      <c r="H203" s="37">
        <f>ROUND(((((Source!ET55*1.15))-((Source!EU55*1.15)))+Source!AE55)*Source!I55, 2)</f>
        <v>169.88</v>
      </c>
      <c r="I203" s="38"/>
      <c r="J203" s="38">
        <f>IF(Source!BB55&lt;&gt; 0, Source!BB55, 1)</f>
        <v>12.13</v>
      </c>
      <c r="K203" s="37">
        <f>Source!Q55</f>
        <v>2060.71</v>
      </c>
      <c r="L203" s="39"/>
    </row>
    <row r="204" spans="1:26" ht="14.25" x14ac:dyDescent="0.2">
      <c r="A204" s="53"/>
      <c r="B204" s="53"/>
      <c r="C204" s="53" t="s">
        <v>1138</v>
      </c>
      <c r="D204" s="36"/>
      <c r="E204" s="10"/>
      <c r="F204" s="37">
        <f>Source!AN55</f>
        <v>0.46</v>
      </c>
      <c r="G204" s="38" t="str">
        <f>Source!DF55</f>
        <v>)*1,15</v>
      </c>
      <c r="H204" s="47">
        <f>ROUND(Source!AE55*Source!I55, 2)</f>
        <v>0.98</v>
      </c>
      <c r="I204" s="38"/>
      <c r="J204" s="38">
        <f>IF(Source!BS55&lt;&gt; 0, Source!BS55, 1)</f>
        <v>30.54</v>
      </c>
      <c r="K204" s="47">
        <f>Source!R55</f>
        <v>29.94</v>
      </c>
      <c r="L204" s="39"/>
      <c r="R204">
        <f>H204</f>
        <v>0.98</v>
      </c>
    </row>
    <row r="205" spans="1:26" ht="14.25" x14ac:dyDescent="0.2">
      <c r="A205" s="53"/>
      <c r="B205" s="53"/>
      <c r="C205" s="53" t="s">
        <v>1139</v>
      </c>
      <c r="D205" s="36"/>
      <c r="E205" s="10"/>
      <c r="F205" s="37">
        <f>Source!AL55</f>
        <v>5919.02</v>
      </c>
      <c r="G205" s="38" t="str">
        <f>Source!DD55</f>
        <v/>
      </c>
      <c r="H205" s="37">
        <f>ROUND(Source!AC55*Source!I55, 2)</f>
        <v>10950.19</v>
      </c>
      <c r="I205" s="38"/>
      <c r="J205" s="38">
        <f>IF(Source!BC55&lt;&gt; 0, Source!BC55, 1)</f>
        <v>8.7100000000000009</v>
      </c>
      <c r="K205" s="37">
        <f>Source!P55</f>
        <v>95376.13</v>
      </c>
      <c r="L205" s="39"/>
    </row>
    <row r="206" spans="1:26" ht="14.25" x14ac:dyDescent="0.2">
      <c r="A206" s="53"/>
      <c r="B206" s="53"/>
      <c r="C206" s="53" t="s">
        <v>1133</v>
      </c>
      <c r="D206" s="36" t="s">
        <v>1134</v>
      </c>
      <c r="E206" s="10">
        <f>Source!BZ55</f>
        <v>92</v>
      </c>
      <c r="F206" s="55"/>
      <c r="G206" s="38"/>
      <c r="H206" s="37">
        <f>SUM(S200:S209)</f>
        <v>198.55</v>
      </c>
      <c r="I206" s="40"/>
      <c r="J206" s="35">
        <f>Source!AT55</f>
        <v>92</v>
      </c>
      <c r="K206" s="37">
        <f>SUM(T200:T209)</f>
        <v>6063.88</v>
      </c>
      <c r="L206" s="39"/>
    </row>
    <row r="207" spans="1:26" ht="14.25" x14ac:dyDescent="0.2">
      <c r="A207" s="53"/>
      <c r="B207" s="53"/>
      <c r="C207" s="53" t="s">
        <v>1135</v>
      </c>
      <c r="D207" s="36" t="s">
        <v>1134</v>
      </c>
      <c r="E207" s="10">
        <f>Source!CA55</f>
        <v>44</v>
      </c>
      <c r="F207" s="55"/>
      <c r="G207" s="38"/>
      <c r="H207" s="37">
        <f>SUM(U200:U209)</f>
        <v>94.96</v>
      </c>
      <c r="I207" s="40"/>
      <c r="J207" s="35">
        <f>Source!AU55</f>
        <v>44</v>
      </c>
      <c r="K207" s="37">
        <f>SUM(V200:V209)</f>
        <v>2900.11</v>
      </c>
      <c r="L207" s="39"/>
    </row>
    <row r="208" spans="1:26" ht="14.25" x14ac:dyDescent="0.2">
      <c r="A208" s="53"/>
      <c r="B208" s="53"/>
      <c r="C208" s="53" t="s">
        <v>1136</v>
      </c>
      <c r="D208" s="36" t="s">
        <v>1137</v>
      </c>
      <c r="E208" s="10">
        <f>Source!AQ55</f>
        <v>9.89</v>
      </c>
      <c r="F208" s="37"/>
      <c r="G208" s="38" t="str">
        <f>Source!DI55</f>
        <v>)*1,15</v>
      </c>
      <c r="H208" s="37"/>
      <c r="I208" s="38"/>
      <c r="J208" s="38"/>
      <c r="K208" s="37"/>
      <c r="L208" s="48">
        <f>Source!U55</f>
        <v>21.040975</v>
      </c>
    </row>
    <row r="209" spans="1:26" ht="57" x14ac:dyDescent="0.2">
      <c r="A209" s="54">
        <v>27.1</v>
      </c>
      <c r="B209" s="54" t="str">
        <f>Source!F56</f>
        <v>14.2.04.04-1009</v>
      </c>
      <c r="C209" s="54" t="str">
        <f>Source!G56</f>
        <v>Смола инъекционная полиуретановая однокомпонентная гидроактивная для герметизации трещин и заполнения пустот, в комплекте с катализатором</v>
      </c>
      <c r="D209" s="41" t="str">
        <f>Source!H56</f>
        <v>кг</v>
      </c>
      <c r="E209" s="42">
        <f>Source!I56</f>
        <v>-212.81290000000001</v>
      </c>
      <c r="F209" s="43">
        <f>Source!AL56+Source!AM56+Source!AO56</f>
        <v>50.82</v>
      </c>
      <c r="G209" s="49" t="s">
        <v>3</v>
      </c>
      <c r="H209" s="43">
        <f>ROUND(Source!AC56*Source!I56, 2)+ROUND((((Source!ET56)-(Source!EU56))+Source!AE56)*Source!I56, 2)+ROUND(Source!AF56*Source!I56, 2)</f>
        <v>-10815.15</v>
      </c>
      <c r="I209" s="44"/>
      <c r="J209" s="44">
        <f>IF(Source!BC56&lt;&gt; 0, Source!BC56, 1)</f>
        <v>8.7100000000000009</v>
      </c>
      <c r="K209" s="43">
        <f>Source!O56</f>
        <v>-94199.97</v>
      </c>
      <c r="L209" s="50"/>
      <c r="S209">
        <f>ROUND((Source!FX56/100)*((ROUND(Source!AF56*Source!I56, 2)+ROUND(Source!AE56*Source!I56, 2))), 2)</f>
        <v>0</v>
      </c>
      <c r="T209">
        <f>Source!X56</f>
        <v>0</v>
      </c>
      <c r="U209">
        <f>ROUND((Source!FY56/100)*((ROUND(Source!AF56*Source!I56, 2)+ROUND(Source!AE56*Source!I56, 2))), 2)</f>
        <v>0</v>
      </c>
      <c r="V209">
        <f>Source!Y56</f>
        <v>0</v>
      </c>
      <c r="W209">
        <f>IF(Source!BI56&lt;=1,H209, 0)</f>
        <v>-10815.15</v>
      </c>
      <c r="X209">
        <f>IF(Source!BI56=2,H209, 0)</f>
        <v>0</v>
      </c>
      <c r="Y209">
        <f>IF(Source!BI56=3,H209, 0)</f>
        <v>0</v>
      </c>
      <c r="Z209">
        <f>IF(Source!BI56=4,H209, 0)</f>
        <v>0</v>
      </c>
    </row>
    <row r="210" spans="1:26" ht="15" x14ac:dyDescent="0.25">
      <c r="G210" s="62">
        <f>H202+H203+H205+H206+H207+SUM(H209:H209)</f>
        <v>813.26999999999862</v>
      </c>
      <c r="H210" s="62"/>
      <c r="J210" s="62">
        <f>K202+K203+K205+K206+K207+SUM(K209:K209)</f>
        <v>18762.090000000011</v>
      </c>
      <c r="K210" s="62"/>
      <c r="L210" s="46">
        <f>Source!U55</f>
        <v>21.040975</v>
      </c>
      <c r="O210" s="30">
        <f>G210</f>
        <v>813.26999999999862</v>
      </c>
      <c r="P210" s="30">
        <f>J210</f>
        <v>18762.090000000011</v>
      </c>
      <c r="Q210" s="30">
        <f>L210</f>
        <v>21.040975</v>
      </c>
      <c r="W210">
        <f>IF(Source!BI55&lt;=1,H202+H203+H205+H206+H207, 0)</f>
        <v>11628.419999999998</v>
      </c>
      <c r="X210">
        <f>IF(Source!BI55=2,H202+H203+H205+H206+H207, 0)</f>
        <v>0</v>
      </c>
      <c r="Y210">
        <f>IF(Source!BI55=3,H202+H203+H205+H206+H207, 0)</f>
        <v>0</v>
      </c>
      <c r="Z210">
        <f>IF(Source!BI55=4,H202+H203+H205+H206+H207, 0)</f>
        <v>0</v>
      </c>
    </row>
    <row r="211" spans="1:26" ht="54" x14ac:dyDescent="0.2">
      <c r="A211" s="54">
        <v>28</v>
      </c>
      <c r="B211" s="54" t="str">
        <f>Source!F57</f>
        <v>Цена Поставщика</v>
      </c>
      <c r="C211" s="54" t="s">
        <v>1150</v>
      </c>
      <c r="D211" s="41" t="str">
        <f>Source!H57</f>
        <v>кг</v>
      </c>
      <c r="E211" s="42">
        <f>Source!I57</f>
        <v>185</v>
      </c>
      <c r="F211" s="43">
        <f>Source!AL57</f>
        <v>138.79</v>
      </c>
      <c r="G211" s="44" t="str">
        <f>Source!DD57</f>
        <v/>
      </c>
      <c r="H211" s="43">
        <f>ROUND(Source!AC57*Source!I57, 2)</f>
        <v>25676.15</v>
      </c>
      <c r="I211" s="44" t="str">
        <f>Source!BO57</f>
        <v/>
      </c>
      <c r="J211" s="44">
        <f>IF(Source!BC57&lt;&gt; 0, Source!BC57, 1)</f>
        <v>8.7100000000000009</v>
      </c>
      <c r="K211" s="43">
        <f>Source!P57</f>
        <v>223639.27</v>
      </c>
      <c r="L211" s="50"/>
      <c r="S211">
        <f>ROUND((Source!FX57/100)*((ROUND(Source!AF57*Source!I57, 2)+ROUND(Source!AE57*Source!I57, 2))), 2)</f>
        <v>0</v>
      </c>
      <c r="T211">
        <f>Source!X57</f>
        <v>0</v>
      </c>
      <c r="U211">
        <f>ROUND((Source!FY57/100)*((ROUND(Source!AF57*Source!I57, 2)+ROUND(Source!AE57*Source!I57, 2))), 2)</f>
        <v>0</v>
      </c>
      <c r="V211">
        <f>Source!Y57</f>
        <v>0</v>
      </c>
    </row>
    <row r="212" spans="1:26" ht="15" x14ac:dyDescent="0.25">
      <c r="G212" s="62">
        <f>H211</f>
        <v>25676.15</v>
      </c>
      <c r="H212" s="62"/>
      <c r="J212" s="62">
        <f>K211</f>
        <v>223639.27</v>
      </c>
      <c r="K212" s="62"/>
      <c r="L212" s="46">
        <f>Source!U57</f>
        <v>0</v>
      </c>
      <c r="O212" s="30">
        <f>G212</f>
        <v>25676.15</v>
      </c>
      <c r="P212" s="30">
        <f>J212</f>
        <v>223639.27</v>
      </c>
      <c r="Q212" s="30">
        <f>L212</f>
        <v>0</v>
      </c>
      <c r="W212">
        <f>IF(Source!BI57&lt;=1,H211, 0)</f>
        <v>25676.15</v>
      </c>
      <c r="X212">
        <f>IF(Source!BI57=2,H211, 0)</f>
        <v>0</v>
      </c>
      <c r="Y212">
        <f>IF(Source!BI57=3,H211, 0)</f>
        <v>0</v>
      </c>
      <c r="Z212">
        <f>IF(Source!BI57=4,H211, 0)</f>
        <v>0</v>
      </c>
    </row>
    <row r="213" spans="1:26" ht="54" x14ac:dyDescent="0.2">
      <c r="A213" s="54">
        <v>29</v>
      </c>
      <c r="B213" s="54" t="str">
        <f>Source!F58</f>
        <v>Цена Поставщика</v>
      </c>
      <c r="C213" s="54" t="s">
        <v>1151</v>
      </c>
      <c r="D213" s="41" t="str">
        <f>Source!H58</f>
        <v>кг</v>
      </c>
      <c r="E213" s="42">
        <f>Source!I58</f>
        <v>18.5</v>
      </c>
      <c r="F213" s="43">
        <f>Source!AL58</f>
        <v>399.90999999999997</v>
      </c>
      <c r="G213" s="44" t="str">
        <f>Source!DD58</f>
        <v/>
      </c>
      <c r="H213" s="43">
        <f>ROUND(Source!AC58*Source!I58, 2)</f>
        <v>7398.34</v>
      </c>
      <c r="I213" s="44" t="str">
        <f>Source!BO58</f>
        <v/>
      </c>
      <c r="J213" s="44">
        <f>IF(Source!BC58&lt;&gt; 0, Source!BC58, 1)</f>
        <v>8.7100000000000009</v>
      </c>
      <c r="K213" s="43">
        <f>Source!P58</f>
        <v>64439.5</v>
      </c>
      <c r="L213" s="50"/>
      <c r="S213">
        <f>ROUND((Source!FX58/100)*((ROUND(Source!AF58*Source!I58, 2)+ROUND(Source!AE58*Source!I58, 2))), 2)</f>
        <v>0</v>
      </c>
      <c r="T213">
        <f>Source!X58</f>
        <v>0</v>
      </c>
      <c r="U213">
        <f>ROUND((Source!FY58/100)*((ROUND(Source!AF58*Source!I58, 2)+ROUND(Source!AE58*Source!I58, 2))), 2)</f>
        <v>0</v>
      </c>
      <c r="V213">
        <f>Source!Y58</f>
        <v>0</v>
      </c>
    </row>
    <row r="214" spans="1:26" ht="15" x14ac:dyDescent="0.25">
      <c r="G214" s="62">
        <f>H213</f>
        <v>7398.34</v>
      </c>
      <c r="H214" s="62"/>
      <c r="J214" s="62">
        <f>K213</f>
        <v>64439.5</v>
      </c>
      <c r="K214" s="62"/>
      <c r="L214" s="46">
        <f>Source!U58</f>
        <v>0</v>
      </c>
      <c r="O214" s="30">
        <f>G214</f>
        <v>7398.34</v>
      </c>
      <c r="P214" s="30">
        <f>J214</f>
        <v>64439.5</v>
      </c>
      <c r="Q214" s="30">
        <f>L214</f>
        <v>0</v>
      </c>
      <c r="W214">
        <f>IF(Source!BI58&lt;=1,H213, 0)</f>
        <v>7398.34</v>
      </c>
      <c r="X214">
        <f>IF(Source!BI58=2,H213, 0)</f>
        <v>0</v>
      </c>
      <c r="Y214">
        <f>IF(Source!BI58=3,H213, 0)</f>
        <v>0</v>
      </c>
      <c r="Z214">
        <f>IF(Source!BI58=4,H213, 0)</f>
        <v>0</v>
      </c>
    </row>
    <row r="216" spans="1:26" ht="15" x14ac:dyDescent="0.25">
      <c r="B216" s="64" t="str">
        <f>Source!G59</f>
        <v>Инъецирование трещин кирпичных стен на фасаде здания</v>
      </c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26" ht="71.25" x14ac:dyDescent="0.2">
      <c r="A217" s="53">
        <v>30</v>
      </c>
      <c r="B217" s="53" t="str">
        <f>Source!F60</f>
        <v>53-24-3</v>
      </c>
      <c r="C217" s="53" t="str">
        <f>Source!G60</f>
        <v>Устройство горизонтальной гидроизоляции кирпичных стен ремонтируемых зданий методом инъецирования при толщине кладки стены: в 2 кирпича</v>
      </c>
      <c r="D217" s="36" t="str">
        <f>Source!H60</f>
        <v>м</v>
      </c>
      <c r="E217" s="10">
        <f>Source!I60</f>
        <v>14</v>
      </c>
      <c r="F217" s="37">
        <f>Source!AL60+Source!AM60+Source!AO60</f>
        <v>433.84000000000003</v>
      </c>
      <c r="G217" s="38"/>
      <c r="H217" s="37"/>
      <c r="I217" s="38" t="str">
        <f>Source!BO60</f>
        <v/>
      </c>
      <c r="J217" s="38"/>
      <c r="K217" s="37"/>
      <c r="L217" s="39"/>
      <c r="S217">
        <f>ROUND((Source!FX60/100)*((ROUND(Source!AF60*Source!I60, 2)+ROUND(Source!AE60*Source!I60, 2))), 2)</f>
        <v>1813.76</v>
      </c>
      <c r="T217">
        <f>Source!X60</f>
        <v>55392.28</v>
      </c>
      <c r="U217">
        <f>ROUND((Source!FY60/100)*((ROUND(Source!AF60*Source!I60, 2)+ROUND(Source!AE60*Source!I60, 2))), 2)</f>
        <v>1025.17</v>
      </c>
      <c r="V217">
        <f>Source!Y60</f>
        <v>31308.68</v>
      </c>
    </row>
    <row r="218" spans="1:26" ht="14.25" x14ac:dyDescent="0.2">
      <c r="A218" s="53"/>
      <c r="B218" s="53"/>
      <c r="C218" s="53" t="s">
        <v>1132</v>
      </c>
      <c r="D218" s="36"/>
      <c r="E218" s="10"/>
      <c r="F218" s="37">
        <f>Source!AO60</f>
        <v>122.45</v>
      </c>
      <c r="G218" s="38" t="str">
        <f>Source!DG60</f>
        <v>)*1,15</v>
      </c>
      <c r="H218" s="37">
        <f>ROUND(Source!AF60*Source!I60, 2)</f>
        <v>1971.48</v>
      </c>
      <c r="I218" s="38"/>
      <c r="J218" s="38">
        <f>IF(Source!BA60&lt;&gt; 0, Source!BA60, 1)</f>
        <v>30.54</v>
      </c>
      <c r="K218" s="37">
        <f>Source!S60</f>
        <v>60209</v>
      </c>
      <c r="L218" s="39"/>
      <c r="R218">
        <f>H218</f>
        <v>1971.48</v>
      </c>
    </row>
    <row r="219" spans="1:26" ht="14.25" x14ac:dyDescent="0.2">
      <c r="A219" s="53"/>
      <c r="B219" s="53"/>
      <c r="C219" s="53" t="s">
        <v>616</v>
      </c>
      <c r="D219" s="36"/>
      <c r="E219" s="10"/>
      <c r="F219" s="37">
        <f>Source!AM60</f>
        <v>2.41</v>
      </c>
      <c r="G219" s="38" t="str">
        <f>Source!DE60</f>
        <v>)*1,15</v>
      </c>
      <c r="H219" s="37">
        <f>ROUND(((((Source!ET60*1.15))-((Source!EU60*1.15)))+Source!AE60)*Source!I60, 2)</f>
        <v>38.799999999999997</v>
      </c>
      <c r="I219" s="38"/>
      <c r="J219" s="38">
        <f>IF(Source!BB60&lt;&gt; 0, Source!BB60, 1)</f>
        <v>12.13</v>
      </c>
      <c r="K219" s="37">
        <f>Source!Q60</f>
        <v>470.66</v>
      </c>
      <c r="L219" s="39"/>
    </row>
    <row r="220" spans="1:26" ht="14.25" x14ac:dyDescent="0.2">
      <c r="A220" s="53"/>
      <c r="B220" s="53"/>
      <c r="C220" s="53" t="s">
        <v>1133</v>
      </c>
      <c r="D220" s="36" t="s">
        <v>1134</v>
      </c>
      <c r="E220" s="10">
        <f>Source!BZ60</f>
        <v>92</v>
      </c>
      <c r="F220" s="55"/>
      <c r="G220" s="38"/>
      <c r="H220" s="37">
        <f>SUM(S217:S222)</f>
        <v>1813.76</v>
      </c>
      <c r="I220" s="40"/>
      <c r="J220" s="35">
        <f>Source!AT60</f>
        <v>92</v>
      </c>
      <c r="K220" s="37">
        <f>SUM(T217:T222)</f>
        <v>55392.28</v>
      </c>
      <c r="L220" s="39"/>
    </row>
    <row r="221" spans="1:26" ht="14.25" x14ac:dyDescent="0.2">
      <c r="A221" s="53"/>
      <c r="B221" s="53"/>
      <c r="C221" s="53" t="s">
        <v>1135</v>
      </c>
      <c r="D221" s="36" t="s">
        <v>1134</v>
      </c>
      <c r="E221" s="10">
        <f>Source!CA60</f>
        <v>52</v>
      </c>
      <c r="F221" s="55"/>
      <c r="G221" s="38"/>
      <c r="H221" s="37">
        <f>SUM(U217:U222)</f>
        <v>1025.17</v>
      </c>
      <c r="I221" s="40"/>
      <c r="J221" s="35">
        <f>Source!AU60</f>
        <v>52</v>
      </c>
      <c r="K221" s="37">
        <f>SUM(V217:V222)</f>
        <v>31308.68</v>
      </c>
      <c r="L221" s="39"/>
    </row>
    <row r="222" spans="1:26" ht="14.25" x14ac:dyDescent="0.2">
      <c r="A222" s="54"/>
      <c r="B222" s="54"/>
      <c r="C222" s="54" t="s">
        <v>1136</v>
      </c>
      <c r="D222" s="41" t="s">
        <v>1137</v>
      </c>
      <c r="E222" s="42">
        <f>Source!AQ60</f>
        <v>13.5</v>
      </c>
      <c r="F222" s="43"/>
      <c r="G222" s="44" t="str">
        <f>Source!DI60</f>
        <v>)*1,15</v>
      </c>
      <c r="H222" s="43"/>
      <c r="I222" s="44"/>
      <c r="J222" s="44"/>
      <c r="K222" s="43"/>
      <c r="L222" s="45">
        <f>Source!U60</f>
        <v>217.34999999999997</v>
      </c>
    </row>
    <row r="223" spans="1:26" ht="15" x14ac:dyDescent="0.25">
      <c r="G223" s="62">
        <f>H218+H219+H220+H221</f>
        <v>4849.21</v>
      </c>
      <c r="H223" s="62"/>
      <c r="J223" s="62">
        <f>K218+K219+K220+K221</f>
        <v>147380.62</v>
      </c>
      <c r="K223" s="62"/>
      <c r="L223" s="46">
        <f>Source!U60</f>
        <v>217.34999999999997</v>
      </c>
      <c r="O223" s="30">
        <f>G223</f>
        <v>4849.21</v>
      </c>
      <c r="P223" s="30">
        <f>J223</f>
        <v>147380.62</v>
      </c>
      <c r="Q223" s="30">
        <f>L223</f>
        <v>217.34999999999997</v>
      </c>
      <c r="W223">
        <f>IF(Source!BI60&lt;=1,H218+H219+H220+H221, 0)</f>
        <v>4849.21</v>
      </c>
      <c r="X223">
        <f>IF(Source!BI60=2,H218+H219+H220+H221, 0)</f>
        <v>0</v>
      </c>
      <c r="Y223">
        <f>IF(Source!BI60=3,H218+H219+H220+H221, 0)</f>
        <v>0</v>
      </c>
      <c r="Z223">
        <f>IF(Source!BI60=4,H218+H219+H220+H221, 0)</f>
        <v>0</v>
      </c>
    </row>
    <row r="224" spans="1:26" ht="42.75" x14ac:dyDescent="0.2">
      <c r="A224" s="54">
        <v>31</v>
      </c>
      <c r="B224" s="54" t="str">
        <f>Source!F61</f>
        <v>цена Поставщика</v>
      </c>
      <c r="C224" s="54" t="s">
        <v>1152</v>
      </c>
      <c r="D224" s="41" t="str">
        <f>Source!H61</f>
        <v>ШТ</v>
      </c>
      <c r="E224" s="42">
        <f>Source!I61</f>
        <v>70</v>
      </c>
      <c r="F224" s="43">
        <f>Source!AL61</f>
        <v>2.4899999999999998</v>
      </c>
      <c r="G224" s="44" t="str">
        <f>Source!DD61</f>
        <v/>
      </c>
      <c r="H224" s="43">
        <f>ROUND(Source!AC61*Source!I61, 2)</f>
        <v>174.3</v>
      </c>
      <c r="I224" s="44" t="str">
        <f>Source!BO61</f>
        <v/>
      </c>
      <c r="J224" s="44">
        <f>IF(Source!BC61&lt;&gt; 0, Source!BC61, 1)</f>
        <v>8.7100000000000009</v>
      </c>
      <c r="K224" s="43">
        <f>Source!P61</f>
        <v>1518.15</v>
      </c>
      <c r="L224" s="50"/>
      <c r="S224">
        <f>ROUND((Source!FX61/100)*((ROUND(Source!AF61*Source!I61, 2)+ROUND(Source!AE61*Source!I61, 2))), 2)</f>
        <v>0</v>
      </c>
      <c r="T224">
        <f>Source!X61</f>
        <v>0</v>
      </c>
      <c r="U224">
        <f>ROUND((Source!FY61/100)*((ROUND(Source!AF61*Source!I61, 2)+ROUND(Source!AE61*Source!I61, 2))), 2)</f>
        <v>0</v>
      </c>
      <c r="V224">
        <f>Source!Y61</f>
        <v>0</v>
      </c>
    </row>
    <row r="225" spans="1:26" ht="15" x14ac:dyDescent="0.25">
      <c r="G225" s="62">
        <f>H224</f>
        <v>174.3</v>
      </c>
      <c r="H225" s="62"/>
      <c r="J225" s="62">
        <f>K224</f>
        <v>1518.15</v>
      </c>
      <c r="K225" s="62"/>
      <c r="L225" s="46">
        <f>Source!U61</f>
        <v>0</v>
      </c>
      <c r="O225" s="30">
        <f>G225</f>
        <v>174.3</v>
      </c>
      <c r="P225" s="30">
        <f>J225</f>
        <v>1518.15</v>
      </c>
      <c r="Q225" s="30">
        <f>L225</f>
        <v>0</v>
      </c>
      <c r="W225">
        <f>IF(Source!BI61&lt;=1,H224, 0)</f>
        <v>174.3</v>
      </c>
      <c r="X225">
        <f>IF(Source!BI61=2,H224, 0)</f>
        <v>0</v>
      </c>
      <c r="Y225">
        <f>IF(Source!BI61=3,H224, 0)</f>
        <v>0</v>
      </c>
      <c r="Z225">
        <f>IF(Source!BI61=4,H224, 0)</f>
        <v>0</v>
      </c>
    </row>
    <row r="226" spans="1:26" ht="28.5" x14ac:dyDescent="0.2">
      <c r="A226" s="53">
        <v>32</v>
      </c>
      <c r="B226" s="53" t="str">
        <f>Source!F62</f>
        <v>69-12-5</v>
      </c>
      <c r="C226" s="53" t="str">
        <f>Source!G62</f>
        <v>Приготовление растворов вручную: цементно-известковых легких</v>
      </c>
      <c r="D226" s="36" t="str">
        <f>Source!H62</f>
        <v>м3</v>
      </c>
      <c r="E226" s="10">
        <f>Source!I62</f>
        <v>1.4E-2</v>
      </c>
      <c r="F226" s="37">
        <f>Source!AL62+Source!AM62+Source!AO62</f>
        <v>19.89</v>
      </c>
      <c r="G226" s="38"/>
      <c r="H226" s="37"/>
      <c r="I226" s="38" t="str">
        <f>Source!BO62</f>
        <v/>
      </c>
      <c r="J226" s="38"/>
      <c r="K226" s="37"/>
      <c r="L226" s="39"/>
      <c r="S226">
        <f>ROUND((Source!FX62/100)*((ROUND(Source!AF62*Source!I62, 2)+ROUND(Source!AE62*Source!I62, 2))), 2)</f>
        <v>0.23</v>
      </c>
      <c r="T226">
        <f>Source!X62</f>
        <v>7.14</v>
      </c>
      <c r="U226">
        <f>ROUND((Source!FY62/100)*((ROUND(Source!AF62*Source!I62, 2)+ROUND(Source!AE62*Source!I62, 2))), 2)</f>
        <v>0.11</v>
      </c>
      <c r="V226">
        <f>Source!Y62</f>
        <v>3.33</v>
      </c>
    </row>
    <row r="227" spans="1:26" ht="14.25" x14ac:dyDescent="0.2">
      <c r="A227" s="53"/>
      <c r="B227" s="53"/>
      <c r="C227" s="53" t="s">
        <v>1132</v>
      </c>
      <c r="D227" s="36"/>
      <c r="E227" s="10"/>
      <c r="F227" s="37">
        <f>Source!AO62</f>
        <v>19.89</v>
      </c>
      <c r="G227" s="38" t="str">
        <f>Source!DG62</f>
        <v>)*1,15</v>
      </c>
      <c r="H227" s="37">
        <f>ROUND(Source!AF62*Source!I62, 2)</f>
        <v>0.32</v>
      </c>
      <c r="I227" s="38"/>
      <c r="J227" s="38">
        <f>IF(Source!BA62&lt;&gt; 0, Source!BA62, 1)</f>
        <v>30.54</v>
      </c>
      <c r="K227" s="37">
        <f>Source!S62</f>
        <v>9.7799999999999994</v>
      </c>
      <c r="L227" s="39"/>
      <c r="R227">
        <f>H227</f>
        <v>0.32</v>
      </c>
    </row>
    <row r="228" spans="1:26" ht="14.25" x14ac:dyDescent="0.2">
      <c r="A228" s="53"/>
      <c r="B228" s="53"/>
      <c r="C228" s="53" t="s">
        <v>1133</v>
      </c>
      <c r="D228" s="36" t="s">
        <v>1134</v>
      </c>
      <c r="E228" s="10">
        <f>Source!BZ62</f>
        <v>73</v>
      </c>
      <c r="F228" s="55"/>
      <c r="G228" s="38"/>
      <c r="H228" s="37">
        <f>SUM(S226:S230)</f>
        <v>0.23</v>
      </c>
      <c r="I228" s="40"/>
      <c r="J228" s="35">
        <f>Source!AT62</f>
        <v>73</v>
      </c>
      <c r="K228" s="37">
        <f>SUM(T226:T230)</f>
        <v>7.14</v>
      </c>
      <c r="L228" s="39"/>
    </row>
    <row r="229" spans="1:26" ht="14.25" x14ac:dyDescent="0.2">
      <c r="A229" s="53"/>
      <c r="B229" s="53"/>
      <c r="C229" s="53" t="s">
        <v>1135</v>
      </c>
      <c r="D229" s="36" t="s">
        <v>1134</v>
      </c>
      <c r="E229" s="10">
        <f>Source!CA62</f>
        <v>34</v>
      </c>
      <c r="F229" s="55"/>
      <c r="G229" s="38"/>
      <c r="H229" s="37">
        <f>SUM(U226:U230)</f>
        <v>0.11</v>
      </c>
      <c r="I229" s="40"/>
      <c r="J229" s="35">
        <f>Source!AU62</f>
        <v>34</v>
      </c>
      <c r="K229" s="37">
        <f>SUM(V226:V230)</f>
        <v>3.33</v>
      </c>
      <c r="L229" s="39"/>
    </row>
    <row r="230" spans="1:26" ht="14.25" x14ac:dyDescent="0.2">
      <c r="A230" s="54"/>
      <c r="B230" s="54"/>
      <c r="C230" s="54" t="s">
        <v>1136</v>
      </c>
      <c r="D230" s="41" t="s">
        <v>1137</v>
      </c>
      <c r="E230" s="42">
        <f>Source!AQ62</f>
        <v>2.5499999999999998</v>
      </c>
      <c r="F230" s="43"/>
      <c r="G230" s="44" t="str">
        <f>Source!DI62</f>
        <v>)*1,15</v>
      </c>
      <c r="H230" s="43"/>
      <c r="I230" s="44"/>
      <c r="J230" s="44"/>
      <c r="K230" s="43"/>
      <c r="L230" s="45">
        <f>Source!U62</f>
        <v>4.1054999999999994E-2</v>
      </c>
    </row>
    <row r="231" spans="1:26" ht="15" x14ac:dyDescent="0.25">
      <c r="G231" s="62">
        <f>H227+H228+H229</f>
        <v>0.66</v>
      </c>
      <c r="H231" s="62"/>
      <c r="J231" s="62">
        <f>K227+K228+K229</f>
        <v>20.25</v>
      </c>
      <c r="K231" s="62"/>
      <c r="L231" s="46">
        <f>Source!U62</f>
        <v>4.1054999999999994E-2</v>
      </c>
      <c r="O231" s="30">
        <f>G231</f>
        <v>0.66</v>
      </c>
      <c r="P231" s="30">
        <f>J231</f>
        <v>20.25</v>
      </c>
      <c r="Q231" s="30">
        <f>L231</f>
        <v>4.1054999999999994E-2</v>
      </c>
      <c r="W231">
        <f>IF(Source!BI62&lt;=1,H227+H228+H229, 0)</f>
        <v>0.66</v>
      </c>
      <c r="X231">
        <f>IF(Source!BI62=2,H227+H228+H229, 0)</f>
        <v>0</v>
      </c>
      <c r="Y231">
        <f>IF(Source!BI62=3,H227+H228+H229, 0)</f>
        <v>0</v>
      </c>
      <c r="Z231">
        <f>IF(Source!BI62=4,H227+H228+H229, 0)</f>
        <v>0</v>
      </c>
    </row>
    <row r="232" spans="1:26" ht="42.75" x14ac:dyDescent="0.2">
      <c r="A232" s="54">
        <v>33</v>
      </c>
      <c r="B232" s="54" t="str">
        <f>Source!F63</f>
        <v>цена Поставщика</v>
      </c>
      <c r="C232" s="54" t="s">
        <v>1153</v>
      </c>
      <c r="D232" s="41" t="str">
        <f>Source!H63</f>
        <v>кг</v>
      </c>
      <c r="E232" s="42">
        <f>Source!I63</f>
        <v>84</v>
      </c>
      <c r="F232" s="43">
        <f>Source!AL63</f>
        <v>11.490000000000002</v>
      </c>
      <c r="G232" s="44" t="str">
        <f>Source!DD63</f>
        <v/>
      </c>
      <c r="H232" s="43">
        <f>ROUND(Source!AC63*Source!I63, 2)</f>
        <v>965.16</v>
      </c>
      <c r="I232" s="44" t="str">
        <f>Source!BO63</f>
        <v/>
      </c>
      <c r="J232" s="44">
        <f>IF(Source!BC63&lt;&gt; 0, Source!BC63, 1)</f>
        <v>8.7100000000000009</v>
      </c>
      <c r="K232" s="43">
        <f>Source!P63</f>
        <v>8406.5400000000009</v>
      </c>
      <c r="L232" s="50"/>
      <c r="S232">
        <f>ROUND((Source!FX63/100)*((ROUND(Source!AF63*Source!I63, 2)+ROUND(Source!AE63*Source!I63, 2))), 2)</f>
        <v>0</v>
      </c>
      <c r="T232">
        <f>Source!X63</f>
        <v>0</v>
      </c>
      <c r="U232">
        <f>ROUND((Source!FY63/100)*((ROUND(Source!AF63*Source!I63, 2)+ROUND(Source!AE63*Source!I63, 2))), 2)</f>
        <v>0</v>
      </c>
      <c r="V232">
        <f>Source!Y63</f>
        <v>0</v>
      </c>
    </row>
    <row r="233" spans="1:26" ht="15" x14ac:dyDescent="0.25">
      <c r="G233" s="62">
        <f>H232</f>
        <v>965.16</v>
      </c>
      <c r="H233" s="62"/>
      <c r="J233" s="62">
        <f>K232</f>
        <v>8406.5400000000009</v>
      </c>
      <c r="K233" s="62"/>
      <c r="L233" s="46">
        <f>Source!U63</f>
        <v>0</v>
      </c>
      <c r="O233" s="30">
        <f>G233</f>
        <v>965.16</v>
      </c>
      <c r="P233" s="30">
        <f>J233</f>
        <v>8406.5400000000009</v>
      </c>
      <c r="Q233" s="30">
        <f>L233</f>
        <v>0</v>
      </c>
      <c r="W233">
        <f>IF(Source!BI63&lt;=1,H232, 0)</f>
        <v>965.16</v>
      </c>
      <c r="X233">
        <f>IF(Source!BI63=2,H232, 0)</f>
        <v>0</v>
      </c>
      <c r="Y233">
        <f>IF(Source!BI63=3,H232, 0)</f>
        <v>0</v>
      </c>
      <c r="Z233">
        <f>IF(Source!BI63=4,H232, 0)</f>
        <v>0</v>
      </c>
    </row>
    <row r="234" spans="1:26" ht="42.75" x14ac:dyDescent="0.2">
      <c r="A234" s="54">
        <v>34</v>
      </c>
      <c r="B234" s="54" t="str">
        <f>Source!F64</f>
        <v>цена Поставщика</v>
      </c>
      <c r="C234" s="54" t="s">
        <v>1154</v>
      </c>
      <c r="D234" s="41" t="str">
        <f>Source!H64</f>
        <v>кг</v>
      </c>
      <c r="E234" s="42">
        <f>Source!I64</f>
        <v>210</v>
      </c>
      <c r="F234" s="43">
        <f>Source!AL64</f>
        <v>9.2199999999999989</v>
      </c>
      <c r="G234" s="44" t="str">
        <f>Source!DD64</f>
        <v/>
      </c>
      <c r="H234" s="43">
        <f>ROUND(Source!AC64*Source!I64, 2)</f>
        <v>1936.2</v>
      </c>
      <c r="I234" s="44" t="str">
        <f>Source!BO64</f>
        <v/>
      </c>
      <c r="J234" s="44">
        <f>IF(Source!BC64&lt;&gt; 0, Source!BC64, 1)</f>
        <v>8.7100000000000009</v>
      </c>
      <c r="K234" s="43">
        <f>Source!P64</f>
        <v>16864.3</v>
      </c>
      <c r="L234" s="50"/>
      <c r="S234">
        <f>ROUND((Source!FX64/100)*((ROUND(Source!AF64*Source!I64, 2)+ROUND(Source!AE64*Source!I64, 2))), 2)</f>
        <v>0</v>
      </c>
      <c r="T234">
        <f>Source!X64</f>
        <v>0</v>
      </c>
      <c r="U234">
        <f>ROUND((Source!FY64/100)*((ROUND(Source!AF64*Source!I64, 2)+ROUND(Source!AE64*Source!I64, 2))), 2)</f>
        <v>0</v>
      </c>
      <c r="V234">
        <f>Source!Y64</f>
        <v>0</v>
      </c>
    </row>
    <row r="235" spans="1:26" ht="15" x14ac:dyDescent="0.25">
      <c r="G235" s="62">
        <f>H234</f>
        <v>1936.2</v>
      </c>
      <c r="H235" s="62"/>
      <c r="J235" s="62">
        <f>K234</f>
        <v>16864.3</v>
      </c>
      <c r="K235" s="62"/>
      <c r="L235" s="46">
        <f>Source!U64</f>
        <v>0</v>
      </c>
      <c r="O235" s="30">
        <f>G235</f>
        <v>1936.2</v>
      </c>
      <c r="P235" s="30">
        <f>J235</f>
        <v>16864.3</v>
      </c>
      <c r="Q235" s="30">
        <f>L235</f>
        <v>0</v>
      </c>
      <c r="W235">
        <f>IF(Source!BI64&lt;=1,H234, 0)</f>
        <v>1936.2</v>
      </c>
      <c r="X235">
        <f>IF(Source!BI64=2,H234, 0)</f>
        <v>0</v>
      </c>
      <c r="Y235">
        <f>IF(Source!BI64=3,H234, 0)</f>
        <v>0</v>
      </c>
      <c r="Z235">
        <f>IF(Source!BI64=4,H234, 0)</f>
        <v>0</v>
      </c>
    </row>
    <row r="237" spans="1:26" ht="15" x14ac:dyDescent="0.25">
      <c r="B237" s="64" t="str">
        <f>Source!G65</f>
        <v>Ремонт ж/б колонн и стен</v>
      </c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1:26" ht="28.5" x14ac:dyDescent="0.2">
      <c r="A238" s="53">
        <v>35</v>
      </c>
      <c r="B238" s="53" t="str">
        <f>Source!F66</f>
        <v>46-02-009-02</v>
      </c>
      <c r="C238" s="53" t="str">
        <f>Source!G66</f>
        <v>Отбивка штукатурки с поверхностей: стен и потолков кирпичных</v>
      </c>
      <c r="D238" s="36" t="str">
        <f>Source!H66</f>
        <v>100 м2</v>
      </c>
      <c r="E238" s="10">
        <f>Source!I66</f>
        <v>2.3336000000000001</v>
      </c>
      <c r="F238" s="37">
        <f>Source!AL66+Source!AM66+Source!AO66</f>
        <v>178</v>
      </c>
      <c r="G238" s="38"/>
      <c r="H238" s="37"/>
      <c r="I238" s="38" t="str">
        <f>Source!BO66</f>
        <v/>
      </c>
      <c r="J238" s="38"/>
      <c r="K238" s="37"/>
      <c r="L238" s="39"/>
      <c r="S238">
        <f>ROUND((Source!FX66/100)*((ROUND(Source!AF66*Source!I66, 2)+ROUND(Source!AE66*Source!I66, 2))), 2)</f>
        <v>434.7</v>
      </c>
      <c r="T238">
        <f>Source!X66</f>
        <v>13275.62</v>
      </c>
      <c r="U238">
        <f>ROUND((Source!FY66/100)*((ROUND(Source!AF66*Source!I66, 2)+ROUND(Source!AE66*Source!I66, 2))), 2)</f>
        <v>248.4</v>
      </c>
      <c r="V238">
        <f>Source!Y66</f>
        <v>7586.07</v>
      </c>
    </row>
    <row r="239" spans="1:26" ht="14.25" x14ac:dyDescent="0.2">
      <c r="A239" s="53"/>
      <c r="B239" s="53"/>
      <c r="C239" s="53" t="s">
        <v>1132</v>
      </c>
      <c r="D239" s="36"/>
      <c r="E239" s="10"/>
      <c r="F239" s="37">
        <f>Source!AO66</f>
        <v>178</v>
      </c>
      <c r="G239" s="38" t="str">
        <f>Source!DG66</f>
        <v>)*1,15</v>
      </c>
      <c r="H239" s="37">
        <f>ROUND(Source!AF66*Source!I66, 2)</f>
        <v>477.69</v>
      </c>
      <c r="I239" s="38"/>
      <c r="J239" s="38">
        <f>IF(Source!BA66&lt;&gt; 0, Source!BA66, 1)</f>
        <v>30.54</v>
      </c>
      <c r="K239" s="37">
        <f>Source!S66</f>
        <v>14588.59</v>
      </c>
      <c r="L239" s="39"/>
      <c r="R239">
        <f>H239</f>
        <v>477.69</v>
      </c>
    </row>
    <row r="240" spans="1:26" ht="14.25" x14ac:dyDescent="0.2">
      <c r="A240" s="53"/>
      <c r="B240" s="53"/>
      <c r="C240" s="53" t="s">
        <v>1133</v>
      </c>
      <c r="D240" s="36" t="s">
        <v>1134</v>
      </c>
      <c r="E240" s="10">
        <f>Source!BZ66</f>
        <v>91</v>
      </c>
      <c r="F240" s="55"/>
      <c r="G240" s="38"/>
      <c r="H240" s="37">
        <f>SUM(S238:S242)</f>
        <v>434.7</v>
      </c>
      <c r="I240" s="40"/>
      <c r="J240" s="35">
        <f>Source!AT66</f>
        <v>91</v>
      </c>
      <c r="K240" s="37">
        <f>SUM(T238:T242)</f>
        <v>13275.62</v>
      </c>
      <c r="L240" s="39"/>
    </row>
    <row r="241" spans="1:26" ht="14.25" x14ac:dyDescent="0.2">
      <c r="A241" s="53"/>
      <c r="B241" s="53"/>
      <c r="C241" s="53" t="s">
        <v>1135</v>
      </c>
      <c r="D241" s="36" t="s">
        <v>1134</v>
      </c>
      <c r="E241" s="10">
        <f>Source!CA66</f>
        <v>52</v>
      </c>
      <c r="F241" s="55"/>
      <c r="G241" s="38"/>
      <c r="H241" s="37">
        <f>SUM(U238:U242)</f>
        <v>248.4</v>
      </c>
      <c r="I241" s="40"/>
      <c r="J241" s="35">
        <f>Source!AU66</f>
        <v>52</v>
      </c>
      <c r="K241" s="37">
        <f>SUM(V238:V242)</f>
        <v>7586.07</v>
      </c>
      <c r="L241" s="39"/>
    </row>
    <row r="242" spans="1:26" ht="14.25" x14ac:dyDescent="0.2">
      <c r="A242" s="54"/>
      <c r="B242" s="54"/>
      <c r="C242" s="54" t="s">
        <v>1136</v>
      </c>
      <c r="D242" s="41" t="s">
        <v>1137</v>
      </c>
      <c r="E242" s="42">
        <f>Source!AQ66</f>
        <v>22.82</v>
      </c>
      <c r="F242" s="43"/>
      <c r="G242" s="44" t="str">
        <f>Source!DI66</f>
        <v>)*1,15</v>
      </c>
      <c r="H242" s="43"/>
      <c r="I242" s="44"/>
      <c r="J242" s="44"/>
      <c r="K242" s="43"/>
      <c r="L242" s="45">
        <f>Source!U66</f>
        <v>61.240664799999998</v>
      </c>
    </row>
    <row r="243" spans="1:26" ht="15" x14ac:dyDescent="0.25">
      <c r="G243" s="62">
        <f>H239+H240+H241</f>
        <v>1160.79</v>
      </c>
      <c r="H243" s="62"/>
      <c r="J243" s="62">
        <f>K239+K240+K241</f>
        <v>35450.28</v>
      </c>
      <c r="K243" s="62"/>
      <c r="L243" s="46">
        <f>Source!U66</f>
        <v>61.240664799999998</v>
      </c>
      <c r="O243" s="30">
        <f>G243</f>
        <v>1160.79</v>
      </c>
      <c r="P243" s="30">
        <f>J243</f>
        <v>35450.28</v>
      </c>
      <c r="Q243" s="30">
        <f>L243</f>
        <v>61.240664799999998</v>
      </c>
      <c r="W243">
        <f>IF(Source!BI66&lt;=1,H239+H240+H241, 0)</f>
        <v>1160.79</v>
      </c>
      <c r="X243">
        <f>IF(Source!BI66=2,H239+H240+H241, 0)</f>
        <v>0</v>
      </c>
      <c r="Y243">
        <f>IF(Source!BI66=3,H239+H240+H241, 0)</f>
        <v>0</v>
      </c>
      <c r="Z243">
        <f>IF(Source!BI66=4,H239+H240+H241, 0)</f>
        <v>0</v>
      </c>
    </row>
    <row r="244" spans="1:26" ht="28.5" x14ac:dyDescent="0.2">
      <c r="A244" s="53">
        <v>36</v>
      </c>
      <c r="B244" s="53" t="str">
        <f>Source!F67</f>
        <v>52-17-1</v>
      </c>
      <c r="C244" s="53" t="str">
        <f>Source!G67</f>
        <v>Устройство антикоррозийной защиты арматуры стен</v>
      </c>
      <c r="D244" s="36" t="str">
        <f>Source!H67</f>
        <v>10 м2</v>
      </c>
      <c r="E244" s="10">
        <f>Source!I67</f>
        <v>4.6672000000000002</v>
      </c>
      <c r="F244" s="37">
        <f>Source!AL67+Source!AM67+Source!AO67</f>
        <v>1720.79</v>
      </c>
      <c r="G244" s="38"/>
      <c r="H244" s="37"/>
      <c r="I244" s="38" t="str">
        <f>Source!BO67</f>
        <v/>
      </c>
      <c r="J244" s="38"/>
      <c r="K244" s="37"/>
      <c r="L244" s="39"/>
      <c r="S244">
        <f>ROUND((Source!FX67/100)*((ROUND(Source!AF67*Source!I67, 2)+ROUND(Source!AE67*Source!I67, 2))), 2)</f>
        <v>220.41</v>
      </c>
      <c r="T244">
        <f>Source!X67</f>
        <v>6731.33</v>
      </c>
      <c r="U244">
        <f>ROUND((Source!FY67/100)*((ROUND(Source!AF67*Source!I67, 2)+ROUND(Source!AE67*Source!I67, 2))), 2)</f>
        <v>130.35</v>
      </c>
      <c r="V244">
        <f>Source!Y67</f>
        <v>3980.89</v>
      </c>
    </row>
    <row r="245" spans="1:26" ht="14.25" x14ac:dyDescent="0.2">
      <c r="A245" s="53"/>
      <c r="B245" s="53"/>
      <c r="C245" s="53" t="s">
        <v>1132</v>
      </c>
      <c r="D245" s="36"/>
      <c r="E245" s="10"/>
      <c r="F245" s="37">
        <f>Source!AO67</f>
        <v>43.81</v>
      </c>
      <c r="G245" s="38" t="str">
        <f>Source!DG67</f>
        <v>)*1,15</v>
      </c>
      <c r="H245" s="37">
        <f>ROUND(Source!AF67*Source!I67, 2)</f>
        <v>235.13</v>
      </c>
      <c r="I245" s="38"/>
      <c r="J245" s="38">
        <f>IF(Source!BA67&lt;&gt; 0, Source!BA67, 1)</f>
        <v>30.54</v>
      </c>
      <c r="K245" s="37">
        <f>Source!S67</f>
        <v>7180.98</v>
      </c>
      <c r="L245" s="39"/>
      <c r="R245">
        <f>H245</f>
        <v>235.13</v>
      </c>
    </row>
    <row r="246" spans="1:26" ht="14.25" x14ac:dyDescent="0.2">
      <c r="A246" s="53"/>
      <c r="B246" s="53"/>
      <c r="C246" s="53" t="s">
        <v>616</v>
      </c>
      <c r="D246" s="36"/>
      <c r="E246" s="10"/>
      <c r="F246" s="37">
        <f>Source!AM67</f>
        <v>1.97</v>
      </c>
      <c r="G246" s="38" t="str">
        <f>Source!DE67</f>
        <v>)*1,15</v>
      </c>
      <c r="H246" s="37">
        <f>ROUND(((((Source!ET67*1.15))-((Source!EU67*1.15)))+Source!AE67)*Source!I67, 2)</f>
        <v>10.56</v>
      </c>
      <c r="I246" s="38"/>
      <c r="J246" s="38">
        <f>IF(Source!BB67&lt;&gt; 0, Source!BB67, 1)</f>
        <v>12.13</v>
      </c>
      <c r="K246" s="37">
        <f>Source!Q67</f>
        <v>127.9</v>
      </c>
      <c r="L246" s="39"/>
    </row>
    <row r="247" spans="1:26" ht="14.25" x14ac:dyDescent="0.2">
      <c r="A247" s="53"/>
      <c r="B247" s="53"/>
      <c r="C247" s="53" t="s">
        <v>1138</v>
      </c>
      <c r="D247" s="36"/>
      <c r="E247" s="10"/>
      <c r="F247" s="37">
        <f>Source!AN67</f>
        <v>0.35</v>
      </c>
      <c r="G247" s="38" t="str">
        <f>Source!DF67</f>
        <v>)*1,15</v>
      </c>
      <c r="H247" s="47">
        <f>ROUND(Source!AE67*Source!I67, 2)</f>
        <v>1.87</v>
      </c>
      <c r="I247" s="38"/>
      <c r="J247" s="38">
        <f>IF(Source!BS67&lt;&gt; 0, Source!BS67, 1)</f>
        <v>30.54</v>
      </c>
      <c r="K247" s="47">
        <f>Source!R67</f>
        <v>57.01</v>
      </c>
      <c r="L247" s="39"/>
      <c r="R247">
        <f>H247</f>
        <v>1.87</v>
      </c>
    </row>
    <row r="248" spans="1:26" ht="14.25" x14ac:dyDescent="0.2">
      <c r="A248" s="53"/>
      <c r="B248" s="53"/>
      <c r="C248" s="53" t="s">
        <v>1139</v>
      </c>
      <c r="D248" s="36"/>
      <c r="E248" s="10"/>
      <c r="F248" s="37">
        <f>Source!AL67</f>
        <v>1675.01</v>
      </c>
      <c r="G248" s="38" t="str">
        <f>Source!DD67</f>
        <v/>
      </c>
      <c r="H248" s="37">
        <f>ROUND(Source!AC67*Source!I67, 2)</f>
        <v>7817.61</v>
      </c>
      <c r="I248" s="38"/>
      <c r="J248" s="38">
        <f>IF(Source!BC67&lt;&gt; 0, Source!BC67, 1)</f>
        <v>8.7100000000000009</v>
      </c>
      <c r="K248" s="37">
        <f>Source!P67</f>
        <v>68091.350000000006</v>
      </c>
      <c r="L248" s="39"/>
    </row>
    <row r="249" spans="1:26" ht="14.25" x14ac:dyDescent="0.2">
      <c r="A249" s="53"/>
      <c r="B249" s="53"/>
      <c r="C249" s="53" t="s">
        <v>1133</v>
      </c>
      <c r="D249" s="36" t="s">
        <v>1134</v>
      </c>
      <c r="E249" s="10">
        <f>Source!BZ67</f>
        <v>93</v>
      </c>
      <c r="F249" s="55"/>
      <c r="G249" s="38"/>
      <c r="H249" s="37">
        <f>SUM(S244:S252)</f>
        <v>220.41</v>
      </c>
      <c r="I249" s="40"/>
      <c r="J249" s="35">
        <f>Source!AT67</f>
        <v>93</v>
      </c>
      <c r="K249" s="37">
        <f>SUM(T244:T252)</f>
        <v>6731.33</v>
      </c>
      <c r="L249" s="39"/>
    </row>
    <row r="250" spans="1:26" ht="14.25" x14ac:dyDescent="0.2">
      <c r="A250" s="53"/>
      <c r="B250" s="53"/>
      <c r="C250" s="53" t="s">
        <v>1135</v>
      </c>
      <c r="D250" s="36" t="s">
        <v>1134</v>
      </c>
      <c r="E250" s="10">
        <f>Source!CA67</f>
        <v>55</v>
      </c>
      <c r="F250" s="55"/>
      <c r="G250" s="38"/>
      <c r="H250" s="37">
        <f>SUM(U244:U252)</f>
        <v>130.35</v>
      </c>
      <c r="I250" s="40"/>
      <c r="J250" s="35">
        <f>Source!AU67</f>
        <v>55</v>
      </c>
      <c r="K250" s="37">
        <f>SUM(V244:V252)</f>
        <v>3980.89</v>
      </c>
      <c r="L250" s="39"/>
    </row>
    <row r="251" spans="1:26" ht="14.25" x14ac:dyDescent="0.2">
      <c r="A251" s="53"/>
      <c r="B251" s="53"/>
      <c r="C251" s="53" t="s">
        <v>1136</v>
      </c>
      <c r="D251" s="36" t="s">
        <v>1137</v>
      </c>
      <c r="E251" s="10">
        <f>Source!AQ67</f>
        <v>4.83</v>
      </c>
      <c r="F251" s="37"/>
      <c r="G251" s="38" t="str">
        <f>Source!DI67</f>
        <v>)*1,15</v>
      </c>
      <c r="H251" s="37"/>
      <c r="I251" s="38"/>
      <c r="J251" s="38"/>
      <c r="K251" s="37"/>
      <c r="L251" s="48">
        <f>Source!U67</f>
        <v>25.923962400000001</v>
      </c>
    </row>
    <row r="252" spans="1:26" ht="42.75" x14ac:dyDescent="0.2">
      <c r="A252" s="54">
        <v>36.1</v>
      </c>
      <c r="B252" s="54" t="str">
        <f>Source!F68</f>
        <v>04.3.02.09-0938</v>
      </c>
      <c r="C252" s="54" t="str">
        <f>Source!G68</f>
        <v>Смеси сухие цементные для антикоррозийной защиты арматуры железобетонных конструкций</v>
      </c>
      <c r="D252" s="41" t="str">
        <f>Source!H68</f>
        <v>кг</v>
      </c>
      <c r="E252" s="42">
        <f>Source!I68</f>
        <v>-129.51480000000001</v>
      </c>
      <c r="F252" s="43">
        <f>Source!AL68+Source!AM68+Source!AO68</f>
        <v>60.36</v>
      </c>
      <c r="G252" s="49" t="s">
        <v>3</v>
      </c>
      <c r="H252" s="43">
        <f>ROUND(Source!AC68*Source!I68, 2)+ROUND((((Source!ET68)-(Source!EU68))+Source!AE68)*Source!I68, 2)+ROUND(Source!AF68*Source!I68, 2)</f>
        <v>-7817.51</v>
      </c>
      <c r="I252" s="44"/>
      <c r="J252" s="44">
        <f>IF(Source!BC68&lt;&gt; 0, Source!BC68, 1)</f>
        <v>8.7100000000000009</v>
      </c>
      <c r="K252" s="43">
        <f>Source!O68</f>
        <v>-68090.539999999994</v>
      </c>
      <c r="L252" s="50"/>
      <c r="S252">
        <f>ROUND((Source!FX68/100)*((ROUND(Source!AF68*Source!I68, 2)+ROUND(Source!AE68*Source!I68, 2))), 2)</f>
        <v>0</v>
      </c>
      <c r="T252">
        <f>Source!X68</f>
        <v>0</v>
      </c>
      <c r="U252">
        <f>ROUND((Source!FY68/100)*((ROUND(Source!AF68*Source!I68, 2)+ROUND(Source!AE68*Source!I68, 2))), 2)</f>
        <v>0</v>
      </c>
      <c r="V252">
        <f>Source!Y68</f>
        <v>0</v>
      </c>
      <c r="W252">
        <f>IF(Source!BI68&lt;=1,H252, 0)</f>
        <v>-7817.51</v>
      </c>
      <c r="X252">
        <f>IF(Source!BI68=2,H252, 0)</f>
        <v>0</v>
      </c>
      <c r="Y252">
        <f>IF(Source!BI68=3,H252, 0)</f>
        <v>0</v>
      </c>
      <c r="Z252">
        <f>IF(Source!BI68=4,H252, 0)</f>
        <v>0</v>
      </c>
    </row>
    <row r="253" spans="1:26" ht="15" x14ac:dyDescent="0.25">
      <c r="G253" s="62">
        <f>H245+H246+H248+H249+H250+SUM(H252:H252)</f>
        <v>596.54999999999927</v>
      </c>
      <c r="H253" s="62"/>
      <c r="J253" s="62">
        <f>K245+K246+K248+K249+K250+SUM(K252:K252)</f>
        <v>18021.910000000018</v>
      </c>
      <c r="K253" s="62"/>
      <c r="L253" s="46">
        <f>Source!U67</f>
        <v>25.923962400000001</v>
      </c>
      <c r="O253" s="30">
        <f>G253</f>
        <v>596.54999999999927</v>
      </c>
      <c r="P253" s="30">
        <f>J253</f>
        <v>18021.910000000018</v>
      </c>
      <c r="Q253" s="30">
        <f>L253</f>
        <v>25.923962400000001</v>
      </c>
      <c r="W253">
        <f>IF(Source!BI67&lt;=1,H245+H246+H248+H249+H250, 0)</f>
        <v>8414.06</v>
      </c>
      <c r="X253">
        <f>IF(Source!BI67=2,H245+H246+H248+H249+H250, 0)</f>
        <v>0</v>
      </c>
      <c r="Y253">
        <f>IF(Source!BI67=3,H245+H246+H248+H249+H250, 0)</f>
        <v>0</v>
      </c>
      <c r="Z253">
        <f>IF(Source!BI67=4,H245+H246+H248+H249+H250, 0)</f>
        <v>0</v>
      </c>
    </row>
    <row r="254" spans="1:26" ht="54" x14ac:dyDescent="0.2">
      <c r="A254" s="54">
        <v>37</v>
      </c>
      <c r="B254" s="54" t="str">
        <f>Source!F69</f>
        <v>Цена Поставщика</v>
      </c>
      <c r="C254" s="54" t="s">
        <v>1140</v>
      </c>
      <c r="D254" s="41" t="str">
        <f>Source!H69</f>
        <v>кг</v>
      </c>
      <c r="E254" s="42">
        <f>Source!I69</f>
        <v>129.51480000000001</v>
      </c>
      <c r="F254" s="43">
        <f>Source!AL69</f>
        <v>34.56</v>
      </c>
      <c r="G254" s="44" t="str">
        <f>Source!DD69</f>
        <v/>
      </c>
      <c r="H254" s="43">
        <f>ROUND(Source!AC69*Source!I69, 2)</f>
        <v>4476.03</v>
      </c>
      <c r="I254" s="44" t="str">
        <f>Source!BO69</f>
        <v/>
      </c>
      <c r="J254" s="44">
        <f>IF(Source!BC69&lt;&gt; 0, Source!BC69, 1)</f>
        <v>8.7100000000000009</v>
      </c>
      <c r="K254" s="43">
        <f>Source!P69</f>
        <v>38986.230000000003</v>
      </c>
      <c r="L254" s="50"/>
      <c r="S254">
        <f>ROUND((Source!FX69/100)*((ROUND(Source!AF69*Source!I69, 2)+ROUND(Source!AE69*Source!I69, 2))), 2)</f>
        <v>0</v>
      </c>
      <c r="T254">
        <f>Source!X69</f>
        <v>0</v>
      </c>
      <c r="U254">
        <f>ROUND((Source!FY69/100)*((ROUND(Source!AF69*Source!I69, 2)+ROUND(Source!AE69*Source!I69, 2))), 2)</f>
        <v>0</v>
      </c>
      <c r="V254">
        <f>Source!Y69</f>
        <v>0</v>
      </c>
    </row>
    <row r="255" spans="1:26" ht="15" x14ac:dyDescent="0.25">
      <c r="G255" s="62">
        <f>H254</f>
        <v>4476.03</v>
      </c>
      <c r="H255" s="62"/>
      <c r="J255" s="62">
        <f>K254</f>
        <v>38986.230000000003</v>
      </c>
      <c r="K255" s="62"/>
      <c r="L255" s="46">
        <f>Source!U69</f>
        <v>0</v>
      </c>
      <c r="O255" s="30">
        <f>G255</f>
        <v>4476.03</v>
      </c>
      <c r="P255" s="30">
        <f>J255</f>
        <v>38986.230000000003</v>
      </c>
      <c r="Q255" s="30">
        <f>L255</f>
        <v>0</v>
      </c>
      <c r="W255">
        <f>IF(Source!BI69&lt;=1,H254, 0)</f>
        <v>4476.03</v>
      </c>
      <c r="X255">
        <f>IF(Source!BI69=2,H254, 0)</f>
        <v>0</v>
      </c>
      <c r="Y255">
        <f>IF(Source!BI69=3,H254, 0)</f>
        <v>0</v>
      </c>
      <c r="Z255">
        <f>IF(Source!BI69=4,H254, 0)</f>
        <v>0</v>
      </c>
    </row>
    <row r="256" spans="1:26" ht="99.75" x14ac:dyDescent="0.2">
      <c r="A256" s="53">
        <v>38</v>
      </c>
      <c r="B256" s="53" t="str">
        <f>Source!F70</f>
        <v>46-08-004-02</v>
      </c>
      <c r="C256" s="53" t="str">
        <f>Source!G70</f>
        <v>Нанесение безусадочных, быстротвердеющих составов тиксотропного типа вручную в один слой, толщина слоя 20 мм, на поверхности бетонных и железобетонных конструкций: вертикальные</v>
      </c>
      <c r="D256" s="36" t="str">
        <f>Source!H70</f>
        <v>100 м2</v>
      </c>
      <c r="E256" s="10">
        <f>Source!I70</f>
        <v>2.3336000000000001</v>
      </c>
      <c r="F256" s="37">
        <f>Source!AL70+Source!AM70+Source!AO70</f>
        <v>496.89</v>
      </c>
      <c r="G256" s="38"/>
      <c r="H256" s="37"/>
      <c r="I256" s="38" t="str">
        <f>Source!BO70</f>
        <v/>
      </c>
      <c r="J256" s="38"/>
      <c r="K256" s="37"/>
      <c r="L256" s="39"/>
      <c r="S256">
        <f>ROUND((Source!FX70/100)*((ROUND(Source!AF70*Source!I70, 2)+ROUND(Source!AE70*Source!I70, 2))), 2)</f>
        <v>1146.1099999999999</v>
      </c>
      <c r="T256">
        <f>Source!X70</f>
        <v>35002.269999999997</v>
      </c>
      <c r="U256">
        <f>ROUND((Source!FY70/100)*((ROUND(Source!AF70*Source!I70, 2)+ROUND(Source!AE70*Source!I70, 2))), 2)</f>
        <v>656.51</v>
      </c>
      <c r="V256">
        <f>Source!Y70</f>
        <v>20049.849999999999</v>
      </c>
    </row>
    <row r="257" spans="1:26" ht="14.25" x14ac:dyDescent="0.2">
      <c r="A257" s="53"/>
      <c r="B257" s="53"/>
      <c r="C257" s="53" t="s">
        <v>1132</v>
      </c>
      <c r="D257" s="36"/>
      <c r="E257" s="10"/>
      <c r="F257" s="37">
        <f>Source!AO70</f>
        <v>397.01</v>
      </c>
      <c r="G257" s="38" t="str">
        <f>Source!DG70</f>
        <v>)*1,15</v>
      </c>
      <c r="H257" s="37">
        <f>ROUND(Source!AF70*Source!I70, 2)</f>
        <v>1065.43</v>
      </c>
      <c r="I257" s="38"/>
      <c r="J257" s="38">
        <f>IF(Source!BA70&lt;&gt; 0, Source!BA70, 1)</f>
        <v>30.54</v>
      </c>
      <c r="K257" s="37">
        <f>Source!S70</f>
        <v>32538.18</v>
      </c>
      <c r="L257" s="39"/>
      <c r="R257">
        <f>H257</f>
        <v>1065.43</v>
      </c>
    </row>
    <row r="258" spans="1:26" ht="14.25" x14ac:dyDescent="0.2">
      <c r="A258" s="53"/>
      <c r="B258" s="53"/>
      <c r="C258" s="53" t="s">
        <v>616</v>
      </c>
      <c r="D258" s="36"/>
      <c r="E258" s="10"/>
      <c r="F258" s="37">
        <f>Source!AM70</f>
        <v>99.88</v>
      </c>
      <c r="G258" s="38" t="str">
        <f>Source!DE70</f>
        <v>)*1,15</v>
      </c>
      <c r="H258" s="37">
        <f>ROUND(((((Source!ET70*1.15))-((Source!EU70*1.15)))+Source!AE70)*Source!I70, 2)</f>
        <v>268.02999999999997</v>
      </c>
      <c r="I258" s="38"/>
      <c r="J258" s="38">
        <f>IF(Source!BB70&lt;&gt; 0, Source!BB70, 1)</f>
        <v>12.13</v>
      </c>
      <c r="K258" s="37">
        <f>Source!Q70</f>
        <v>3251.03</v>
      </c>
      <c r="L258" s="39"/>
    </row>
    <row r="259" spans="1:26" ht="14.25" x14ac:dyDescent="0.2">
      <c r="A259" s="53"/>
      <c r="B259" s="53"/>
      <c r="C259" s="53" t="s">
        <v>1138</v>
      </c>
      <c r="D259" s="36"/>
      <c r="E259" s="10"/>
      <c r="F259" s="37">
        <f>Source!AN70</f>
        <v>17.63</v>
      </c>
      <c r="G259" s="38" t="str">
        <f>Source!DF70</f>
        <v>)*1,15</v>
      </c>
      <c r="H259" s="47">
        <f>ROUND(Source!AE70*Source!I70, 2)</f>
        <v>47.3</v>
      </c>
      <c r="I259" s="38"/>
      <c r="J259" s="38">
        <f>IF(Source!BS70&lt;&gt; 0, Source!BS70, 1)</f>
        <v>30.54</v>
      </c>
      <c r="K259" s="47">
        <f>Source!R70</f>
        <v>1444.61</v>
      </c>
      <c r="L259" s="39"/>
      <c r="R259">
        <f>H259</f>
        <v>47.3</v>
      </c>
    </row>
    <row r="260" spans="1:26" ht="14.25" x14ac:dyDescent="0.2">
      <c r="A260" s="53"/>
      <c r="B260" s="53"/>
      <c r="C260" s="53" t="s">
        <v>1133</v>
      </c>
      <c r="D260" s="36" t="s">
        <v>1134</v>
      </c>
      <c r="E260" s="10">
        <f>Source!BZ70</f>
        <v>103</v>
      </c>
      <c r="F260" s="55"/>
      <c r="G260" s="38"/>
      <c r="H260" s="37">
        <f>SUM(S256:S262)</f>
        <v>1146.1099999999999</v>
      </c>
      <c r="I260" s="40"/>
      <c r="J260" s="35">
        <f>Source!AT70</f>
        <v>103</v>
      </c>
      <c r="K260" s="37">
        <f>SUM(T256:T262)</f>
        <v>35002.269999999997</v>
      </c>
      <c r="L260" s="39"/>
    </row>
    <row r="261" spans="1:26" ht="14.25" x14ac:dyDescent="0.2">
      <c r="A261" s="53"/>
      <c r="B261" s="53"/>
      <c r="C261" s="53" t="s">
        <v>1135</v>
      </c>
      <c r="D261" s="36" t="s">
        <v>1134</v>
      </c>
      <c r="E261" s="10">
        <f>Source!CA70</f>
        <v>59</v>
      </c>
      <c r="F261" s="55"/>
      <c r="G261" s="38"/>
      <c r="H261" s="37">
        <f>SUM(U256:U262)</f>
        <v>656.51</v>
      </c>
      <c r="I261" s="40"/>
      <c r="J261" s="35">
        <f>Source!AU70</f>
        <v>59</v>
      </c>
      <c r="K261" s="37">
        <f>SUM(V256:V262)</f>
        <v>20049.849999999999</v>
      </c>
      <c r="L261" s="39"/>
    </row>
    <row r="262" spans="1:26" ht="14.25" x14ac:dyDescent="0.2">
      <c r="A262" s="54"/>
      <c r="B262" s="54"/>
      <c r="C262" s="54" t="s">
        <v>1136</v>
      </c>
      <c r="D262" s="41" t="s">
        <v>1137</v>
      </c>
      <c r="E262" s="42">
        <f>Source!AQ70</f>
        <v>44.26</v>
      </c>
      <c r="F262" s="43"/>
      <c r="G262" s="44" t="str">
        <f>Source!DI70</f>
        <v>)*1,15</v>
      </c>
      <c r="H262" s="43"/>
      <c r="I262" s="44"/>
      <c r="J262" s="44"/>
      <c r="K262" s="43"/>
      <c r="L262" s="45">
        <f>Source!U70</f>
        <v>118.77790639999999</v>
      </c>
    </row>
    <row r="263" spans="1:26" ht="15" x14ac:dyDescent="0.25">
      <c r="G263" s="62">
        <f>H257+H258+H260+H261</f>
        <v>3136.08</v>
      </c>
      <c r="H263" s="62"/>
      <c r="J263" s="62">
        <f>K257+K258+K260+K261</f>
        <v>90841.329999999987</v>
      </c>
      <c r="K263" s="62"/>
      <c r="L263" s="46">
        <f>Source!U70</f>
        <v>118.77790639999999</v>
      </c>
      <c r="O263" s="30">
        <f>G263</f>
        <v>3136.08</v>
      </c>
      <c r="P263" s="30">
        <f>J263</f>
        <v>90841.329999999987</v>
      </c>
      <c r="Q263" s="30">
        <f>L263</f>
        <v>118.77790639999999</v>
      </c>
      <c r="W263">
        <f>IF(Source!BI70&lt;=1,H257+H258+H260+H261, 0)</f>
        <v>3136.08</v>
      </c>
      <c r="X263">
        <f>IF(Source!BI70=2,H257+H258+H260+H261, 0)</f>
        <v>0</v>
      </c>
      <c r="Y263">
        <f>IF(Source!BI70=3,H257+H258+H260+H261, 0)</f>
        <v>0</v>
      </c>
      <c r="Z263">
        <f>IF(Source!BI70=4,H257+H258+H260+H261, 0)</f>
        <v>0</v>
      </c>
    </row>
    <row r="264" spans="1:26" ht="42.75" x14ac:dyDescent="0.2">
      <c r="A264" s="53">
        <v>39</v>
      </c>
      <c r="B264" s="53" t="str">
        <f>Source!F71</f>
        <v>46-08-004-08</v>
      </c>
      <c r="C264" s="53" t="str">
        <f>Source!G71</f>
        <v>На каждые 5 мм изменения толщины слоя добавлять (уменьшать) к расценкам: 46-08-004-02, 46-08-004-05</v>
      </c>
      <c r="D264" s="36" t="str">
        <f>Source!H71</f>
        <v>100 м2</v>
      </c>
      <c r="E264" s="10">
        <f>Source!I71</f>
        <v>-2.3336000000000001</v>
      </c>
      <c r="F264" s="37">
        <f>Source!AL71+Source!AM71+Source!AO71</f>
        <v>61.03</v>
      </c>
      <c r="G264" s="38"/>
      <c r="H264" s="37"/>
      <c r="I264" s="38" t="str">
        <f>Source!BO71</f>
        <v/>
      </c>
      <c r="J264" s="38"/>
      <c r="K264" s="37"/>
      <c r="L264" s="39"/>
      <c r="S264">
        <f>ROUND((Source!FX71/100)*((ROUND(Source!AF71*Source!I71, 2)+ROUND(Source!AE71*Source!I71, 2))), 2)</f>
        <v>-111.86</v>
      </c>
      <c r="T264">
        <f>Source!X71</f>
        <v>-3416.32</v>
      </c>
      <c r="U264">
        <f>ROUND((Source!FY71/100)*((ROUND(Source!AF71*Source!I71, 2)+ROUND(Source!AE71*Source!I71, 2))), 2)</f>
        <v>-64.069999999999993</v>
      </c>
      <c r="V264">
        <f>Source!Y71</f>
        <v>-1956.92</v>
      </c>
    </row>
    <row r="265" spans="1:26" ht="14.25" x14ac:dyDescent="0.2">
      <c r="A265" s="53"/>
      <c r="B265" s="53"/>
      <c r="C265" s="53" t="s">
        <v>1132</v>
      </c>
      <c r="D265" s="36"/>
      <c r="E265" s="10"/>
      <c r="F265" s="37">
        <f>Source!AO71</f>
        <v>36.06</v>
      </c>
      <c r="G265" s="38" t="str">
        <f>Source!DG71</f>
        <v>)*1,15</v>
      </c>
      <c r="H265" s="37">
        <f>ROUND(Source!AF71*Source!I71, 2)</f>
        <v>-96.77</v>
      </c>
      <c r="I265" s="38"/>
      <c r="J265" s="38">
        <f>IF(Source!BA71&lt;&gt; 0, Source!BA71, 1)</f>
        <v>30.54</v>
      </c>
      <c r="K265" s="37">
        <f>Source!S71</f>
        <v>-2955.49</v>
      </c>
      <c r="L265" s="39"/>
      <c r="R265">
        <f>H265</f>
        <v>-96.77</v>
      </c>
    </row>
    <row r="266" spans="1:26" ht="14.25" x14ac:dyDescent="0.2">
      <c r="A266" s="53"/>
      <c r="B266" s="53"/>
      <c r="C266" s="53" t="s">
        <v>616</v>
      </c>
      <c r="D266" s="36"/>
      <c r="E266" s="10"/>
      <c r="F266" s="37">
        <f>Source!AM71</f>
        <v>24.97</v>
      </c>
      <c r="G266" s="38" t="str">
        <f>Source!DE71</f>
        <v>)*1,15</v>
      </c>
      <c r="H266" s="37">
        <f>ROUND(((((Source!ET71*1.15))-((Source!EU71*1.15)))+Source!AE71)*Source!I71, 2)</f>
        <v>-67.010000000000005</v>
      </c>
      <c r="I266" s="38"/>
      <c r="J266" s="38">
        <f>IF(Source!BB71&lt;&gt; 0, Source!BB71, 1)</f>
        <v>12.13</v>
      </c>
      <c r="K266" s="37">
        <f>Source!Q71</f>
        <v>-812.73</v>
      </c>
      <c r="L266" s="39"/>
    </row>
    <row r="267" spans="1:26" ht="14.25" x14ac:dyDescent="0.2">
      <c r="A267" s="53"/>
      <c r="B267" s="53"/>
      <c r="C267" s="53" t="s">
        <v>1138</v>
      </c>
      <c r="D267" s="36"/>
      <c r="E267" s="10"/>
      <c r="F267" s="37">
        <f>Source!AN71</f>
        <v>4.41</v>
      </c>
      <c r="G267" s="38" t="str">
        <f>Source!DF71</f>
        <v>)*1,15</v>
      </c>
      <c r="H267" s="47">
        <f>ROUND(Source!AE71*Source!I71, 2)</f>
        <v>-11.83</v>
      </c>
      <c r="I267" s="38"/>
      <c r="J267" s="38">
        <f>IF(Source!BS71&lt;&gt; 0, Source!BS71, 1)</f>
        <v>30.54</v>
      </c>
      <c r="K267" s="47">
        <f>Source!R71</f>
        <v>-361.33</v>
      </c>
      <c r="L267" s="39"/>
      <c r="R267">
        <f>H267</f>
        <v>-11.83</v>
      </c>
    </row>
    <row r="268" spans="1:26" ht="14.25" x14ac:dyDescent="0.2">
      <c r="A268" s="53"/>
      <c r="B268" s="53"/>
      <c r="C268" s="53" t="s">
        <v>1133</v>
      </c>
      <c r="D268" s="36" t="s">
        <v>1134</v>
      </c>
      <c r="E268" s="10">
        <f>Source!BZ71</f>
        <v>103</v>
      </c>
      <c r="F268" s="55"/>
      <c r="G268" s="38"/>
      <c r="H268" s="37">
        <f>SUM(S264:S270)</f>
        <v>-111.86</v>
      </c>
      <c r="I268" s="40"/>
      <c r="J268" s="35">
        <f>Source!AT71</f>
        <v>103</v>
      </c>
      <c r="K268" s="37">
        <f>SUM(T264:T270)</f>
        <v>-3416.32</v>
      </c>
      <c r="L268" s="39"/>
    </row>
    <row r="269" spans="1:26" ht="14.25" x14ac:dyDescent="0.2">
      <c r="A269" s="53"/>
      <c r="B269" s="53"/>
      <c r="C269" s="53" t="s">
        <v>1135</v>
      </c>
      <c r="D269" s="36" t="s">
        <v>1134</v>
      </c>
      <c r="E269" s="10">
        <f>Source!CA71</f>
        <v>59</v>
      </c>
      <c r="F269" s="55"/>
      <c r="G269" s="38"/>
      <c r="H269" s="37">
        <f>SUM(U264:U270)</f>
        <v>-64.069999999999993</v>
      </c>
      <c r="I269" s="40"/>
      <c r="J269" s="35">
        <f>Source!AU71</f>
        <v>59</v>
      </c>
      <c r="K269" s="37">
        <f>SUM(V264:V270)</f>
        <v>-1956.92</v>
      </c>
      <c r="L269" s="39"/>
    </row>
    <row r="270" spans="1:26" ht="14.25" x14ac:dyDescent="0.2">
      <c r="A270" s="54"/>
      <c r="B270" s="54"/>
      <c r="C270" s="54" t="s">
        <v>1136</v>
      </c>
      <c r="D270" s="41" t="s">
        <v>1137</v>
      </c>
      <c r="E270" s="42">
        <f>Source!AQ71</f>
        <v>4.0199999999999996</v>
      </c>
      <c r="F270" s="43"/>
      <c r="G270" s="44" t="str">
        <f>Source!DI71</f>
        <v>)*1,15</v>
      </c>
      <c r="H270" s="43"/>
      <c r="I270" s="44"/>
      <c r="J270" s="44"/>
      <c r="K270" s="43"/>
      <c r="L270" s="45">
        <f>Source!U71</f>
        <v>-10.788232799999999</v>
      </c>
    </row>
    <row r="271" spans="1:26" ht="15" x14ac:dyDescent="0.25">
      <c r="G271" s="62">
        <f>H265+H266+H268+H269</f>
        <v>-339.71</v>
      </c>
      <c r="H271" s="62"/>
      <c r="J271" s="62">
        <f>K265+K266+K268+K269</f>
        <v>-9141.4599999999991</v>
      </c>
      <c r="K271" s="62"/>
      <c r="L271" s="46">
        <f>Source!U71</f>
        <v>-10.788232799999999</v>
      </c>
      <c r="O271" s="30">
        <f>G271</f>
        <v>-339.71</v>
      </c>
      <c r="P271" s="30">
        <f>J271</f>
        <v>-9141.4599999999991</v>
      </c>
      <c r="Q271" s="30">
        <f>L271</f>
        <v>-10.788232799999999</v>
      </c>
      <c r="W271">
        <f>IF(Source!BI71&lt;=1,H265+H266+H268+H269, 0)</f>
        <v>-339.71</v>
      </c>
      <c r="X271">
        <f>IF(Source!BI71=2,H265+H266+H268+H269, 0)</f>
        <v>0</v>
      </c>
      <c r="Y271">
        <f>IF(Source!BI71=3,H265+H266+H268+H269, 0)</f>
        <v>0</v>
      </c>
      <c r="Z271">
        <f>IF(Source!BI71=4,H265+H266+H268+H269, 0)</f>
        <v>0</v>
      </c>
    </row>
    <row r="272" spans="1:26" ht="57" x14ac:dyDescent="0.2">
      <c r="A272" s="53">
        <v>40</v>
      </c>
      <c r="B272" s="53" t="str">
        <f>Source!F72</f>
        <v>46-08-003-02</v>
      </c>
      <c r="C272" s="53" t="str">
        <f>Source!G72</f>
        <v>Приготовление безусадочных, быстротвердеющих составов тиксотропного типа однокомпонентных: механизированным способом</v>
      </c>
      <c r="D272" s="36" t="str">
        <f>Source!H72</f>
        <v>м3</v>
      </c>
      <c r="E272" s="10">
        <f>Source!I72</f>
        <v>3.5004</v>
      </c>
      <c r="F272" s="37">
        <f>Source!AL72+Source!AM72+Source!AO72</f>
        <v>89.57</v>
      </c>
      <c r="G272" s="38"/>
      <c r="H272" s="37"/>
      <c r="I272" s="38" t="str">
        <f>Source!BO72</f>
        <v/>
      </c>
      <c r="J272" s="38"/>
      <c r="K272" s="37"/>
      <c r="L272" s="39"/>
      <c r="S272">
        <f>ROUND((Source!FX72/100)*((ROUND(Source!AF72*Source!I72, 2)+ROUND(Source!AE72*Source!I72, 2))), 2)</f>
        <v>238.82</v>
      </c>
      <c r="T272">
        <f>Source!X72</f>
        <v>7293.49</v>
      </c>
      <c r="U272">
        <f>ROUND((Source!FY72/100)*((ROUND(Source!AF72*Source!I72, 2)+ROUND(Source!AE72*Source!I72, 2))), 2)</f>
        <v>111.23</v>
      </c>
      <c r="V272">
        <f>Source!Y72</f>
        <v>3396.97</v>
      </c>
    </row>
    <row r="273" spans="1:26" ht="14.25" x14ac:dyDescent="0.2">
      <c r="A273" s="53"/>
      <c r="B273" s="53"/>
      <c r="C273" s="53" t="s">
        <v>1132</v>
      </c>
      <c r="D273" s="36"/>
      <c r="E273" s="10"/>
      <c r="F273" s="37">
        <f>Source!AO72</f>
        <v>45.46</v>
      </c>
      <c r="G273" s="38" t="str">
        <f>Source!DG72</f>
        <v>)*1,15</v>
      </c>
      <c r="H273" s="37">
        <f>ROUND(Source!AF72*Source!I72, 2)</f>
        <v>183</v>
      </c>
      <c r="I273" s="38"/>
      <c r="J273" s="38">
        <f>IF(Source!BA72&lt;&gt; 0, Source!BA72, 1)</f>
        <v>30.54</v>
      </c>
      <c r="K273" s="37">
        <f>Source!S72</f>
        <v>5588.85</v>
      </c>
      <c r="L273" s="39"/>
      <c r="R273">
        <f>H273</f>
        <v>183</v>
      </c>
    </row>
    <row r="274" spans="1:26" ht="14.25" x14ac:dyDescent="0.2">
      <c r="A274" s="53"/>
      <c r="B274" s="53"/>
      <c r="C274" s="53" t="s">
        <v>616</v>
      </c>
      <c r="D274" s="36"/>
      <c r="E274" s="10"/>
      <c r="F274" s="37">
        <f>Source!AM72</f>
        <v>44.11</v>
      </c>
      <c r="G274" s="38" t="str">
        <f>Source!DE72</f>
        <v>)*1,15</v>
      </c>
      <c r="H274" s="37">
        <f>ROUND(((((Source!ET72*1.15))-((Source!EU72*1.15)))+Source!AE72)*Source!I72, 2)</f>
        <v>177.56</v>
      </c>
      <c r="I274" s="38"/>
      <c r="J274" s="38">
        <f>IF(Source!BB72&lt;&gt; 0, Source!BB72, 1)</f>
        <v>12.13</v>
      </c>
      <c r="K274" s="37">
        <f>Source!Q72</f>
        <v>2153.6799999999998</v>
      </c>
      <c r="L274" s="39"/>
    </row>
    <row r="275" spans="1:26" ht="14.25" x14ac:dyDescent="0.2">
      <c r="A275" s="53"/>
      <c r="B275" s="53"/>
      <c r="C275" s="53" t="s">
        <v>1138</v>
      </c>
      <c r="D275" s="36"/>
      <c r="E275" s="10"/>
      <c r="F275" s="37">
        <f>Source!AN72</f>
        <v>35.81</v>
      </c>
      <c r="G275" s="38" t="str">
        <f>Source!DF72</f>
        <v>)*1,15</v>
      </c>
      <c r="H275" s="47">
        <f>ROUND(Source!AE72*Source!I72, 2)</f>
        <v>144.15</v>
      </c>
      <c r="I275" s="38"/>
      <c r="J275" s="38">
        <f>IF(Source!BS72&lt;&gt; 0, Source!BS72, 1)</f>
        <v>30.54</v>
      </c>
      <c r="K275" s="47">
        <f>Source!R72</f>
        <v>4402.2299999999996</v>
      </c>
      <c r="L275" s="39"/>
      <c r="R275">
        <f>H275</f>
        <v>144.15</v>
      </c>
    </row>
    <row r="276" spans="1:26" ht="14.25" x14ac:dyDescent="0.2">
      <c r="A276" s="53"/>
      <c r="B276" s="53"/>
      <c r="C276" s="53" t="s">
        <v>1133</v>
      </c>
      <c r="D276" s="36" t="s">
        <v>1134</v>
      </c>
      <c r="E276" s="10">
        <f>Source!BZ72</f>
        <v>73</v>
      </c>
      <c r="F276" s="55"/>
      <c r="G276" s="38"/>
      <c r="H276" s="37">
        <f>SUM(S272:S278)</f>
        <v>238.82</v>
      </c>
      <c r="I276" s="40"/>
      <c r="J276" s="35">
        <f>Source!AT72</f>
        <v>73</v>
      </c>
      <c r="K276" s="37">
        <f>SUM(T272:T278)</f>
        <v>7293.49</v>
      </c>
      <c r="L276" s="39"/>
    </row>
    <row r="277" spans="1:26" ht="14.25" x14ac:dyDescent="0.2">
      <c r="A277" s="53"/>
      <c r="B277" s="53"/>
      <c r="C277" s="53" t="s">
        <v>1135</v>
      </c>
      <c r="D277" s="36" t="s">
        <v>1134</v>
      </c>
      <c r="E277" s="10">
        <f>Source!CA72</f>
        <v>34</v>
      </c>
      <c r="F277" s="55"/>
      <c r="G277" s="38"/>
      <c r="H277" s="37">
        <f>SUM(U272:U278)</f>
        <v>111.23</v>
      </c>
      <c r="I277" s="40"/>
      <c r="J277" s="35">
        <f>Source!AU72</f>
        <v>34</v>
      </c>
      <c r="K277" s="37">
        <f>SUM(V272:V278)</f>
        <v>3396.97</v>
      </c>
      <c r="L277" s="39"/>
    </row>
    <row r="278" spans="1:26" ht="14.25" x14ac:dyDescent="0.2">
      <c r="A278" s="54"/>
      <c r="B278" s="54"/>
      <c r="C278" s="54" t="s">
        <v>1136</v>
      </c>
      <c r="D278" s="41" t="s">
        <v>1137</v>
      </c>
      <c r="E278" s="42">
        <f>Source!AQ72</f>
        <v>5.33</v>
      </c>
      <c r="F278" s="43"/>
      <c r="G278" s="44" t="str">
        <f>Source!DI72</f>
        <v>)*1,15</v>
      </c>
      <c r="H278" s="43"/>
      <c r="I278" s="44"/>
      <c r="J278" s="44"/>
      <c r="K278" s="43"/>
      <c r="L278" s="45">
        <f>Source!U72</f>
        <v>21.455701799999996</v>
      </c>
    </row>
    <row r="279" spans="1:26" ht="15" x14ac:dyDescent="0.25">
      <c r="G279" s="62">
        <f>H273+H274+H276+H277</f>
        <v>710.61</v>
      </c>
      <c r="H279" s="62"/>
      <c r="J279" s="62">
        <f>K273+K274+K276+K277</f>
        <v>18432.990000000002</v>
      </c>
      <c r="K279" s="62"/>
      <c r="L279" s="46">
        <f>Source!U72</f>
        <v>21.455701799999996</v>
      </c>
      <c r="O279" s="30">
        <f>G279</f>
        <v>710.61</v>
      </c>
      <c r="P279" s="30">
        <f>J279</f>
        <v>18432.990000000002</v>
      </c>
      <c r="Q279" s="30">
        <f>L279</f>
        <v>21.455701799999996</v>
      </c>
      <c r="W279">
        <f>IF(Source!BI72&lt;=1,H273+H274+H276+H277, 0)</f>
        <v>710.61</v>
      </c>
      <c r="X279">
        <f>IF(Source!BI72=2,H273+H274+H276+H277, 0)</f>
        <v>0</v>
      </c>
      <c r="Y279">
        <f>IF(Source!BI72=3,H273+H274+H276+H277, 0)</f>
        <v>0</v>
      </c>
      <c r="Z279">
        <f>IF(Source!BI72=4,H273+H274+H276+H277, 0)</f>
        <v>0</v>
      </c>
    </row>
    <row r="280" spans="1:26" ht="42.75" x14ac:dyDescent="0.2">
      <c r="A280" s="54">
        <v>41</v>
      </c>
      <c r="B280" s="54" t="str">
        <f>Source!F73</f>
        <v>Цена Поставщика</v>
      </c>
      <c r="C280" s="54" t="s">
        <v>1155</v>
      </c>
      <c r="D280" s="41" t="str">
        <f>Source!H73</f>
        <v>кг</v>
      </c>
      <c r="E280" s="42">
        <f>Source!I73</f>
        <v>7000.8</v>
      </c>
      <c r="F280" s="43">
        <f>Source!AL73</f>
        <v>3.79</v>
      </c>
      <c r="G280" s="44" t="str">
        <f>Source!DD73</f>
        <v/>
      </c>
      <c r="H280" s="43">
        <f>ROUND(Source!AC73*Source!I73, 2)</f>
        <v>26533.03</v>
      </c>
      <c r="I280" s="44" t="str">
        <f>Source!BO73</f>
        <v/>
      </c>
      <c r="J280" s="44">
        <f>IF(Source!BC73&lt;&gt; 0, Source!BC73, 1)</f>
        <v>8.7100000000000009</v>
      </c>
      <c r="K280" s="43">
        <f>Source!P73</f>
        <v>231102.71</v>
      </c>
      <c r="L280" s="50"/>
      <c r="S280">
        <f>ROUND((Source!FX73/100)*((ROUND(Source!AF73*Source!I73, 2)+ROUND(Source!AE73*Source!I73, 2))), 2)</f>
        <v>0</v>
      </c>
      <c r="T280">
        <f>Source!X73</f>
        <v>0</v>
      </c>
      <c r="U280">
        <f>ROUND((Source!FY73/100)*((ROUND(Source!AF73*Source!I73, 2)+ROUND(Source!AE73*Source!I73, 2))), 2)</f>
        <v>0</v>
      </c>
      <c r="V280">
        <f>Source!Y73</f>
        <v>0</v>
      </c>
    </row>
    <row r="281" spans="1:26" ht="15" x14ac:dyDescent="0.25">
      <c r="G281" s="62">
        <f>H280</f>
        <v>26533.03</v>
      </c>
      <c r="H281" s="62"/>
      <c r="J281" s="62">
        <f>K280</f>
        <v>231102.71</v>
      </c>
      <c r="K281" s="62"/>
      <c r="L281" s="46">
        <f>Source!U73</f>
        <v>0</v>
      </c>
      <c r="O281" s="30">
        <f>G281</f>
        <v>26533.03</v>
      </c>
      <c r="P281" s="30">
        <f>J281</f>
        <v>231102.71</v>
      </c>
      <c r="Q281" s="30">
        <f>L281</f>
        <v>0</v>
      </c>
      <c r="W281">
        <f>IF(Source!BI73&lt;=1,H280, 0)</f>
        <v>26533.03</v>
      </c>
      <c r="X281">
        <f>IF(Source!BI73=2,H280, 0)</f>
        <v>0</v>
      </c>
      <c r="Y281">
        <f>IF(Source!BI73=3,H280, 0)</f>
        <v>0</v>
      </c>
      <c r="Z281">
        <f>IF(Source!BI73=4,H280, 0)</f>
        <v>0</v>
      </c>
    </row>
    <row r="282" spans="1:26" ht="42.75" x14ac:dyDescent="0.2">
      <c r="A282" s="53">
        <v>42</v>
      </c>
      <c r="B282" s="53" t="str">
        <f>Source!F74</f>
        <v>09-05-007-03</v>
      </c>
      <c r="C282" s="53" t="str">
        <f>Source!G74</f>
        <v>Срезка арматуры 16мм // Вырезка отверстий в металлоконструкциях при толщине стали: от 10 до 20 мм</v>
      </c>
      <c r="D282" s="36" t="str">
        <f>Source!H74</f>
        <v>100 м</v>
      </c>
      <c r="E282" s="10">
        <f>Source!I74</f>
        <v>1.6000000000000001E-4</v>
      </c>
      <c r="F282" s="37">
        <f>Source!AL74+Source!AM74+Source!AO74</f>
        <v>588.96</v>
      </c>
      <c r="G282" s="38"/>
      <c r="H282" s="37"/>
      <c r="I282" s="38" t="str">
        <f>Source!BO74</f>
        <v/>
      </c>
      <c r="J282" s="38"/>
      <c r="K282" s="37"/>
      <c r="L282" s="39"/>
      <c r="S282">
        <f>ROUND((Source!FX74/100)*((ROUND(Source!AF74*Source!I74, 2)+ROUND(Source!AE74*Source!I74, 2))), 2)</f>
        <v>0.06</v>
      </c>
      <c r="T282">
        <f>Source!X74</f>
        <v>1.57</v>
      </c>
      <c r="U282">
        <f>ROUND((Source!FY74/100)*((ROUND(Source!AF74*Source!I74, 2)+ROUND(Source!AE74*Source!I74, 2))), 2)</f>
        <v>0.04</v>
      </c>
      <c r="V282">
        <f>Source!Y74</f>
        <v>1.05</v>
      </c>
    </row>
    <row r="283" spans="1:26" ht="14.25" x14ac:dyDescent="0.2">
      <c r="A283" s="53"/>
      <c r="B283" s="53"/>
      <c r="C283" s="53" t="s">
        <v>1132</v>
      </c>
      <c r="D283" s="36"/>
      <c r="E283" s="10"/>
      <c r="F283" s="37">
        <f>Source!AO74</f>
        <v>301.3</v>
      </c>
      <c r="G283" s="38" t="str">
        <f>Source!DG74</f>
        <v>)*1,15</v>
      </c>
      <c r="H283" s="37">
        <f>ROUND(Source!AF74*Source!I74, 2)</f>
        <v>0.06</v>
      </c>
      <c r="I283" s="38"/>
      <c r="J283" s="38">
        <f>IF(Source!BA74&lt;&gt; 0, Source!BA74, 1)</f>
        <v>30.54</v>
      </c>
      <c r="K283" s="37">
        <f>Source!S74</f>
        <v>1.69</v>
      </c>
      <c r="L283" s="39"/>
      <c r="R283">
        <f>H283</f>
        <v>0.06</v>
      </c>
    </row>
    <row r="284" spans="1:26" ht="14.25" x14ac:dyDescent="0.2">
      <c r="A284" s="53"/>
      <c r="B284" s="53"/>
      <c r="C284" s="53" t="s">
        <v>616</v>
      </c>
      <c r="D284" s="36"/>
      <c r="E284" s="10"/>
      <c r="F284" s="37">
        <f>Source!AM74</f>
        <v>7.12</v>
      </c>
      <c r="G284" s="38" t="str">
        <f>Source!DE74</f>
        <v>)*1,15</v>
      </c>
      <c r="H284" s="37">
        <f>ROUND(((((Source!ET74*1.15))-((Source!EU74*1.15)))+Source!AE74)*Source!I74, 2)</f>
        <v>0</v>
      </c>
      <c r="I284" s="38"/>
      <c r="J284" s="38">
        <f>IF(Source!BB74&lt;&gt; 0, Source!BB74, 1)</f>
        <v>12.13</v>
      </c>
      <c r="K284" s="37">
        <f>Source!Q74</f>
        <v>0.02</v>
      </c>
      <c r="L284" s="39"/>
    </row>
    <row r="285" spans="1:26" ht="14.25" x14ac:dyDescent="0.2">
      <c r="A285" s="53"/>
      <c r="B285" s="53"/>
      <c r="C285" s="53" t="s">
        <v>1139</v>
      </c>
      <c r="D285" s="36"/>
      <c r="E285" s="10"/>
      <c r="F285" s="37">
        <f>Source!AL74</f>
        <v>280.54000000000002</v>
      </c>
      <c r="G285" s="38" t="str">
        <f>Source!DD74</f>
        <v/>
      </c>
      <c r="H285" s="37">
        <f>ROUND(Source!AC74*Source!I74, 2)</f>
        <v>0.04</v>
      </c>
      <c r="I285" s="38"/>
      <c r="J285" s="38">
        <f>IF(Source!BC74&lt;&gt; 0, Source!BC74, 1)</f>
        <v>8.7100000000000009</v>
      </c>
      <c r="K285" s="37">
        <f>Source!P74</f>
        <v>0.39</v>
      </c>
      <c r="L285" s="39"/>
    </row>
    <row r="286" spans="1:26" ht="14.25" x14ac:dyDescent="0.2">
      <c r="A286" s="53"/>
      <c r="B286" s="53"/>
      <c r="C286" s="53" t="s">
        <v>1133</v>
      </c>
      <c r="D286" s="36" t="s">
        <v>1134</v>
      </c>
      <c r="E286" s="10">
        <f>Source!BZ74</f>
        <v>93</v>
      </c>
      <c r="F286" s="55"/>
      <c r="G286" s="38"/>
      <c r="H286" s="37">
        <f>SUM(S282:S288)</f>
        <v>0.06</v>
      </c>
      <c r="I286" s="40"/>
      <c r="J286" s="35">
        <f>Source!AT74</f>
        <v>93</v>
      </c>
      <c r="K286" s="37">
        <f>SUM(T282:T288)</f>
        <v>1.57</v>
      </c>
      <c r="L286" s="39"/>
    </row>
    <row r="287" spans="1:26" ht="14.25" x14ac:dyDescent="0.2">
      <c r="A287" s="53"/>
      <c r="B287" s="53"/>
      <c r="C287" s="53" t="s">
        <v>1135</v>
      </c>
      <c r="D287" s="36" t="s">
        <v>1134</v>
      </c>
      <c r="E287" s="10">
        <f>Source!CA74</f>
        <v>62</v>
      </c>
      <c r="F287" s="55"/>
      <c r="G287" s="38"/>
      <c r="H287" s="37">
        <f>SUM(U282:U288)</f>
        <v>0.04</v>
      </c>
      <c r="I287" s="40"/>
      <c r="J287" s="35">
        <f>Source!AU74</f>
        <v>62</v>
      </c>
      <c r="K287" s="37">
        <f>SUM(V282:V288)</f>
        <v>1.05</v>
      </c>
      <c r="L287" s="39"/>
    </row>
    <row r="288" spans="1:26" ht="14.25" x14ac:dyDescent="0.2">
      <c r="A288" s="54"/>
      <c r="B288" s="54"/>
      <c r="C288" s="54" t="s">
        <v>1136</v>
      </c>
      <c r="D288" s="41" t="s">
        <v>1137</v>
      </c>
      <c r="E288" s="42">
        <f>Source!AQ74</f>
        <v>31.32</v>
      </c>
      <c r="F288" s="43"/>
      <c r="G288" s="44" t="str">
        <f>Source!DI74</f>
        <v>)*1,15</v>
      </c>
      <c r="H288" s="43"/>
      <c r="I288" s="44"/>
      <c r="J288" s="44"/>
      <c r="K288" s="43"/>
      <c r="L288" s="45">
        <f>Source!U74</f>
        <v>5.7628800000000006E-3</v>
      </c>
    </row>
    <row r="289" spans="1:26" ht="15" x14ac:dyDescent="0.25">
      <c r="G289" s="62">
        <f>H283+H284+H285+H286+H287</f>
        <v>0.2</v>
      </c>
      <c r="H289" s="62"/>
      <c r="J289" s="62">
        <f>K283+K284+K285+K286+K287</f>
        <v>4.72</v>
      </c>
      <c r="K289" s="62"/>
      <c r="L289" s="46">
        <f>Source!U74</f>
        <v>5.7628800000000006E-3</v>
      </c>
      <c r="O289" s="30">
        <f>G289</f>
        <v>0.2</v>
      </c>
      <c r="P289" s="30">
        <f>J289</f>
        <v>4.72</v>
      </c>
      <c r="Q289" s="30">
        <f>L289</f>
        <v>5.7628800000000006E-3</v>
      </c>
      <c r="W289">
        <f>IF(Source!BI74&lt;=1,H283+H284+H285+H286+H287, 0)</f>
        <v>0.2</v>
      </c>
      <c r="X289">
        <f>IF(Source!BI74=2,H283+H284+H285+H286+H287, 0)</f>
        <v>0</v>
      </c>
      <c r="Y289">
        <f>IF(Source!BI74=3,H283+H284+H285+H286+H287, 0)</f>
        <v>0</v>
      </c>
      <c r="Z289">
        <f>IF(Source!BI74=4,H283+H284+H285+H286+H287, 0)</f>
        <v>0</v>
      </c>
    </row>
    <row r="290" spans="1:26" ht="57" x14ac:dyDescent="0.2">
      <c r="A290" s="53">
        <v>43</v>
      </c>
      <c r="B290" s="53" t="str">
        <f>Source!F75</f>
        <v>46-08-012-04</v>
      </c>
      <c r="C290" s="53" t="str">
        <f>Source!G75</f>
        <v>Установка анкеров в отверстия глубиной 100 мм с применением составов на цементно-эпоксидной основе, диаметр анкера: 16 мм</v>
      </c>
      <c r="D290" s="36" t="str">
        <f>Source!H75</f>
        <v>100 ШТ</v>
      </c>
      <c r="E290" s="10">
        <f>Source!I75</f>
        <v>0.02</v>
      </c>
      <c r="F290" s="37">
        <f>Source!AL75+Source!AM75+Source!AO75</f>
        <v>109.38</v>
      </c>
      <c r="G290" s="38"/>
      <c r="H290" s="37"/>
      <c r="I290" s="38" t="str">
        <f>Source!BO75</f>
        <v/>
      </c>
      <c r="J290" s="38"/>
      <c r="K290" s="37"/>
      <c r="L290" s="39"/>
      <c r="S290">
        <f>ROUND((Source!FX75/100)*((ROUND(Source!AF75*Source!I75, 2)+ROUND(Source!AE75*Source!I75, 2))), 2)</f>
        <v>2.2799999999999998</v>
      </c>
      <c r="T290">
        <f>Source!X75</f>
        <v>69.489999999999995</v>
      </c>
      <c r="U290">
        <f>ROUND((Source!FY75/100)*((ROUND(Source!AF75*Source!I75, 2)+ROUND(Source!AE75*Source!I75, 2))), 2)</f>
        <v>1.3</v>
      </c>
      <c r="V290">
        <f>Source!Y75</f>
        <v>39.81</v>
      </c>
    </row>
    <row r="291" spans="1:26" x14ac:dyDescent="0.2">
      <c r="C291" s="31" t="str">
        <f>"Объем: "&amp;Source!I75&amp;"=2/"&amp;"100"</f>
        <v>Объем: 0,02=2/100</v>
      </c>
    </row>
    <row r="292" spans="1:26" ht="14.25" x14ac:dyDescent="0.2">
      <c r="A292" s="53"/>
      <c r="B292" s="53"/>
      <c r="C292" s="53" t="s">
        <v>1132</v>
      </c>
      <c r="D292" s="36"/>
      <c r="E292" s="10"/>
      <c r="F292" s="37">
        <f>Source!AO75</f>
        <v>96.05</v>
      </c>
      <c r="G292" s="38" t="str">
        <f>Source!DG75</f>
        <v>)*1,15</v>
      </c>
      <c r="H292" s="37">
        <f>ROUND(Source!AF75*Source!I75, 2)</f>
        <v>2.21</v>
      </c>
      <c r="I292" s="38"/>
      <c r="J292" s="38">
        <f>IF(Source!BA75&lt;&gt; 0, Source!BA75, 1)</f>
        <v>30.54</v>
      </c>
      <c r="K292" s="37">
        <f>Source!S75</f>
        <v>67.47</v>
      </c>
      <c r="L292" s="39"/>
      <c r="R292">
        <f>H292</f>
        <v>2.21</v>
      </c>
    </row>
    <row r="293" spans="1:26" ht="14.25" x14ac:dyDescent="0.2">
      <c r="A293" s="53"/>
      <c r="B293" s="53"/>
      <c r="C293" s="53" t="s">
        <v>616</v>
      </c>
      <c r="D293" s="36"/>
      <c r="E293" s="10"/>
      <c r="F293" s="37">
        <f>Source!AM75</f>
        <v>13.33</v>
      </c>
      <c r="G293" s="38" t="str">
        <f>Source!DE75</f>
        <v>)*1,15</v>
      </c>
      <c r="H293" s="37">
        <f>ROUND(((((Source!ET75*1.15))-((Source!EU75*1.15)))+Source!AE75)*Source!I75, 2)</f>
        <v>0.31</v>
      </c>
      <c r="I293" s="38"/>
      <c r="J293" s="38">
        <f>IF(Source!BB75&lt;&gt; 0, Source!BB75, 1)</f>
        <v>12.13</v>
      </c>
      <c r="K293" s="37">
        <f>Source!Q75</f>
        <v>3.72</v>
      </c>
      <c r="L293" s="39"/>
    </row>
    <row r="294" spans="1:26" ht="14.25" x14ac:dyDescent="0.2">
      <c r="A294" s="53"/>
      <c r="B294" s="53"/>
      <c r="C294" s="53" t="s">
        <v>1133</v>
      </c>
      <c r="D294" s="36" t="s">
        <v>1134</v>
      </c>
      <c r="E294" s="10">
        <f>Source!BZ75</f>
        <v>103</v>
      </c>
      <c r="F294" s="55"/>
      <c r="G294" s="38"/>
      <c r="H294" s="37">
        <f>SUM(S290:S297)</f>
        <v>2.2799999999999998</v>
      </c>
      <c r="I294" s="40"/>
      <c r="J294" s="35">
        <f>Source!AT75</f>
        <v>103</v>
      </c>
      <c r="K294" s="37">
        <f>SUM(T290:T297)</f>
        <v>69.489999999999995</v>
      </c>
      <c r="L294" s="39"/>
    </row>
    <row r="295" spans="1:26" ht="14.25" x14ac:dyDescent="0.2">
      <c r="A295" s="53"/>
      <c r="B295" s="53"/>
      <c r="C295" s="53" t="s">
        <v>1135</v>
      </c>
      <c r="D295" s="36" t="s">
        <v>1134</v>
      </c>
      <c r="E295" s="10">
        <f>Source!CA75</f>
        <v>59</v>
      </c>
      <c r="F295" s="55"/>
      <c r="G295" s="38"/>
      <c r="H295" s="37">
        <f>SUM(U290:U297)</f>
        <v>1.3</v>
      </c>
      <c r="I295" s="40"/>
      <c r="J295" s="35">
        <f>Source!AU75</f>
        <v>59</v>
      </c>
      <c r="K295" s="37">
        <f>SUM(V290:V297)</f>
        <v>39.81</v>
      </c>
      <c r="L295" s="39"/>
    </row>
    <row r="296" spans="1:26" ht="14.25" x14ac:dyDescent="0.2">
      <c r="A296" s="53"/>
      <c r="B296" s="53"/>
      <c r="C296" s="53" t="s">
        <v>1136</v>
      </c>
      <c r="D296" s="36" t="s">
        <v>1137</v>
      </c>
      <c r="E296" s="10">
        <f>Source!AQ75</f>
        <v>11.26</v>
      </c>
      <c r="F296" s="37"/>
      <c r="G296" s="38" t="str">
        <f>Source!DI75</f>
        <v>)*1,15</v>
      </c>
      <c r="H296" s="37"/>
      <c r="I296" s="38"/>
      <c r="J296" s="38"/>
      <c r="K296" s="37"/>
      <c r="L296" s="48">
        <f>Source!U75</f>
        <v>0.25897999999999999</v>
      </c>
    </row>
    <row r="297" spans="1:26" ht="42.75" x14ac:dyDescent="0.2">
      <c r="A297" s="54">
        <v>43.1</v>
      </c>
      <c r="B297" s="54" t="str">
        <f>Source!F76</f>
        <v>01.7.03.04-0001-4</v>
      </c>
      <c r="C297" s="54" t="str">
        <f>Source!G76</f>
        <v>Затраты на электроэнергию, потребляемую ручным инструментом ( 2 % от ОЗП)</v>
      </c>
      <c r="D297" s="41" t="str">
        <f>Source!H76</f>
        <v>РУБ</v>
      </c>
      <c r="E297" s="42">
        <f>Source!I76</f>
        <v>3.8399999999999997E-2</v>
      </c>
      <c r="F297" s="43">
        <f>Source!AL76+Source!AM76+Source!AO76</f>
        <v>1</v>
      </c>
      <c r="G297" s="49" t="s">
        <v>3</v>
      </c>
      <c r="H297" s="43">
        <f>ROUND(Source!AC76*Source!I76, 2)+ROUND((((Source!ET76)-(Source!EU76))+Source!AE76)*Source!I76, 2)+ROUND(Source!AF76*Source!I76, 2)</f>
        <v>0.04</v>
      </c>
      <c r="I297" s="44"/>
      <c r="J297" s="44">
        <f>IF(Source!BC76&lt;&gt; 0, Source!BC76, 1)</f>
        <v>8.7100000000000009</v>
      </c>
      <c r="K297" s="43">
        <f>Source!O76</f>
        <v>0.33</v>
      </c>
      <c r="L297" s="50"/>
      <c r="S297">
        <f>ROUND((Source!FX76/100)*((ROUND(Source!AF76*Source!I76, 2)+ROUND(Source!AE76*Source!I76, 2))), 2)</f>
        <v>0</v>
      </c>
      <c r="T297">
        <f>Source!X76</f>
        <v>0</v>
      </c>
      <c r="U297">
        <f>ROUND((Source!FY76/100)*((ROUND(Source!AF76*Source!I76, 2)+ROUND(Source!AE76*Source!I76, 2))), 2)</f>
        <v>0</v>
      </c>
      <c r="V297">
        <f>Source!Y76</f>
        <v>0</v>
      </c>
      <c r="W297">
        <f>IF(Source!BI76&lt;=1,H297, 0)</f>
        <v>0.04</v>
      </c>
      <c r="X297">
        <f>IF(Source!BI76=2,H297, 0)</f>
        <v>0</v>
      </c>
      <c r="Y297">
        <f>IF(Source!BI76=3,H297, 0)</f>
        <v>0</v>
      </c>
      <c r="Z297">
        <f>IF(Source!BI76=4,H297, 0)</f>
        <v>0</v>
      </c>
    </row>
    <row r="298" spans="1:26" ht="15" x14ac:dyDescent="0.25">
      <c r="G298" s="62">
        <f>H292+H293+H294+H295+SUM(H297:H297)</f>
        <v>6.14</v>
      </c>
      <c r="H298" s="62"/>
      <c r="J298" s="62">
        <f>K292+K293+K294+K295+SUM(K297:K297)</f>
        <v>180.82000000000002</v>
      </c>
      <c r="K298" s="62"/>
      <c r="L298" s="46">
        <f>Source!U75</f>
        <v>0.25897999999999999</v>
      </c>
      <c r="O298" s="30">
        <f>G298</f>
        <v>6.14</v>
      </c>
      <c r="P298" s="30">
        <f>J298</f>
        <v>180.82000000000002</v>
      </c>
      <c r="Q298" s="30">
        <f>L298</f>
        <v>0.25897999999999999</v>
      </c>
      <c r="W298">
        <f>IF(Source!BI75&lt;=1,H292+H293+H294+H295, 0)</f>
        <v>6.1</v>
      </c>
      <c r="X298">
        <f>IF(Source!BI75=2,H292+H293+H294+H295, 0)</f>
        <v>0</v>
      </c>
      <c r="Y298">
        <f>IF(Source!BI75=3,H292+H293+H294+H295, 0)</f>
        <v>0</v>
      </c>
      <c r="Z298">
        <f>IF(Source!BI75=4,H292+H293+H294+H295, 0)</f>
        <v>0</v>
      </c>
    </row>
    <row r="299" spans="1:26" ht="42.75" x14ac:dyDescent="0.2">
      <c r="A299" s="54">
        <v>44</v>
      </c>
      <c r="B299" s="54" t="str">
        <f>Source!F77</f>
        <v>Цена Поставщика</v>
      </c>
      <c r="C299" s="54" t="s">
        <v>1156</v>
      </c>
      <c r="D299" s="41" t="str">
        <f>Source!H77</f>
        <v>т</v>
      </c>
      <c r="E299" s="42">
        <f>Source!I77</f>
        <v>3.5599999999999998E-3</v>
      </c>
      <c r="F299" s="43">
        <f>Source!AL77</f>
        <v>6660.46</v>
      </c>
      <c r="G299" s="44" t="str">
        <f>Source!DD77</f>
        <v/>
      </c>
      <c r="H299" s="43">
        <f>ROUND(Source!AC77*Source!I77, 2)</f>
        <v>23.71</v>
      </c>
      <c r="I299" s="44" t="str">
        <f>Source!BO77</f>
        <v/>
      </c>
      <c r="J299" s="44">
        <f>IF(Source!BC77&lt;&gt; 0, Source!BC77, 1)</f>
        <v>8.7100000000000009</v>
      </c>
      <c r="K299" s="43">
        <f>Source!P77</f>
        <v>206.52</v>
      </c>
      <c r="L299" s="50"/>
      <c r="S299">
        <f>ROUND((Source!FX77/100)*((ROUND(Source!AF77*Source!I77, 2)+ROUND(Source!AE77*Source!I77, 2))), 2)</f>
        <v>0</v>
      </c>
      <c r="T299">
        <f>Source!X77</f>
        <v>0</v>
      </c>
      <c r="U299">
        <f>ROUND((Source!FY77/100)*((ROUND(Source!AF77*Source!I77, 2)+ROUND(Source!AE77*Source!I77, 2))), 2)</f>
        <v>0</v>
      </c>
      <c r="V299">
        <f>Source!Y77</f>
        <v>0</v>
      </c>
    </row>
    <row r="300" spans="1:26" ht="15" x14ac:dyDescent="0.25">
      <c r="G300" s="62">
        <f>H299</f>
        <v>23.71</v>
      </c>
      <c r="H300" s="62"/>
      <c r="J300" s="62">
        <f>K299</f>
        <v>206.52</v>
      </c>
      <c r="K300" s="62"/>
      <c r="L300" s="46">
        <f>Source!U77</f>
        <v>0</v>
      </c>
      <c r="O300" s="30">
        <f>G300</f>
        <v>23.71</v>
      </c>
      <c r="P300" s="30">
        <f>J300</f>
        <v>206.52</v>
      </c>
      <c r="Q300" s="30">
        <f>L300</f>
        <v>0</v>
      </c>
      <c r="W300">
        <f>IF(Source!BI77&lt;=1,H299, 0)</f>
        <v>23.71</v>
      </c>
      <c r="X300">
        <f>IF(Source!BI77=2,H299, 0)</f>
        <v>0</v>
      </c>
      <c r="Y300">
        <f>IF(Source!BI77=3,H299, 0)</f>
        <v>0</v>
      </c>
      <c r="Z300">
        <f>IF(Source!BI77=4,H299, 0)</f>
        <v>0</v>
      </c>
    </row>
    <row r="301" spans="1:26" ht="28.5" x14ac:dyDescent="0.2">
      <c r="A301" s="53">
        <v>45</v>
      </c>
      <c r="B301" s="53" t="str">
        <f>Source!F78</f>
        <v>91.06.09-061</v>
      </c>
      <c r="C301" s="53" t="str">
        <f>Source!G78</f>
        <v>Подмости самоходные, высота подъема 12 м</v>
      </c>
      <c r="D301" s="36" t="str">
        <f>Source!H78</f>
        <v>маш.-ч.</v>
      </c>
      <c r="E301" s="10">
        <f>Source!I78</f>
        <v>195.42</v>
      </c>
      <c r="F301" s="37">
        <f>Source!AL78+Source!AM78+Source!AO78</f>
        <v>35.299999999999997</v>
      </c>
      <c r="G301" s="38"/>
      <c r="H301" s="37"/>
      <c r="I301" s="38" t="str">
        <f>Source!BO78</f>
        <v/>
      </c>
      <c r="J301" s="38"/>
      <c r="K301" s="37"/>
      <c r="L301" s="39"/>
      <c r="S301">
        <f>ROUND((Source!FX78/100)*((ROUND(Source!AF78*Source!I78, 2)+ROUND(Source!AE78*Source!I78, 2))), 2)</f>
        <v>0</v>
      </c>
      <c r="T301">
        <f>Source!X78</f>
        <v>0</v>
      </c>
      <c r="U301">
        <f>ROUND((Source!FY78/100)*((ROUND(Source!AF78*Source!I78, 2)+ROUND(Source!AE78*Source!I78, 2))), 2)</f>
        <v>0</v>
      </c>
      <c r="V301">
        <f>Source!Y78</f>
        <v>0</v>
      </c>
    </row>
    <row r="302" spans="1:26" ht="14.25" x14ac:dyDescent="0.2">
      <c r="A302" s="53"/>
      <c r="B302" s="53"/>
      <c r="C302" s="53" t="s">
        <v>616</v>
      </c>
      <c r="D302" s="36"/>
      <c r="E302" s="10"/>
      <c r="F302" s="37">
        <f>Source!AM78</f>
        <v>35.299999999999997</v>
      </c>
      <c r="G302" s="38" t="str">
        <f>Source!DE78</f>
        <v/>
      </c>
      <c r="H302" s="37">
        <f>ROUND((((Source!ET78)-(Source!EU78))+Source!AE78)*Source!I78, 2)</f>
        <v>6898.33</v>
      </c>
      <c r="I302" s="38"/>
      <c r="J302" s="38">
        <f>IF(Source!BB78&lt;&gt; 0, Source!BB78, 1)</f>
        <v>12.13</v>
      </c>
      <c r="K302" s="37">
        <f>Source!Q78</f>
        <v>83676.69</v>
      </c>
      <c r="L302" s="39"/>
    </row>
    <row r="303" spans="1:26" ht="14.25" x14ac:dyDescent="0.2">
      <c r="A303" s="54"/>
      <c r="B303" s="54"/>
      <c r="C303" s="54" t="s">
        <v>1138</v>
      </c>
      <c r="D303" s="41"/>
      <c r="E303" s="42"/>
      <c r="F303" s="43">
        <f>Source!AN78</f>
        <v>10.06</v>
      </c>
      <c r="G303" s="44" t="str">
        <f>Source!DF78</f>
        <v/>
      </c>
      <c r="H303" s="51">
        <f>ROUND(Source!AE78*Source!I78, 2)</f>
        <v>1965.93</v>
      </c>
      <c r="I303" s="44"/>
      <c r="J303" s="44">
        <f>IF(Source!BS78&lt;&gt; 0, Source!BS78, 1)</f>
        <v>30.54</v>
      </c>
      <c r="K303" s="51">
        <f>Source!R78</f>
        <v>60039.360000000001</v>
      </c>
      <c r="L303" s="50"/>
      <c r="R303">
        <f>H303</f>
        <v>1965.93</v>
      </c>
    </row>
    <row r="304" spans="1:26" ht="15" x14ac:dyDescent="0.25">
      <c r="G304" s="62">
        <f>H302</f>
        <v>6898.33</v>
      </c>
      <c r="H304" s="62"/>
      <c r="J304" s="62">
        <f>K302</f>
        <v>83676.69</v>
      </c>
      <c r="K304" s="62"/>
      <c r="L304" s="46">
        <f>Source!U78</f>
        <v>0</v>
      </c>
      <c r="O304" s="30">
        <f>G304</f>
        <v>6898.33</v>
      </c>
      <c r="P304" s="30">
        <f>J304</f>
        <v>83676.69</v>
      </c>
      <c r="Q304" s="30">
        <f>L304</f>
        <v>0</v>
      </c>
      <c r="W304">
        <f>IF(Source!BI78&lt;=1,H302, 0)</f>
        <v>6898.33</v>
      </c>
      <c r="X304">
        <f>IF(Source!BI78=2,H302, 0)</f>
        <v>0</v>
      </c>
      <c r="Y304">
        <f>IF(Source!BI78=3,H302, 0)</f>
        <v>0</v>
      </c>
      <c r="Z304">
        <f>IF(Source!BI78=4,H302, 0)</f>
        <v>0</v>
      </c>
    </row>
    <row r="306" spans="1:26" ht="15" x14ac:dyDescent="0.25">
      <c r="B306" s="64" t="str">
        <f>Source!G79</f>
        <v>Ремонт ж/б ригелей и перекрытий</v>
      </c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1:26" ht="28.5" x14ac:dyDescent="0.2">
      <c r="A307" s="53">
        <v>46</v>
      </c>
      <c r="B307" s="53" t="str">
        <f>Source!F80</f>
        <v>46-02-009-02</v>
      </c>
      <c r="C307" s="53" t="str">
        <f>Source!G80</f>
        <v>Отбивка штукатурки с поверхностей: стен и потолков кирпичных</v>
      </c>
      <c r="D307" s="36" t="str">
        <f>Source!H80</f>
        <v>100 м2</v>
      </c>
      <c r="E307" s="10">
        <f>Source!I80</f>
        <v>2.2425999999999999</v>
      </c>
      <c r="F307" s="37">
        <f>Source!AL80+Source!AM80+Source!AO80</f>
        <v>178</v>
      </c>
      <c r="G307" s="38"/>
      <c r="H307" s="37"/>
      <c r="I307" s="38" t="str">
        <f>Source!BO80</f>
        <v/>
      </c>
      <c r="J307" s="38"/>
      <c r="K307" s="37"/>
      <c r="L307" s="39"/>
      <c r="S307">
        <f>ROUND((Source!FX80/100)*((ROUND(Source!AF80*Source!I80, 2)+ROUND(Source!AE80*Source!I80, 2))), 2)</f>
        <v>417.74</v>
      </c>
      <c r="T307">
        <f>Source!X80</f>
        <v>12757.93</v>
      </c>
      <c r="U307">
        <f>ROUND((Source!FY80/100)*((ROUND(Source!AF80*Source!I80, 2)+ROUND(Source!AE80*Source!I80, 2))), 2)</f>
        <v>238.71</v>
      </c>
      <c r="V307">
        <f>Source!Y80</f>
        <v>7290.24</v>
      </c>
    </row>
    <row r="308" spans="1:26" ht="14.25" x14ac:dyDescent="0.2">
      <c r="A308" s="53"/>
      <c r="B308" s="53"/>
      <c r="C308" s="53" t="s">
        <v>1132</v>
      </c>
      <c r="D308" s="36"/>
      <c r="E308" s="10"/>
      <c r="F308" s="37">
        <f>Source!AO80</f>
        <v>178</v>
      </c>
      <c r="G308" s="38" t="str">
        <f>Source!DG80</f>
        <v>)*1,15</v>
      </c>
      <c r="H308" s="37">
        <f>ROUND(Source!AF80*Source!I80, 2)</f>
        <v>459.06</v>
      </c>
      <c r="I308" s="38"/>
      <c r="J308" s="38">
        <f>IF(Source!BA80&lt;&gt; 0, Source!BA80, 1)</f>
        <v>30.54</v>
      </c>
      <c r="K308" s="37">
        <f>Source!S80</f>
        <v>14019.7</v>
      </c>
      <c r="L308" s="39"/>
      <c r="R308">
        <f>H308</f>
        <v>459.06</v>
      </c>
    </row>
    <row r="309" spans="1:26" ht="14.25" x14ac:dyDescent="0.2">
      <c r="A309" s="53"/>
      <c r="B309" s="53"/>
      <c r="C309" s="53" t="s">
        <v>1133</v>
      </c>
      <c r="D309" s="36" t="s">
        <v>1134</v>
      </c>
      <c r="E309" s="10">
        <f>Source!BZ80</f>
        <v>91</v>
      </c>
      <c r="F309" s="55"/>
      <c r="G309" s="38"/>
      <c r="H309" s="37">
        <f>SUM(S307:S311)</f>
        <v>417.74</v>
      </c>
      <c r="I309" s="40"/>
      <c r="J309" s="35">
        <f>Source!AT80</f>
        <v>91</v>
      </c>
      <c r="K309" s="37">
        <f>SUM(T307:T311)</f>
        <v>12757.93</v>
      </c>
      <c r="L309" s="39"/>
    </row>
    <row r="310" spans="1:26" ht="14.25" x14ac:dyDescent="0.2">
      <c r="A310" s="53"/>
      <c r="B310" s="53"/>
      <c r="C310" s="53" t="s">
        <v>1135</v>
      </c>
      <c r="D310" s="36" t="s">
        <v>1134</v>
      </c>
      <c r="E310" s="10">
        <f>Source!CA80</f>
        <v>52</v>
      </c>
      <c r="F310" s="55"/>
      <c r="G310" s="38"/>
      <c r="H310" s="37">
        <f>SUM(U307:U311)</f>
        <v>238.71</v>
      </c>
      <c r="I310" s="40"/>
      <c r="J310" s="35">
        <f>Source!AU80</f>
        <v>52</v>
      </c>
      <c r="K310" s="37">
        <f>SUM(V307:V311)</f>
        <v>7290.24</v>
      </c>
      <c r="L310" s="39"/>
    </row>
    <row r="311" spans="1:26" ht="14.25" x14ac:dyDescent="0.2">
      <c r="A311" s="54"/>
      <c r="B311" s="54"/>
      <c r="C311" s="54" t="s">
        <v>1136</v>
      </c>
      <c r="D311" s="41" t="s">
        <v>1137</v>
      </c>
      <c r="E311" s="42">
        <f>Source!AQ80</f>
        <v>22.82</v>
      </c>
      <c r="F311" s="43"/>
      <c r="G311" s="44" t="str">
        <f>Source!DI80</f>
        <v>)*1,15</v>
      </c>
      <c r="H311" s="43"/>
      <c r="I311" s="44"/>
      <c r="J311" s="44"/>
      <c r="K311" s="43"/>
      <c r="L311" s="45">
        <f>Source!U80</f>
        <v>58.852551799999993</v>
      </c>
    </row>
    <row r="312" spans="1:26" ht="15" x14ac:dyDescent="0.25">
      <c r="G312" s="62">
        <f>H308+H309+H310</f>
        <v>1115.51</v>
      </c>
      <c r="H312" s="62"/>
      <c r="J312" s="62">
        <f>K308+K309+K310</f>
        <v>34067.870000000003</v>
      </c>
      <c r="K312" s="62"/>
      <c r="L312" s="46">
        <f>Source!U80</f>
        <v>58.852551799999993</v>
      </c>
      <c r="O312" s="30">
        <f>G312</f>
        <v>1115.51</v>
      </c>
      <c r="P312" s="30">
        <f>J312</f>
        <v>34067.870000000003</v>
      </c>
      <c r="Q312" s="30">
        <f>L312</f>
        <v>58.852551799999993</v>
      </c>
      <c r="W312">
        <f>IF(Source!BI80&lt;=1,H308+H309+H310, 0)</f>
        <v>1115.51</v>
      </c>
      <c r="X312">
        <f>IF(Source!BI80=2,H308+H309+H310, 0)</f>
        <v>0</v>
      </c>
      <c r="Y312">
        <f>IF(Source!BI80=3,H308+H309+H310, 0)</f>
        <v>0</v>
      </c>
      <c r="Z312">
        <f>IF(Source!BI80=4,H308+H309+H310, 0)</f>
        <v>0</v>
      </c>
    </row>
    <row r="313" spans="1:26" ht="28.5" x14ac:dyDescent="0.2">
      <c r="A313" s="53">
        <v>47</v>
      </c>
      <c r="B313" s="53" t="str">
        <f>Source!F81</f>
        <v>52-18-1</v>
      </c>
      <c r="C313" s="53" t="str">
        <f>Source!G81</f>
        <v>Устройство антикоррозийной защиты арматуры перекрытий</v>
      </c>
      <c r="D313" s="36" t="str">
        <f>Source!H81</f>
        <v>10 м2</v>
      </c>
      <c r="E313" s="10">
        <f>Source!I81</f>
        <v>4.4851999999999999</v>
      </c>
      <c r="F313" s="37">
        <f>Source!AL81+Source!AM81+Source!AO81</f>
        <v>1734.04</v>
      </c>
      <c r="G313" s="38"/>
      <c r="H313" s="37"/>
      <c r="I313" s="38" t="str">
        <f>Source!BO81</f>
        <v/>
      </c>
      <c r="J313" s="38"/>
      <c r="K313" s="37"/>
      <c r="L313" s="39"/>
      <c r="S313">
        <f>ROUND((Source!FX81/100)*((ROUND(Source!AF81*Source!I81, 2)+ROUND(Source!AE81*Source!I81, 2))), 2)</f>
        <v>275.38</v>
      </c>
      <c r="T313">
        <f>Source!X81</f>
        <v>8410.26</v>
      </c>
      <c r="U313">
        <f>ROUND((Source!FY81/100)*((ROUND(Source!AF81*Source!I81, 2)+ROUND(Source!AE81*Source!I81, 2))), 2)</f>
        <v>162.86000000000001</v>
      </c>
      <c r="V313">
        <f>Source!Y81</f>
        <v>4973.8100000000004</v>
      </c>
    </row>
    <row r="314" spans="1:26" ht="14.25" x14ac:dyDescent="0.2">
      <c r="A314" s="53"/>
      <c r="B314" s="53"/>
      <c r="C314" s="53" t="s">
        <v>1132</v>
      </c>
      <c r="D314" s="36"/>
      <c r="E314" s="10"/>
      <c r="F314" s="37">
        <f>Source!AO81</f>
        <v>57.06</v>
      </c>
      <c r="G314" s="38" t="str">
        <f>Source!DG81</f>
        <v>)*1,15</v>
      </c>
      <c r="H314" s="37">
        <f>ROUND(Source!AF81*Source!I81, 2)</f>
        <v>294.32</v>
      </c>
      <c r="I314" s="38"/>
      <c r="J314" s="38">
        <f>IF(Source!BA81&lt;&gt; 0, Source!BA81, 1)</f>
        <v>30.54</v>
      </c>
      <c r="K314" s="37">
        <f>Source!S81</f>
        <v>8988.5</v>
      </c>
      <c r="L314" s="39"/>
      <c r="R314">
        <f>H314</f>
        <v>294.32</v>
      </c>
    </row>
    <row r="315" spans="1:26" ht="14.25" x14ac:dyDescent="0.2">
      <c r="A315" s="53"/>
      <c r="B315" s="53"/>
      <c r="C315" s="53" t="s">
        <v>616</v>
      </c>
      <c r="D315" s="36"/>
      <c r="E315" s="10"/>
      <c r="F315" s="37">
        <f>Source!AM81</f>
        <v>1.97</v>
      </c>
      <c r="G315" s="38" t="str">
        <f>Source!DE81</f>
        <v>)*1,15</v>
      </c>
      <c r="H315" s="37">
        <f>ROUND(((((Source!ET81*1.15))-((Source!EU81*1.15)))+Source!AE81)*Source!I81, 2)</f>
        <v>10.15</v>
      </c>
      <c r="I315" s="38"/>
      <c r="J315" s="38">
        <f>IF(Source!BB81&lt;&gt; 0, Source!BB81, 1)</f>
        <v>12.13</v>
      </c>
      <c r="K315" s="37">
        <f>Source!Q81</f>
        <v>122.91</v>
      </c>
      <c r="L315" s="39"/>
    </row>
    <row r="316" spans="1:26" ht="14.25" x14ac:dyDescent="0.2">
      <c r="A316" s="53"/>
      <c r="B316" s="53"/>
      <c r="C316" s="53" t="s">
        <v>1138</v>
      </c>
      <c r="D316" s="36"/>
      <c r="E316" s="10"/>
      <c r="F316" s="37">
        <f>Source!AN81</f>
        <v>0.35</v>
      </c>
      <c r="G316" s="38" t="str">
        <f>Source!DF81</f>
        <v>)*1,15</v>
      </c>
      <c r="H316" s="47">
        <f>ROUND(Source!AE81*Source!I81, 2)</f>
        <v>1.79</v>
      </c>
      <c r="I316" s="38"/>
      <c r="J316" s="38">
        <f>IF(Source!BS81&lt;&gt; 0, Source!BS81, 1)</f>
        <v>30.54</v>
      </c>
      <c r="K316" s="47">
        <f>Source!R81</f>
        <v>54.79</v>
      </c>
      <c r="L316" s="39"/>
      <c r="R316">
        <f>H316</f>
        <v>1.79</v>
      </c>
    </row>
    <row r="317" spans="1:26" ht="14.25" x14ac:dyDescent="0.2">
      <c r="A317" s="53"/>
      <c r="B317" s="53"/>
      <c r="C317" s="53" t="s">
        <v>1139</v>
      </c>
      <c r="D317" s="36"/>
      <c r="E317" s="10"/>
      <c r="F317" s="37">
        <f>Source!AL81</f>
        <v>1675.01</v>
      </c>
      <c r="G317" s="38" t="str">
        <f>Source!DD81</f>
        <v/>
      </c>
      <c r="H317" s="37">
        <f>ROUND(Source!AC81*Source!I81, 2)</f>
        <v>7512.75</v>
      </c>
      <c r="I317" s="38"/>
      <c r="J317" s="38">
        <f>IF(Source!BC81&lt;&gt; 0, Source!BC81, 1)</f>
        <v>8.7100000000000009</v>
      </c>
      <c r="K317" s="37">
        <f>Source!P81</f>
        <v>65436.09</v>
      </c>
      <c r="L317" s="39"/>
    </row>
    <row r="318" spans="1:26" ht="14.25" x14ac:dyDescent="0.2">
      <c r="A318" s="53"/>
      <c r="B318" s="53"/>
      <c r="C318" s="53" t="s">
        <v>1133</v>
      </c>
      <c r="D318" s="36" t="s">
        <v>1134</v>
      </c>
      <c r="E318" s="10">
        <f>Source!BZ81</f>
        <v>93</v>
      </c>
      <c r="F318" s="55"/>
      <c r="G318" s="38"/>
      <c r="H318" s="37">
        <f>SUM(S313:S321)</f>
        <v>275.38</v>
      </c>
      <c r="I318" s="40"/>
      <c r="J318" s="35">
        <f>Source!AT81</f>
        <v>93</v>
      </c>
      <c r="K318" s="37">
        <f>SUM(T313:T321)</f>
        <v>8410.26</v>
      </c>
      <c r="L318" s="39"/>
    </row>
    <row r="319" spans="1:26" ht="14.25" x14ac:dyDescent="0.2">
      <c r="A319" s="53"/>
      <c r="B319" s="53"/>
      <c r="C319" s="53" t="s">
        <v>1135</v>
      </c>
      <c r="D319" s="36" t="s">
        <v>1134</v>
      </c>
      <c r="E319" s="10">
        <f>Source!CA81</f>
        <v>55</v>
      </c>
      <c r="F319" s="55"/>
      <c r="G319" s="38"/>
      <c r="H319" s="37">
        <f>SUM(U313:U321)</f>
        <v>162.86000000000001</v>
      </c>
      <c r="I319" s="40"/>
      <c r="J319" s="35">
        <f>Source!AU81</f>
        <v>55</v>
      </c>
      <c r="K319" s="37">
        <f>SUM(V313:V321)</f>
        <v>4973.8100000000004</v>
      </c>
      <c r="L319" s="39"/>
    </row>
    <row r="320" spans="1:26" ht="14.25" x14ac:dyDescent="0.2">
      <c r="A320" s="53"/>
      <c r="B320" s="53"/>
      <c r="C320" s="53" t="s">
        <v>1136</v>
      </c>
      <c r="D320" s="36" t="s">
        <v>1137</v>
      </c>
      <c r="E320" s="10">
        <f>Source!AQ81</f>
        <v>6</v>
      </c>
      <c r="F320" s="37"/>
      <c r="G320" s="38" t="str">
        <f>Source!DI81</f>
        <v>)*1,15</v>
      </c>
      <c r="H320" s="37"/>
      <c r="I320" s="38"/>
      <c r="J320" s="38"/>
      <c r="K320" s="37"/>
      <c r="L320" s="48">
        <f>Source!U81</f>
        <v>30.947879999999998</v>
      </c>
    </row>
    <row r="321" spans="1:26" ht="42.75" x14ac:dyDescent="0.2">
      <c r="A321" s="54">
        <v>47.1</v>
      </c>
      <c r="B321" s="54" t="str">
        <f>Source!F82</f>
        <v>04.3.02.09-0938</v>
      </c>
      <c r="C321" s="54" t="str">
        <f>Source!G82</f>
        <v>Смеси сухие цементные для антикоррозийной защиты арматуры железобетонных конструкций</v>
      </c>
      <c r="D321" s="41" t="str">
        <f>Source!H82</f>
        <v>кг</v>
      </c>
      <c r="E321" s="42">
        <f>Source!I82</f>
        <v>-124.46429999999999</v>
      </c>
      <c r="F321" s="43">
        <f>Source!AL82+Source!AM82+Source!AO82</f>
        <v>60.36</v>
      </c>
      <c r="G321" s="49" t="s">
        <v>3</v>
      </c>
      <c r="H321" s="43">
        <f>ROUND(Source!AC82*Source!I82, 2)+ROUND((((Source!ET82)-(Source!EU82))+Source!AE82)*Source!I82, 2)+ROUND(Source!AF82*Source!I82, 2)</f>
        <v>-7512.67</v>
      </c>
      <c r="I321" s="44"/>
      <c r="J321" s="44">
        <f>IF(Source!BC82&lt;&gt; 0, Source!BC82, 1)</f>
        <v>8.7100000000000009</v>
      </c>
      <c r="K321" s="43">
        <f>Source!O82</f>
        <v>-65435.31</v>
      </c>
      <c r="L321" s="50"/>
      <c r="S321">
        <f>ROUND((Source!FX82/100)*((ROUND(Source!AF82*Source!I82, 2)+ROUND(Source!AE82*Source!I82, 2))), 2)</f>
        <v>0</v>
      </c>
      <c r="T321">
        <f>Source!X82</f>
        <v>0</v>
      </c>
      <c r="U321">
        <f>ROUND((Source!FY82/100)*((ROUND(Source!AF82*Source!I82, 2)+ROUND(Source!AE82*Source!I82, 2))), 2)</f>
        <v>0</v>
      </c>
      <c r="V321">
        <f>Source!Y82</f>
        <v>0</v>
      </c>
      <c r="W321">
        <f>IF(Source!BI82&lt;=1,H321, 0)</f>
        <v>-7512.67</v>
      </c>
      <c r="X321">
        <f>IF(Source!BI82=2,H321, 0)</f>
        <v>0</v>
      </c>
      <c r="Y321">
        <f>IF(Source!BI82=3,H321, 0)</f>
        <v>0</v>
      </c>
      <c r="Z321">
        <f>IF(Source!BI82=4,H321, 0)</f>
        <v>0</v>
      </c>
    </row>
    <row r="322" spans="1:26" ht="15" x14ac:dyDescent="0.25">
      <c r="G322" s="62">
        <f>H314+H315+H317+H318+H319+SUM(H321:H321)</f>
        <v>742.79000000000087</v>
      </c>
      <c r="H322" s="62"/>
      <c r="J322" s="62">
        <f>K314+K315+K317+K318+K319+SUM(K321:K321)</f>
        <v>22496.259999999995</v>
      </c>
      <c r="K322" s="62"/>
      <c r="L322" s="46">
        <f>Source!U81</f>
        <v>30.947879999999998</v>
      </c>
      <c r="O322" s="30">
        <f>G322</f>
        <v>742.79000000000087</v>
      </c>
      <c r="P322" s="30">
        <f>J322</f>
        <v>22496.259999999995</v>
      </c>
      <c r="Q322" s="30">
        <f>L322</f>
        <v>30.947879999999998</v>
      </c>
      <c r="W322">
        <f>IF(Source!BI81&lt;=1,H314+H315+H317+H318+H319, 0)</f>
        <v>8255.4600000000009</v>
      </c>
      <c r="X322">
        <f>IF(Source!BI81=2,H314+H315+H317+H318+H319, 0)</f>
        <v>0</v>
      </c>
      <c r="Y322">
        <f>IF(Source!BI81=3,H314+H315+H317+H318+H319, 0)</f>
        <v>0</v>
      </c>
      <c r="Z322">
        <f>IF(Source!BI81=4,H314+H315+H317+H318+H319, 0)</f>
        <v>0</v>
      </c>
    </row>
    <row r="323" spans="1:26" ht="54" x14ac:dyDescent="0.2">
      <c r="A323" s="54">
        <v>48</v>
      </c>
      <c r="B323" s="54" t="str">
        <f>Source!F83</f>
        <v>Цена Поставщика</v>
      </c>
      <c r="C323" s="54" t="s">
        <v>1140</v>
      </c>
      <c r="D323" s="41" t="str">
        <f>Source!H83</f>
        <v>кг</v>
      </c>
      <c r="E323" s="42">
        <f>Source!I83</f>
        <v>124.46429999999999</v>
      </c>
      <c r="F323" s="43">
        <f>Source!AL83</f>
        <v>34.56</v>
      </c>
      <c r="G323" s="44" t="str">
        <f>Source!DD83</f>
        <v/>
      </c>
      <c r="H323" s="43">
        <f>ROUND(Source!AC83*Source!I83, 2)</f>
        <v>4301.49</v>
      </c>
      <c r="I323" s="44" t="str">
        <f>Source!BO83</f>
        <v/>
      </c>
      <c r="J323" s="44">
        <f>IF(Source!BC83&lt;&gt; 0, Source!BC83, 1)</f>
        <v>8.7100000000000009</v>
      </c>
      <c r="K323" s="43">
        <f>Source!P83</f>
        <v>37465.94</v>
      </c>
      <c r="L323" s="50"/>
      <c r="S323">
        <f>ROUND((Source!FX83/100)*((ROUND(Source!AF83*Source!I83, 2)+ROUND(Source!AE83*Source!I83, 2))), 2)</f>
        <v>0</v>
      </c>
      <c r="T323">
        <f>Source!X83</f>
        <v>0</v>
      </c>
      <c r="U323">
        <f>ROUND((Source!FY83/100)*((ROUND(Source!AF83*Source!I83, 2)+ROUND(Source!AE83*Source!I83, 2))), 2)</f>
        <v>0</v>
      </c>
      <c r="V323">
        <f>Source!Y83</f>
        <v>0</v>
      </c>
    </row>
    <row r="324" spans="1:26" ht="15" x14ac:dyDescent="0.25">
      <c r="G324" s="62">
        <f>H323</f>
        <v>4301.49</v>
      </c>
      <c r="H324" s="62"/>
      <c r="J324" s="62">
        <f>K323</f>
        <v>37465.94</v>
      </c>
      <c r="K324" s="62"/>
      <c r="L324" s="46">
        <f>Source!U83</f>
        <v>0</v>
      </c>
      <c r="O324" s="30">
        <f>G324</f>
        <v>4301.49</v>
      </c>
      <c r="P324" s="30">
        <f>J324</f>
        <v>37465.94</v>
      </c>
      <c r="Q324" s="30">
        <f>L324</f>
        <v>0</v>
      </c>
      <c r="W324">
        <f>IF(Source!BI83&lt;=1,H323, 0)</f>
        <v>4301.49</v>
      </c>
      <c r="X324">
        <f>IF(Source!BI83=2,H323, 0)</f>
        <v>0</v>
      </c>
      <c r="Y324">
        <f>IF(Source!BI83=3,H323, 0)</f>
        <v>0</v>
      </c>
      <c r="Z324">
        <f>IF(Source!BI83=4,H323, 0)</f>
        <v>0</v>
      </c>
    </row>
    <row r="325" spans="1:26" ht="99.75" x14ac:dyDescent="0.2">
      <c r="A325" s="53">
        <v>49</v>
      </c>
      <c r="B325" s="53" t="str">
        <f>Source!F84</f>
        <v>46-08-004-03</v>
      </c>
      <c r="C325" s="53" t="str">
        <f>Source!G84</f>
        <v>Нанесение безусадочных, быстротвердеющих составов тиксотропного типа вручную в один слой, толщина слоя 20 мм, на поверхности бетонных и железобетонных конструкций: потолочные</v>
      </c>
      <c r="D325" s="36" t="str">
        <f>Source!H84</f>
        <v>100 м2</v>
      </c>
      <c r="E325" s="10">
        <f>Source!I84</f>
        <v>2.2425999999999999</v>
      </c>
      <c r="F325" s="37">
        <f>Source!AL84+Source!AM84+Source!AO84</f>
        <v>529.27</v>
      </c>
      <c r="G325" s="38"/>
      <c r="H325" s="37"/>
      <c r="I325" s="38" t="str">
        <f>Source!BO84</f>
        <v/>
      </c>
      <c r="J325" s="38"/>
      <c r="K325" s="37"/>
      <c r="L325" s="39"/>
      <c r="S325">
        <f>ROUND((Source!FX84/100)*((ROUND(Source!AF84*Source!I84, 2)+ROUND(Source!AE84*Source!I84, 2))), 2)</f>
        <v>1187.45</v>
      </c>
      <c r="T325">
        <f>Source!X84</f>
        <v>36264.379999999997</v>
      </c>
      <c r="U325">
        <f>ROUND((Source!FY84/100)*((ROUND(Source!AF84*Source!I84, 2)+ROUND(Source!AE84*Source!I84, 2))), 2)</f>
        <v>680.19</v>
      </c>
      <c r="V325">
        <f>Source!Y84</f>
        <v>20772.8</v>
      </c>
    </row>
    <row r="326" spans="1:26" ht="14.25" x14ac:dyDescent="0.2">
      <c r="A326" s="53"/>
      <c r="B326" s="53"/>
      <c r="C326" s="53" t="s">
        <v>1132</v>
      </c>
      <c r="D326" s="36"/>
      <c r="E326" s="10"/>
      <c r="F326" s="37">
        <f>Source!AO84</f>
        <v>429.39</v>
      </c>
      <c r="G326" s="38" t="str">
        <f>Source!DG84</f>
        <v>)*1,15</v>
      </c>
      <c r="H326" s="37">
        <f>ROUND(Source!AF84*Source!I84, 2)</f>
        <v>1107.4000000000001</v>
      </c>
      <c r="I326" s="38"/>
      <c r="J326" s="38">
        <f>IF(Source!BA84&lt;&gt; 0, Source!BA84, 1)</f>
        <v>30.54</v>
      </c>
      <c r="K326" s="37">
        <f>Source!S84</f>
        <v>33819.870000000003</v>
      </c>
      <c r="L326" s="39"/>
      <c r="R326">
        <f>H326</f>
        <v>1107.4000000000001</v>
      </c>
    </row>
    <row r="327" spans="1:26" ht="14.25" x14ac:dyDescent="0.2">
      <c r="A327" s="53"/>
      <c r="B327" s="53"/>
      <c r="C327" s="53" t="s">
        <v>616</v>
      </c>
      <c r="D327" s="36"/>
      <c r="E327" s="10"/>
      <c r="F327" s="37">
        <f>Source!AM84</f>
        <v>99.88</v>
      </c>
      <c r="G327" s="38" t="str">
        <f>Source!DE84</f>
        <v>)*1,15</v>
      </c>
      <c r="H327" s="37">
        <f>ROUND(((((Source!ET84*1.15))-((Source!EU84*1.15)))+Source!AE84)*Source!I84, 2)</f>
        <v>257.58</v>
      </c>
      <c r="I327" s="38"/>
      <c r="J327" s="38">
        <f>IF(Source!BB84&lt;&gt; 0, Source!BB84, 1)</f>
        <v>12.13</v>
      </c>
      <c r="K327" s="37">
        <f>Source!Q84</f>
        <v>3124.25</v>
      </c>
      <c r="L327" s="39"/>
    </row>
    <row r="328" spans="1:26" ht="14.25" x14ac:dyDescent="0.2">
      <c r="A328" s="53"/>
      <c r="B328" s="53"/>
      <c r="C328" s="53" t="s">
        <v>1138</v>
      </c>
      <c r="D328" s="36"/>
      <c r="E328" s="10"/>
      <c r="F328" s="37">
        <f>Source!AN84</f>
        <v>17.63</v>
      </c>
      <c r="G328" s="38" t="str">
        <f>Source!DF84</f>
        <v>)*1,15</v>
      </c>
      <c r="H328" s="47">
        <f>ROUND(Source!AE84*Source!I84, 2)</f>
        <v>45.46</v>
      </c>
      <c r="I328" s="38"/>
      <c r="J328" s="38">
        <f>IF(Source!BS84&lt;&gt; 0, Source!BS84, 1)</f>
        <v>30.54</v>
      </c>
      <c r="K328" s="47">
        <f>Source!R84</f>
        <v>1388.27</v>
      </c>
      <c r="L328" s="39"/>
      <c r="R328">
        <f>H328</f>
        <v>45.46</v>
      </c>
    </row>
    <row r="329" spans="1:26" ht="14.25" x14ac:dyDescent="0.2">
      <c r="A329" s="53"/>
      <c r="B329" s="53"/>
      <c r="C329" s="53" t="s">
        <v>1133</v>
      </c>
      <c r="D329" s="36" t="s">
        <v>1134</v>
      </c>
      <c r="E329" s="10">
        <f>Source!BZ84</f>
        <v>103</v>
      </c>
      <c r="F329" s="55"/>
      <c r="G329" s="38"/>
      <c r="H329" s="37">
        <f>SUM(S325:S331)</f>
        <v>1187.45</v>
      </c>
      <c r="I329" s="40"/>
      <c r="J329" s="35">
        <f>Source!AT84</f>
        <v>103</v>
      </c>
      <c r="K329" s="37">
        <f>SUM(T325:T331)</f>
        <v>36264.379999999997</v>
      </c>
      <c r="L329" s="39"/>
    </row>
    <row r="330" spans="1:26" ht="14.25" x14ac:dyDescent="0.2">
      <c r="A330" s="53"/>
      <c r="B330" s="53"/>
      <c r="C330" s="53" t="s">
        <v>1135</v>
      </c>
      <c r="D330" s="36" t="s">
        <v>1134</v>
      </c>
      <c r="E330" s="10">
        <f>Source!CA84</f>
        <v>59</v>
      </c>
      <c r="F330" s="55"/>
      <c r="G330" s="38"/>
      <c r="H330" s="37">
        <f>SUM(U325:U331)</f>
        <v>680.19</v>
      </c>
      <c r="I330" s="40"/>
      <c r="J330" s="35">
        <f>Source!AU84</f>
        <v>59</v>
      </c>
      <c r="K330" s="37">
        <f>SUM(V325:V331)</f>
        <v>20772.8</v>
      </c>
      <c r="L330" s="39"/>
    </row>
    <row r="331" spans="1:26" ht="14.25" x14ac:dyDescent="0.2">
      <c r="A331" s="54"/>
      <c r="B331" s="54"/>
      <c r="C331" s="54" t="s">
        <v>1136</v>
      </c>
      <c r="D331" s="41" t="s">
        <v>1137</v>
      </c>
      <c r="E331" s="42">
        <f>Source!AQ84</f>
        <v>47.87</v>
      </c>
      <c r="F331" s="43"/>
      <c r="G331" s="44" t="str">
        <f>Source!DI84</f>
        <v>)*1,15</v>
      </c>
      <c r="H331" s="43"/>
      <c r="I331" s="44"/>
      <c r="J331" s="44"/>
      <c r="K331" s="43"/>
      <c r="L331" s="45">
        <f>Source!U84</f>
        <v>123.45625129999998</v>
      </c>
    </row>
    <row r="332" spans="1:26" ht="15" x14ac:dyDescent="0.25">
      <c r="G332" s="62">
        <f>H326+H327+H329+H330</f>
        <v>3232.6200000000003</v>
      </c>
      <c r="H332" s="62"/>
      <c r="J332" s="62">
        <f>K326+K327+K329+K330</f>
        <v>93981.3</v>
      </c>
      <c r="K332" s="62"/>
      <c r="L332" s="46">
        <f>Source!U84</f>
        <v>123.45625129999998</v>
      </c>
      <c r="O332" s="30">
        <f>G332</f>
        <v>3232.6200000000003</v>
      </c>
      <c r="P332" s="30">
        <f>J332</f>
        <v>93981.3</v>
      </c>
      <c r="Q332" s="30">
        <f>L332</f>
        <v>123.45625129999998</v>
      </c>
      <c r="W332">
        <f>IF(Source!BI84&lt;=1,H326+H327+H329+H330, 0)</f>
        <v>3232.6200000000003</v>
      </c>
      <c r="X332">
        <f>IF(Source!BI84=2,H326+H327+H329+H330, 0)</f>
        <v>0</v>
      </c>
      <c r="Y332">
        <f>IF(Source!BI84=3,H326+H327+H329+H330, 0)</f>
        <v>0</v>
      </c>
      <c r="Z332">
        <f>IF(Source!BI84=4,H326+H327+H329+H330, 0)</f>
        <v>0</v>
      </c>
    </row>
    <row r="333" spans="1:26" ht="42.75" x14ac:dyDescent="0.2">
      <c r="A333" s="53">
        <v>50</v>
      </c>
      <c r="B333" s="53" t="str">
        <f>Source!F85</f>
        <v>46-08-004-09</v>
      </c>
      <c r="C333" s="53" t="str">
        <f>Source!G85</f>
        <v>На каждые 5 мм изменения толщины слоя добавлять (уменьшать) к расценкам: 46-08-004-03, 46-08-004-06</v>
      </c>
      <c r="D333" s="36" t="str">
        <f>Source!H85</f>
        <v>100 м2</v>
      </c>
      <c r="E333" s="10">
        <f>Source!I85</f>
        <v>-2.2425999999999999</v>
      </c>
      <c r="F333" s="37">
        <f>Source!AL85+Source!AM85+Source!AO85</f>
        <v>64.259999999999991</v>
      </c>
      <c r="G333" s="38"/>
      <c r="H333" s="37"/>
      <c r="I333" s="38" t="str">
        <f>Source!BO85</f>
        <v/>
      </c>
      <c r="J333" s="38"/>
      <c r="K333" s="37"/>
      <c r="L333" s="39"/>
      <c r="S333">
        <f>ROUND((Source!FX85/100)*((ROUND(Source!AF85*Source!I85, 2)+ROUND(Source!AE85*Source!I85, 2))), 2)</f>
        <v>-116.07</v>
      </c>
      <c r="T333">
        <f>Source!X85</f>
        <v>-3544.82</v>
      </c>
      <c r="U333">
        <f>ROUND((Source!FY85/100)*((ROUND(Source!AF85*Source!I85, 2)+ROUND(Source!AE85*Source!I85, 2))), 2)</f>
        <v>-66.489999999999995</v>
      </c>
      <c r="V333">
        <f>Source!Y85</f>
        <v>-2030.53</v>
      </c>
    </row>
    <row r="334" spans="1:26" ht="14.25" x14ac:dyDescent="0.2">
      <c r="A334" s="53"/>
      <c r="B334" s="53"/>
      <c r="C334" s="53" t="s">
        <v>1132</v>
      </c>
      <c r="D334" s="36"/>
      <c r="E334" s="10"/>
      <c r="F334" s="37">
        <f>Source!AO85</f>
        <v>39.29</v>
      </c>
      <c r="G334" s="38" t="str">
        <f>Source!DG85</f>
        <v>)*1,15</v>
      </c>
      <c r="H334" s="37">
        <f>ROUND(Source!AF85*Source!I85, 2)</f>
        <v>-101.32</v>
      </c>
      <c r="I334" s="38"/>
      <c r="J334" s="38">
        <f>IF(Source!BA85&lt;&gt; 0, Source!BA85, 1)</f>
        <v>30.54</v>
      </c>
      <c r="K334" s="37">
        <f>Source!S85</f>
        <v>-3094.33</v>
      </c>
      <c r="L334" s="39"/>
      <c r="R334">
        <f>H334</f>
        <v>-101.32</v>
      </c>
    </row>
    <row r="335" spans="1:26" ht="14.25" x14ac:dyDescent="0.2">
      <c r="A335" s="53"/>
      <c r="B335" s="53"/>
      <c r="C335" s="53" t="s">
        <v>616</v>
      </c>
      <c r="D335" s="36"/>
      <c r="E335" s="10"/>
      <c r="F335" s="37">
        <f>Source!AM85</f>
        <v>24.97</v>
      </c>
      <c r="G335" s="38" t="str">
        <f>Source!DE85</f>
        <v>)*1,15</v>
      </c>
      <c r="H335" s="37">
        <f>ROUND(((((Source!ET85*1.15))-((Source!EU85*1.15)))+Source!AE85)*Source!I85, 2)</f>
        <v>-64.39</v>
      </c>
      <c r="I335" s="38"/>
      <c r="J335" s="38">
        <f>IF(Source!BB85&lt;&gt; 0, Source!BB85, 1)</f>
        <v>12.13</v>
      </c>
      <c r="K335" s="37">
        <f>Source!Q85</f>
        <v>-781.04</v>
      </c>
      <c r="L335" s="39"/>
    </row>
    <row r="336" spans="1:26" ht="14.25" x14ac:dyDescent="0.2">
      <c r="A336" s="53"/>
      <c r="B336" s="53"/>
      <c r="C336" s="53" t="s">
        <v>1138</v>
      </c>
      <c r="D336" s="36"/>
      <c r="E336" s="10"/>
      <c r="F336" s="37">
        <f>Source!AN85</f>
        <v>4.41</v>
      </c>
      <c r="G336" s="38" t="str">
        <f>Source!DF85</f>
        <v>)*1,15</v>
      </c>
      <c r="H336" s="47">
        <f>ROUND(Source!AE85*Source!I85, 2)</f>
        <v>-11.37</v>
      </c>
      <c r="I336" s="38"/>
      <c r="J336" s="38">
        <f>IF(Source!BS85&lt;&gt; 0, Source!BS85, 1)</f>
        <v>30.54</v>
      </c>
      <c r="K336" s="47">
        <f>Source!R85</f>
        <v>-347.24</v>
      </c>
      <c r="L336" s="39"/>
      <c r="R336">
        <f>H336</f>
        <v>-11.37</v>
      </c>
    </row>
    <row r="337" spans="1:26" ht="14.25" x14ac:dyDescent="0.2">
      <c r="A337" s="53"/>
      <c r="B337" s="53"/>
      <c r="C337" s="53" t="s">
        <v>1133</v>
      </c>
      <c r="D337" s="36" t="s">
        <v>1134</v>
      </c>
      <c r="E337" s="10">
        <f>Source!BZ85</f>
        <v>103</v>
      </c>
      <c r="F337" s="55"/>
      <c r="G337" s="38"/>
      <c r="H337" s="37">
        <f>SUM(S333:S339)</f>
        <v>-116.07</v>
      </c>
      <c r="I337" s="40"/>
      <c r="J337" s="35">
        <f>Source!AT85</f>
        <v>103</v>
      </c>
      <c r="K337" s="37">
        <f>SUM(T333:T339)</f>
        <v>-3544.82</v>
      </c>
      <c r="L337" s="39"/>
    </row>
    <row r="338" spans="1:26" ht="14.25" x14ac:dyDescent="0.2">
      <c r="A338" s="53"/>
      <c r="B338" s="53"/>
      <c r="C338" s="53" t="s">
        <v>1135</v>
      </c>
      <c r="D338" s="36" t="s">
        <v>1134</v>
      </c>
      <c r="E338" s="10">
        <f>Source!CA85</f>
        <v>59</v>
      </c>
      <c r="F338" s="55"/>
      <c r="G338" s="38"/>
      <c r="H338" s="37">
        <f>SUM(U333:U339)</f>
        <v>-66.489999999999995</v>
      </c>
      <c r="I338" s="40"/>
      <c r="J338" s="35">
        <f>Source!AU85</f>
        <v>59</v>
      </c>
      <c r="K338" s="37">
        <f>SUM(V333:V339)</f>
        <v>-2030.53</v>
      </c>
      <c r="L338" s="39"/>
    </row>
    <row r="339" spans="1:26" ht="14.25" x14ac:dyDescent="0.2">
      <c r="A339" s="54"/>
      <c r="B339" s="54"/>
      <c r="C339" s="54" t="s">
        <v>1136</v>
      </c>
      <c r="D339" s="41" t="s">
        <v>1137</v>
      </c>
      <c r="E339" s="42">
        <f>Source!AQ85</f>
        <v>4.38</v>
      </c>
      <c r="F339" s="43"/>
      <c r="G339" s="44" t="str">
        <f>Source!DI85</f>
        <v>)*1,15</v>
      </c>
      <c r="H339" s="43"/>
      <c r="I339" s="44"/>
      <c r="J339" s="44"/>
      <c r="K339" s="43"/>
      <c r="L339" s="45">
        <f>Source!U85</f>
        <v>-11.2959762</v>
      </c>
    </row>
    <row r="340" spans="1:26" ht="15" x14ac:dyDescent="0.25">
      <c r="G340" s="62">
        <f>H334+H335+H337+H338</f>
        <v>-348.27</v>
      </c>
      <c r="H340" s="62"/>
      <c r="J340" s="62">
        <f>K334+K335+K337+K338</f>
        <v>-9450.7200000000012</v>
      </c>
      <c r="K340" s="62"/>
      <c r="L340" s="46">
        <f>Source!U85</f>
        <v>-11.2959762</v>
      </c>
      <c r="O340" s="30">
        <f>G340</f>
        <v>-348.27</v>
      </c>
      <c r="P340" s="30">
        <f>J340</f>
        <v>-9450.7200000000012</v>
      </c>
      <c r="Q340" s="30">
        <f>L340</f>
        <v>-11.2959762</v>
      </c>
      <c r="W340">
        <f>IF(Source!BI85&lt;=1,H334+H335+H337+H338, 0)</f>
        <v>-348.27</v>
      </c>
      <c r="X340">
        <f>IF(Source!BI85=2,H334+H335+H337+H338, 0)</f>
        <v>0</v>
      </c>
      <c r="Y340">
        <f>IF(Source!BI85=3,H334+H335+H337+H338, 0)</f>
        <v>0</v>
      </c>
      <c r="Z340">
        <f>IF(Source!BI85=4,H334+H335+H337+H338, 0)</f>
        <v>0</v>
      </c>
    </row>
    <row r="341" spans="1:26" ht="57" x14ac:dyDescent="0.2">
      <c r="A341" s="53">
        <v>51</v>
      </c>
      <c r="B341" s="53" t="str">
        <f>Source!F86</f>
        <v>46-08-003-02</v>
      </c>
      <c r="C341" s="53" t="str">
        <f>Source!G86</f>
        <v>Приготовление безусадочных, быстротвердеющих составов тиксотропного типа однокомпонентных: механизированным способом</v>
      </c>
      <c r="D341" s="36" t="str">
        <f>Source!H86</f>
        <v>м3</v>
      </c>
      <c r="E341" s="10">
        <f>Source!I86</f>
        <v>3.3639000000000001</v>
      </c>
      <c r="F341" s="37">
        <f>Source!AL86+Source!AM86+Source!AO86</f>
        <v>89.57</v>
      </c>
      <c r="G341" s="38"/>
      <c r="H341" s="37"/>
      <c r="I341" s="38" t="str">
        <f>Source!BO86</f>
        <v/>
      </c>
      <c r="J341" s="38"/>
      <c r="K341" s="37"/>
      <c r="L341" s="39"/>
      <c r="S341">
        <f>ROUND((Source!FX86/100)*((ROUND(Source!AF86*Source!I86, 2)+ROUND(Source!AE86*Source!I86, 2))), 2)</f>
        <v>229.5</v>
      </c>
      <c r="T341">
        <f>Source!X86</f>
        <v>7009.08</v>
      </c>
      <c r="U341">
        <f>ROUND((Source!FY86/100)*((ROUND(Source!AF86*Source!I86, 2)+ROUND(Source!AE86*Source!I86, 2))), 2)</f>
        <v>106.89</v>
      </c>
      <c r="V341">
        <f>Source!Y86</f>
        <v>3264.5</v>
      </c>
    </row>
    <row r="342" spans="1:26" ht="14.25" x14ac:dyDescent="0.2">
      <c r="A342" s="53"/>
      <c r="B342" s="53"/>
      <c r="C342" s="53" t="s">
        <v>1132</v>
      </c>
      <c r="D342" s="36"/>
      <c r="E342" s="10"/>
      <c r="F342" s="37">
        <f>Source!AO86</f>
        <v>45.46</v>
      </c>
      <c r="G342" s="38" t="str">
        <f>Source!DG86</f>
        <v>)*1,15</v>
      </c>
      <c r="H342" s="37">
        <f>ROUND(Source!AF86*Source!I86, 2)</f>
        <v>175.86</v>
      </c>
      <c r="I342" s="38"/>
      <c r="J342" s="38">
        <f>IF(Source!BA86&lt;&gt; 0, Source!BA86, 1)</f>
        <v>30.54</v>
      </c>
      <c r="K342" s="37">
        <f>Source!S86</f>
        <v>5370.91</v>
      </c>
      <c r="L342" s="39"/>
      <c r="R342">
        <f>H342</f>
        <v>175.86</v>
      </c>
    </row>
    <row r="343" spans="1:26" ht="14.25" x14ac:dyDescent="0.2">
      <c r="A343" s="53"/>
      <c r="B343" s="53"/>
      <c r="C343" s="53" t="s">
        <v>616</v>
      </c>
      <c r="D343" s="36"/>
      <c r="E343" s="10"/>
      <c r="F343" s="37">
        <f>Source!AM86</f>
        <v>44.11</v>
      </c>
      <c r="G343" s="38" t="str">
        <f>Source!DE86</f>
        <v>)*1,15</v>
      </c>
      <c r="H343" s="37">
        <f>ROUND(((((Source!ET86*1.15))-((Source!EU86*1.15)))+Source!AE86)*Source!I86, 2)</f>
        <v>170.63</v>
      </c>
      <c r="I343" s="38"/>
      <c r="J343" s="38">
        <f>IF(Source!BB86&lt;&gt; 0, Source!BB86, 1)</f>
        <v>12.13</v>
      </c>
      <c r="K343" s="37">
        <f>Source!Q86</f>
        <v>2069.6999999999998</v>
      </c>
      <c r="L343" s="39"/>
    </row>
    <row r="344" spans="1:26" ht="14.25" x14ac:dyDescent="0.2">
      <c r="A344" s="53"/>
      <c r="B344" s="53"/>
      <c r="C344" s="53" t="s">
        <v>1138</v>
      </c>
      <c r="D344" s="36"/>
      <c r="E344" s="10"/>
      <c r="F344" s="37">
        <f>Source!AN86</f>
        <v>35.81</v>
      </c>
      <c r="G344" s="38" t="str">
        <f>Source!DF86</f>
        <v>)*1,15</v>
      </c>
      <c r="H344" s="47">
        <f>ROUND(Source!AE86*Source!I86, 2)</f>
        <v>138.53</v>
      </c>
      <c r="I344" s="38"/>
      <c r="J344" s="38">
        <f>IF(Source!BS86&lt;&gt; 0, Source!BS86, 1)</f>
        <v>30.54</v>
      </c>
      <c r="K344" s="47">
        <f>Source!R86</f>
        <v>4230.57</v>
      </c>
      <c r="L344" s="39"/>
      <c r="R344">
        <f>H344</f>
        <v>138.53</v>
      </c>
    </row>
    <row r="345" spans="1:26" ht="14.25" x14ac:dyDescent="0.2">
      <c r="A345" s="53"/>
      <c r="B345" s="53"/>
      <c r="C345" s="53" t="s">
        <v>1133</v>
      </c>
      <c r="D345" s="36" t="s">
        <v>1134</v>
      </c>
      <c r="E345" s="10">
        <f>Source!BZ86</f>
        <v>73</v>
      </c>
      <c r="F345" s="55"/>
      <c r="G345" s="38"/>
      <c r="H345" s="37">
        <f>SUM(S341:S347)</f>
        <v>229.5</v>
      </c>
      <c r="I345" s="40"/>
      <c r="J345" s="35">
        <f>Source!AT86</f>
        <v>73</v>
      </c>
      <c r="K345" s="37">
        <f>SUM(T341:T347)</f>
        <v>7009.08</v>
      </c>
      <c r="L345" s="39"/>
    </row>
    <row r="346" spans="1:26" ht="14.25" x14ac:dyDescent="0.2">
      <c r="A346" s="53"/>
      <c r="B346" s="53"/>
      <c r="C346" s="53" t="s">
        <v>1135</v>
      </c>
      <c r="D346" s="36" t="s">
        <v>1134</v>
      </c>
      <c r="E346" s="10">
        <f>Source!CA86</f>
        <v>34</v>
      </c>
      <c r="F346" s="55"/>
      <c r="G346" s="38"/>
      <c r="H346" s="37">
        <f>SUM(U341:U347)</f>
        <v>106.89</v>
      </c>
      <c r="I346" s="40"/>
      <c r="J346" s="35">
        <f>Source!AU86</f>
        <v>34</v>
      </c>
      <c r="K346" s="37">
        <f>SUM(V341:V347)</f>
        <v>3264.5</v>
      </c>
      <c r="L346" s="39"/>
    </row>
    <row r="347" spans="1:26" ht="14.25" x14ac:dyDescent="0.2">
      <c r="A347" s="54"/>
      <c r="B347" s="54"/>
      <c r="C347" s="54" t="s">
        <v>1136</v>
      </c>
      <c r="D347" s="41" t="s">
        <v>1137</v>
      </c>
      <c r="E347" s="42">
        <f>Source!AQ86</f>
        <v>5.33</v>
      </c>
      <c r="F347" s="43"/>
      <c r="G347" s="44" t="str">
        <f>Source!DI86</f>
        <v>)*1,15</v>
      </c>
      <c r="H347" s="43"/>
      <c r="I347" s="44"/>
      <c r="J347" s="44"/>
      <c r="K347" s="43"/>
      <c r="L347" s="45">
        <f>Source!U86</f>
        <v>20.619025049999998</v>
      </c>
    </row>
    <row r="348" spans="1:26" ht="15" x14ac:dyDescent="0.25">
      <c r="G348" s="62">
        <f>H342+H343+H345+H346</f>
        <v>682.88</v>
      </c>
      <c r="H348" s="62"/>
      <c r="J348" s="62">
        <f>K342+K343+K345+K346</f>
        <v>17714.189999999999</v>
      </c>
      <c r="K348" s="62"/>
      <c r="L348" s="46">
        <f>Source!U86</f>
        <v>20.619025049999998</v>
      </c>
      <c r="O348" s="30">
        <f>G348</f>
        <v>682.88</v>
      </c>
      <c r="P348" s="30">
        <f>J348</f>
        <v>17714.189999999999</v>
      </c>
      <c r="Q348" s="30">
        <f>L348</f>
        <v>20.619025049999998</v>
      </c>
      <c r="W348">
        <f>IF(Source!BI86&lt;=1,H342+H343+H345+H346, 0)</f>
        <v>682.88</v>
      </c>
      <c r="X348">
        <f>IF(Source!BI86=2,H342+H343+H345+H346, 0)</f>
        <v>0</v>
      </c>
      <c r="Y348">
        <f>IF(Source!BI86=3,H342+H343+H345+H346, 0)</f>
        <v>0</v>
      </c>
      <c r="Z348">
        <f>IF(Source!BI86=4,H342+H343+H345+H346, 0)</f>
        <v>0</v>
      </c>
    </row>
    <row r="349" spans="1:26" ht="42.75" x14ac:dyDescent="0.2">
      <c r="A349" s="54">
        <v>52</v>
      </c>
      <c r="B349" s="54" t="str">
        <f>Source!F87</f>
        <v>Цена Поставщика</v>
      </c>
      <c r="C349" s="54" t="s">
        <v>1155</v>
      </c>
      <c r="D349" s="41" t="str">
        <f>Source!H87</f>
        <v>кг</v>
      </c>
      <c r="E349" s="42">
        <f>Source!I87</f>
        <v>6055.02</v>
      </c>
      <c r="F349" s="43">
        <f>Source!AL87</f>
        <v>3.79</v>
      </c>
      <c r="G349" s="44" t="str">
        <f>Source!DD87</f>
        <v/>
      </c>
      <c r="H349" s="43">
        <f>ROUND(Source!AC87*Source!I87, 2)</f>
        <v>22948.53</v>
      </c>
      <c r="I349" s="44" t="str">
        <f>Source!BO87</f>
        <v/>
      </c>
      <c r="J349" s="44">
        <f>IF(Source!BC87&lt;&gt; 0, Source!BC87, 1)</f>
        <v>8.7100000000000009</v>
      </c>
      <c r="K349" s="43">
        <f>Source!P87</f>
        <v>199881.66</v>
      </c>
      <c r="L349" s="50"/>
      <c r="S349">
        <f>ROUND((Source!FX87/100)*((ROUND(Source!AF87*Source!I87, 2)+ROUND(Source!AE87*Source!I87, 2))), 2)</f>
        <v>0</v>
      </c>
      <c r="T349">
        <f>Source!X87</f>
        <v>0</v>
      </c>
      <c r="U349">
        <f>ROUND((Source!FY87/100)*((ROUND(Source!AF87*Source!I87, 2)+ROUND(Source!AE87*Source!I87, 2))), 2)</f>
        <v>0</v>
      </c>
      <c r="V349">
        <f>Source!Y87</f>
        <v>0</v>
      </c>
    </row>
    <row r="350" spans="1:26" ht="15" x14ac:dyDescent="0.25">
      <c r="G350" s="62">
        <f>H349</f>
        <v>22948.53</v>
      </c>
      <c r="H350" s="62"/>
      <c r="J350" s="62">
        <f>K349</f>
        <v>199881.66</v>
      </c>
      <c r="K350" s="62"/>
      <c r="L350" s="46">
        <f>Source!U87</f>
        <v>0</v>
      </c>
      <c r="O350" s="30">
        <f>G350</f>
        <v>22948.53</v>
      </c>
      <c r="P350" s="30">
        <f>J350</f>
        <v>199881.66</v>
      </c>
      <c r="Q350" s="30">
        <f>L350</f>
        <v>0</v>
      </c>
      <c r="W350">
        <f>IF(Source!BI87&lt;=1,H349, 0)</f>
        <v>22948.53</v>
      </c>
      <c r="X350">
        <f>IF(Source!BI87=2,H349, 0)</f>
        <v>0</v>
      </c>
      <c r="Y350">
        <f>IF(Source!BI87=3,H349, 0)</f>
        <v>0</v>
      </c>
      <c r="Z350">
        <f>IF(Source!BI87=4,H349, 0)</f>
        <v>0</v>
      </c>
    </row>
    <row r="351" spans="1:26" ht="28.5" x14ac:dyDescent="0.2">
      <c r="A351" s="53">
        <v>53</v>
      </c>
      <c r="B351" s="53" t="str">
        <f>Source!F88</f>
        <v>91.06.09-061</v>
      </c>
      <c r="C351" s="53" t="str">
        <f>Source!G88</f>
        <v>Подмости самоходные, высота подъема 12 м</v>
      </c>
      <c r="D351" s="36" t="str">
        <f>Source!H88</f>
        <v>маш.-ч.</v>
      </c>
      <c r="E351" s="10">
        <f>Source!I88</f>
        <v>201.96</v>
      </c>
      <c r="F351" s="37">
        <f>Source!AL88+Source!AM88+Source!AO88</f>
        <v>35.299999999999997</v>
      </c>
      <c r="G351" s="38"/>
      <c r="H351" s="37"/>
      <c r="I351" s="38" t="str">
        <f>Source!BO88</f>
        <v/>
      </c>
      <c r="J351" s="38"/>
      <c r="K351" s="37"/>
      <c r="L351" s="39"/>
      <c r="S351">
        <f>ROUND((Source!FX88/100)*((ROUND(Source!AF88*Source!I88, 2)+ROUND(Source!AE88*Source!I88, 2))), 2)</f>
        <v>0</v>
      </c>
      <c r="T351">
        <f>Source!X88</f>
        <v>0</v>
      </c>
      <c r="U351">
        <f>ROUND((Source!FY88/100)*((ROUND(Source!AF88*Source!I88, 2)+ROUND(Source!AE88*Source!I88, 2))), 2)</f>
        <v>0</v>
      </c>
      <c r="V351">
        <f>Source!Y88</f>
        <v>0</v>
      </c>
    </row>
    <row r="352" spans="1:26" ht="14.25" x14ac:dyDescent="0.2">
      <c r="A352" s="53"/>
      <c r="B352" s="53"/>
      <c r="C352" s="53" t="s">
        <v>616</v>
      </c>
      <c r="D352" s="36"/>
      <c r="E352" s="10"/>
      <c r="F352" s="37">
        <f>Source!AM88</f>
        <v>35.299999999999997</v>
      </c>
      <c r="G352" s="38" t="str">
        <f>Source!DE88</f>
        <v/>
      </c>
      <c r="H352" s="37">
        <f>ROUND((((Source!ET88)-(Source!EU88))+Source!AE88)*Source!I88, 2)</f>
        <v>7129.19</v>
      </c>
      <c r="I352" s="38"/>
      <c r="J352" s="38">
        <f>IF(Source!BB88&lt;&gt; 0, Source!BB88, 1)</f>
        <v>12.13</v>
      </c>
      <c r="K352" s="37">
        <f>Source!Q88</f>
        <v>86477.05</v>
      </c>
      <c r="L352" s="39"/>
    </row>
    <row r="353" spans="1:26" ht="14.25" x14ac:dyDescent="0.2">
      <c r="A353" s="54"/>
      <c r="B353" s="54"/>
      <c r="C353" s="54" t="s">
        <v>1138</v>
      </c>
      <c r="D353" s="41"/>
      <c r="E353" s="42"/>
      <c r="F353" s="43">
        <f>Source!AN88</f>
        <v>10.06</v>
      </c>
      <c r="G353" s="44" t="str">
        <f>Source!DF88</f>
        <v/>
      </c>
      <c r="H353" s="51">
        <f>ROUND(Source!AE88*Source!I88, 2)</f>
        <v>2031.72</v>
      </c>
      <c r="I353" s="44"/>
      <c r="J353" s="44">
        <f>IF(Source!BS88&lt;&gt; 0, Source!BS88, 1)</f>
        <v>30.54</v>
      </c>
      <c r="K353" s="51">
        <f>Source!R88</f>
        <v>62048.66</v>
      </c>
      <c r="L353" s="50"/>
      <c r="R353">
        <f>H353</f>
        <v>2031.72</v>
      </c>
    </row>
    <row r="354" spans="1:26" ht="15" x14ac:dyDescent="0.25">
      <c r="G354" s="62">
        <f>H352</f>
        <v>7129.19</v>
      </c>
      <c r="H354" s="62"/>
      <c r="J354" s="62">
        <f>K352</f>
        <v>86477.05</v>
      </c>
      <c r="K354" s="62"/>
      <c r="L354" s="46">
        <f>Source!U88</f>
        <v>0</v>
      </c>
      <c r="O354" s="30">
        <f>G354</f>
        <v>7129.19</v>
      </c>
      <c r="P354" s="30">
        <f>J354</f>
        <v>86477.05</v>
      </c>
      <c r="Q354" s="30">
        <f>L354</f>
        <v>0</v>
      </c>
      <c r="W354">
        <f>IF(Source!BI88&lt;=1,H352, 0)</f>
        <v>7129.19</v>
      </c>
      <c r="X354">
        <f>IF(Source!BI88=2,H352, 0)</f>
        <v>0</v>
      </c>
      <c r="Y354">
        <f>IF(Source!BI88=3,H352, 0)</f>
        <v>0</v>
      </c>
      <c r="Z354">
        <f>IF(Source!BI88=4,H352, 0)</f>
        <v>0</v>
      </c>
    </row>
    <row r="356" spans="1:26" ht="15" x14ac:dyDescent="0.25">
      <c r="B356" s="64" t="str">
        <f>Source!G89</f>
        <v>Окна</v>
      </c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1:26" ht="42.75" x14ac:dyDescent="0.2">
      <c r="A357" s="53">
        <v>54</v>
      </c>
      <c r="B357" s="53" t="str">
        <f>Source!F90</f>
        <v>08-04-002-03</v>
      </c>
      <c r="C357" s="53" t="str">
        <f>Source!G90</f>
        <v>Демонтаж // Заполнение проемов стеклянными блоками: при высоте этажа до 4 м</v>
      </c>
      <c r="D357" s="36" t="str">
        <f>Source!H90</f>
        <v>100 м2</v>
      </c>
      <c r="E357" s="10">
        <f>Source!I90</f>
        <v>0.29120000000000001</v>
      </c>
      <c r="F357" s="37">
        <f>Source!AL90+Source!AM90+Source!AO90</f>
        <v>20740.580000000002</v>
      </c>
      <c r="G357" s="38"/>
      <c r="H357" s="37"/>
      <c r="I357" s="38" t="str">
        <f>Source!BO90</f>
        <v/>
      </c>
      <c r="J357" s="38"/>
      <c r="K357" s="37"/>
      <c r="L357" s="39"/>
      <c r="S357">
        <f>ROUND((Source!FX90/100)*((ROUND(Source!AF90*Source!I90, 2)+ROUND(Source!AE90*Source!I90, 2))), 2)</f>
        <v>419.53</v>
      </c>
      <c r="T357">
        <f>Source!X90</f>
        <v>12812.62</v>
      </c>
      <c r="U357">
        <f>ROUND((Source!FY90/100)*((ROUND(Source!AF90*Source!I90, 2)+ROUND(Source!AE90*Source!I90, 2))), 2)</f>
        <v>263.16000000000003</v>
      </c>
      <c r="V357">
        <f>Source!Y90</f>
        <v>8037.01</v>
      </c>
    </row>
    <row r="358" spans="1:26" ht="14.25" x14ac:dyDescent="0.2">
      <c r="A358" s="53"/>
      <c r="B358" s="53"/>
      <c r="C358" s="53" t="s">
        <v>1132</v>
      </c>
      <c r="D358" s="36"/>
      <c r="E358" s="10"/>
      <c r="F358" s="37">
        <f>Source!AO90</f>
        <v>1385.7</v>
      </c>
      <c r="G358" s="38" t="str">
        <f>Source!DG90</f>
        <v>)*1,15)*0,8</v>
      </c>
      <c r="H358" s="37">
        <f>ROUND(Source!AF90*Source!I90, 2)</f>
        <v>371.23</v>
      </c>
      <c r="I358" s="38"/>
      <c r="J358" s="38">
        <f>IF(Source!BA90&lt;&gt; 0, Source!BA90, 1)</f>
        <v>30.54</v>
      </c>
      <c r="K358" s="37">
        <f>Source!S90</f>
        <v>11337.47</v>
      </c>
      <c r="L358" s="39"/>
      <c r="R358">
        <f>H358</f>
        <v>371.23</v>
      </c>
    </row>
    <row r="359" spans="1:26" ht="14.25" x14ac:dyDescent="0.2">
      <c r="A359" s="53"/>
      <c r="B359" s="53"/>
      <c r="C359" s="53" t="s">
        <v>616</v>
      </c>
      <c r="D359" s="36"/>
      <c r="E359" s="10"/>
      <c r="F359" s="37">
        <f>Source!AM90</f>
        <v>234.39</v>
      </c>
      <c r="G359" s="38" t="str">
        <f>Source!DE90</f>
        <v>)*1,15)*0,8</v>
      </c>
      <c r="H359" s="37">
        <f>ROUND((((((Source!ET90*1.15)*0.8))-(((Source!EU90*1.15)*0.8)))+Source!AE90)*Source!I90, 2)</f>
        <v>62.79</v>
      </c>
      <c r="I359" s="38"/>
      <c r="J359" s="38">
        <f>IF(Source!BB90&lt;&gt; 0, Source!BB90, 1)</f>
        <v>12.13</v>
      </c>
      <c r="K359" s="37">
        <f>Source!Q90</f>
        <v>761.65</v>
      </c>
      <c r="L359" s="39"/>
    </row>
    <row r="360" spans="1:26" ht="14.25" x14ac:dyDescent="0.2">
      <c r="A360" s="53"/>
      <c r="B360" s="53"/>
      <c r="C360" s="53" t="s">
        <v>1138</v>
      </c>
      <c r="D360" s="36"/>
      <c r="E360" s="10"/>
      <c r="F360" s="37">
        <f>Source!AN90</f>
        <v>37.94</v>
      </c>
      <c r="G360" s="38" t="str">
        <f>Source!DF90</f>
        <v>)*1,15)*0,8</v>
      </c>
      <c r="H360" s="47">
        <f>ROUND(Source!AE90*Source!I90, 2)</f>
        <v>10.16</v>
      </c>
      <c r="I360" s="38"/>
      <c r="J360" s="38">
        <f>IF(Source!BS90&lt;&gt; 0, Source!BS90, 1)</f>
        <v>30.54</v>
      </c>
      <c r="K360" s="47">
        <f>Source!R90</f>
        <v>310.37</v>
      </c>
      <c r="L360" s="39"/>
      <c r="R360">
        <f>H360</f>
        <v>10.16</v>
      </c>
    </row>
    <row r="361" spans="1:26" ht="14.25" x14ac:dyDescent="0.2">
      <c r="A361" s="53"/>
      <c r="B361" s="53"/>
      <c r="C361" s="53" t="s">
        <v>1133</v>
      </c>
      <c r="D361" s="36" t="s">
        <v>1134</v>
      </c>
      <c r="E361" s="10">
        <f>Source!BZ90</f>
        <v>110</v>
      </c>
      <c r="F361" s="55"/>
      <c r="G361" s="38"/>
      <c r="H361" s="37">
        <f>SUM(S357:S363)</f>
        <v>419.53</v>
      </c>
      <c r="I361" s="40"/>
      <c r="J361" s="35">
        <f>Source!AT90</f>
        <v>110</v>
      </c>
      <c r="K361" s="37">
        <f>SUM(T357:T363)</f>
        <v>12812.62</v>
      </c>
      <c r="L361" s="39"/>
    </row>
    <row r="362" spans="1:26" ht="14.25" x14ac:dyDescent="0.2">
      <c r="A362" s="53"/>
      <c r="B362" s="53"/>
      <c r="C362" s="53" t="s">
        <v>1135</v>
      </c>
      <c r="D362" s="36" t="s">
        <v>1134</v>
      </c>
      <c r="E362" s="10">
        <f>Source!CA90</f>
        <v>69</v>
      </c>
      <c r="F362" s="55"/>
      <c r="G362" s="38"/>
      <c r="H362" s="37">
        <f>SUM(U357:U363)</f>
        <v>263.16000000000003</v>
      </c>
      <c r="I362" s="40"/>
      <c r="J362" s="35">
        <f>Source!AU90</f>
        <v>69</v>
      </c>
      <c r="K362" s="37">
        <f>SUM(V357:V363)</f>
        <v>8037.01</v>
      </c>
      <c r="L362" s="39"/>
    </row>
    <row r="363" spans="1:26" ht="14.25" x14ac:dyDescent="0.2">
      <c r="A363" s="54"/>
      <c r="B363" s="54"/>
      <c r="C363" s="54" t="s">
        <v>1136</v>
      </c>
      <c r="D363" s="41" t="s">
        <v>1137</v>
      </c>
      <c r="E363" s="42">
        <f>Source!AQ90</f>
        <v>156.4</v>
      </c>
      <c r="F363" s="43"/>
      <c r="G363" s="44" t="str">
        <f>Source!DI90</f>
        <v>)*1,15)*0,8</v>
      </c>
      <c r="H363" s="43"/>
      <c r="I363" s="44"/>
      <c r="J363" s="44"/>
      <c r="K363" s="43"/>
      <c r="L363" s="45">
        <f>Source!U90</f>
        <v>41.9001856</v>
      </c>
    </row>
    <row r="364" spans="1:26" ht="15" x14ac:dyDescent="0.25">
      <c r="G364" s="62">
        <f>H358+H359+H361+H362</f>
        <v>1116.71</v>
      </c>
      <c r="H364" s="62"/>
      <c r="J364" s="62">
        <f>K358+K359+K361+K362</f>
        <v>32948.75</v>
      </c>
      <c r="K364" s="62"/>
      <c r="L364" s="46">
        <f>Source!U90</f>
        <v>41.9001856</v>
      </c>
      <c r="O364" s="30">
        <f>G364</f>
        <v>1116.71</v>
      </c>
      <c r="P364" s="30">
        <f>J364</f>
        <v>32948.75</v>
      </c>
      <c r="Q364" s="30">
        <f>L364</f>
        <v>41.9001856</v>
      </c>
      <c r="W364">
        <f>IF(Source!BI90&lt;=1,H358+H359+H361+H362, 0)</f>
        <v>1116.71</v>
      </c>
      <c r="X364">
        <f>IF(Source!BI90=2,H358+H359+H361+H362, 0)</f>
        <v>0</v>
      </c>
      <c r="Y364">
        <f>IF(Source!BI90=3,H358+H359+H361+H362, 0)</f>
        <v>0</v>
      </c>
      <c r="Z364">
        <f>IF(Source!BI90=4,H358+H359+H361+H362, 0)</f>
        <v>0</v>
      </c>
    </row>
    <row r="365" spans="1:26" ht="28.5" x14ac:dyDescent="0.2">
      <c r="A365" s="53">
        <v>55</v>
      </c>
      <c r="B365" s="53" t="str">
        <f>Source!F91</f>
        <v>46-04-001-04</v>
      </c>
      <c r="C365" s="53" t="str">
        <f>Source!G91</f>
        <v>Разборка: кирпичных стен</v>
      </c>
      <c r="D365" s="36" t="str">
        <f>Source!H91</f>
        <v>м3</v>
      </c>
      <c r="E365" s="10">
        <f>Source!I91</f>
        <v>0.72</v>
      </c>
      <c r="F365" s="37">
        <f>Source!AL91+Source!AM91+Source!AO91</f>
        <v>122.56</v>
      </c>
      <c r="G365" s="38"/>
      <c r="H365" s="37"/>
      <c r="I365" s="38" t="str">
        <f>Source!BO91</f>
        <v/>
      </c>
      <c r="J365" s="38"/>
      <c r="K365" s="37"/>
      <c r="L365" s="39"/>
      <c r="S365">
        <f>ROUND((Source!FX91/100)*((ROUND(Source!AF91*Source!I91, 2)+ROUND(Source!AE91*Source!I91, 2))), 2)</f>
        <v>47.4</v>
      </c>
      <c r="T365">
        <f>Source!X91</f>
        <v>1447.71</v>
      </c>
      <c r="U365">
        <f>ROUND((Source!FY91/100)*((ROUND(Source!AF91*Source!I91, 2)+ROUND(Source!AE91*Source!I91, 2))), 2)</f>
        <v>27.09</v>
      </c>
      <c r="V365">
        <f>Source!Y91</f>
        <v>827.26</v>
      </c>
    </row>
    <row r="366" spans="1:26" ht="14.25" x14ac:dyDescent="0.2">
      <c r="A366" s="53"/>
      <c r="B366" s="53"/>
      <c r="C366" s="53" t="s">
        <v>1132</v>
      </c>
      <c r="D366" s="36"/>
      <c r="E366" s="10"/>
      <c r="F366" s="37">
        <f>Source!AO91</f>
        <v>62.91</v>
      </c>
      <c r="G366" s="38" t="str">
        <f>Source!DG91</f>
        <v>)*1,15</v>
      </c>
      <c r="H366" s="37">
        <f>ROUND(Source!AF91*Source!I91, 2)</f>
        <v>52.09</v>
      </c>
      <c r="I366" s="38"/>
      <c r="J366" s="38">
        <f>IF(Source!BA91&lt;&gt; 0, Source!BA91, 1)</f>
        <v>30.54</v>
      </c>
      <c r="K366" s="37">
        <f>Source!S91</f>
        <v>1590.89</v>
      </c>
      <c r="L366" s="39"/>
      <c r="R366">
        <f>H366</f>
        <v>52.09</v>
      </c>
    </row>
    <row r="367" spans="1:26" ht="14.25" x14ac:dyDescent="0.2">
      <c r="A367" s="53"/>
      <c r="B367" s="53"/>
      <c r="C367" s="53" t="s">
        <v>616</v>
      </c>
      <c r="D367" s="36"/>
      <c r="E367" s="10"/>
      <c r="F367" s="37">
        <f>Source!AM91</f>
        <v>59.65</v>
      </c>
      <c r="G367" s="38" t="str">
        <f>Source!DE91</f>
        <v>)*1,15</v>
      </c>
      <c r="H367" s="37">
        <f>ROUND(((((Source!ET91*1.15))-((Source!EU91*1.15)))+Source!AE91)*Source!I91, 2)</f>
        <v>49.39</v>
      </c>
      <c r="I367" s="38"/>
      <c r="J367" s="38">
        <f>IF(Source!BB91&lt;&gt; 0, Source!BB91, 1)</f>
        <v>12.13</v>
      </c>
      <c r="K367" s="37">
        <f>Source!Q91</f>
        <v>599.1</v>
      </c>
      <c r="L367" s="39"/>
    </row>
    <row r="368" spans="1:26" ht="14.25" x14ac:dyDescent="0.2">
      <c r="A368" s="53"/>
      <c r="B368" s="53"/>
      <c r="C368" s="53" t="s">
        <v>1133</v>
      </c>
      <c r="D368" s="36" t="s">
        <v>1134</v>
      </c>
      <c r="E368" s="10">
        <f>Source!BZ91</f>
        <v>91</v>
      </c>
      <c r="F368" s="55"/>
      <c r="G368" s="38"/>
      <c r="H368" s="37">
        <f>SUM(S365:S370)</f>
        <v>47.4</v>
      </c>
      <c r="I368" s="40"/>
      <c r="J368" s="35">
        <f>Source!AT91</f>
        <v>91</v>
      </c>
      <c r="K368" s="37">
        <f>SUM(T365:T370)</f>
        <v>1447.71</v>
      </c>
      <c r="L368" s="39"/>
    </row>
    <row r="369" spans="1:26" ht="14.25" x14ac:dyDescent="0.2">
      <c r="A369" s="53"/>
      <c r="B369" s="53"/>
      <c r="C369" s="53" t="s">
        <v>1135</v>
      </c>
      <c r="D369" s="36" t="s">
        <v>1134</v>
      </c>
      <c r="E369" s="10">
        <f>Source!CA91</f>
        <v>52</v>
      </c>
      <c r="F369" s="55"/>
      <c r="G369" s="38"/>
      <c r="H369" s="37">
        <f>SUM(U365:U370)</f>
        <v>27.09</v>
      </c>
      <c r="I369" s="40"/>
      <c r="J369" s="35">
        <f>Source!AU91</f>
        <v>52</v>
      </c>
      <c r="K369" s="37">
        <f>SUM(V365:V370)</f>
        <v>827.26</v>
      </c>
      <c r="L369" s="39"/>
    </row>
    <row r="370" spans="1:26" ht="14.25" x14ac:dyDescent="0.2">
      <c r="A370" s="54"/>
      <c r="B370" s="54"/>
      <c r="C370" s="54" t="s">
        <v>1136</v>
      </c>
      <c r="D370" s="41" t="s">
        <v>1137</v>
      </c>
      <c r="E370" s="42">
        <f>Source!AQ91</f>
        <v>7.1</v>
      </c>
      <c r="F370" s="43"/>
      <c r="G370" s="44" t="str">
        <f>Source!DI91</f>
        <v>)*1,15</v>
      </c>
      <c r="H370" s="43"/>
      <c r="I370" s="44"/>
      <c r="J370" s="44"/>
      <c r="K370" s="43"/>
      <c r="L370" s="45">
        <f>Source!U91</f>
        <v>5.8787999999999991</v>
      </c>
    </row>
    <row r="371" spans="1:26" ht="15" x14ac:dyDescent="0.25">
      <c r="G371" s="62">
        <f>H366+H367+H368+H369</f>
        <v>175.97</v>
      </c>
      <c r="H371" s="62"/>
      <c r="J371" s="62">
        <f>K366+K367+K368+K369</f>
        <v>4464.96</v>
      </c>
      <c r="K371" s="62"/>
      <c r="L371" s="46">
        <f>Source!U91</f>
        <v>5.8787999999999991</v>
      </c>
      <c r="O371" s="30">
        <f>G371</f>
        <v>175.97</v>
      </c>
      <c r="P371" s="30">
        <f>J371</f>
        <v>4464.96</v>
      </c>
      <c r="Q371" s="30">
        <f>L371</f>
        <v>5.8787999999999991</v>
      </c>
      <c r="W371">
        <f>IF(Source!BI91&lt;=1,H366+H367+H368+H369, 0)</f>
        <v>175.97</v>
      </c>
      <c r="X371">
        <f>IF(Source!BI91=2,H366+H367+H368+H369, 0)</f>
        <v>0</v>
      </c>
      <c r="Y371">
        <f>IF(Source!BI91=3,H366+H367+H368+H369, 0)</f>
        <v>0</v>
      </c>
      <c r="Z371">
        <f>IF(Source!BI91=4,H366+H367+H368+H369, 0)</f>
        <v>0</v>
      </c>
    </row>
    <row r="372" spans="1:26" ht="57" x14ac:dyDescent="0.2">
      <c r="A372" s="53">
        <v>56</v>
      </c>
      <c r="B372" s="53" t="str">
        <f>Source!F92</f>
        <v>46-02-007-01</v>
      </c>
      <c r="C372" s="53" t="str">
        <f>Source!G92</f>
        <v>Кладка отдельных участков кирпичных стен и заделка проемов в кирпичных стенах при объеме кладки в одном месте: до 5 м3</v>
      </c>
      <c r="D372" s="36" t="str">
        <f>Source!H92</f>
        <v>м3</v>
      </c>
      <c r="E372" s="10">
        <f>Source!I92</f>
        <v>0.72</v>
      </c>
      <c r="F372" s="37">
        <f>Source!AL92+Source!AM92+Source!AO92</f>
        <v>246.41</v>
      </c>
      <c r="G372" s="38"/>
      <c r="H372" s="37"/>
      <c r="I372" s="38" t="str">
        <f>Source!BO92</f>
        <v/>
      </c>
      <c r="J372" s="38"/>
      <c r="K372" s="37"/>
      <c r="L372" s="39"/>
      <c r="S372">
        <f>ROUND((Source!FX92/100)*((ROUND(Source!AF92*Source!I92, 2)+ROUND(Source!AE92*Source!I92, 2))), 2)</f>
        <v>101.94</v>
      </c>
      <c r="T372">
        <f>Source!X92</f>
        <v>3113.26</v>
      </c>
      <c r="U372">
        <f>ROUND((Source!FY92/100)*((ROUND(Source!AF92*Source!I92, 2)+ROUND(Source!AE92*Source!I92, 2))), 2)</f>
        <v>58.39</v>
      </c>
      <c r="V372">
        <f>Source!Y92</f>
        <v>1783.32</v>
      </c>
    </row>
    <row r="373" spans="1:26" ht="14.25" x14ac:dyDescent="0.2">
      <c r="A373" s="53"/>
      <c r="B373" s="53"/>
      <c r="C373" s="53" t="s">
        <v>1132</v>
      </c>
      <c r="D373" s="36"/>
      <c r="E373" s="10"/>
      <c r="F373" s="37">
        <f>Source!AO92</f>
        <v>119.53</v>
      </c>
      <c r="G373" s="38" t="str">
        <f>Source!DG92</f>
        <v>)*1,15</v>
      </c>
      <c r="H373" s="37">
        <f>ROUND(Source!AF92*Source!I92, 2)</f>
        <v>98.97</v>
      </c>
      <c r="I373" s="38"/>
      <c r="J373" s="38">
        <f>IF(Source!BA92&lt;&gt; 0, Source!BA92, 1)</f>
        <v>30.54</v>
      </c>
      <c r="K373" s="37">
        <f>Source!S92</f>
        <v>3022.58</v>
      </c>
      <c r="L373" s="39"/>
      <c r="R373">
        <f>H373</f>
        <v>98.97</v>
      </c>
    </row>
    <row r="374" spans="1:26" ht="14.25" x14ac:dyDescent="0.2">
      <c r="A374" s="53"/>
      <c r="B374" s="53"/>
      <c r="C374" s="53" t="s">
        <v>616</v>
      </c>
      <c r="D374" s="36"/>
      <c r="E374" s="10"/>
      <c r="F374" s="37">
        <f>Source!AM92</f>
        <v>2.13</v>
      </c>
      <c r="G374" s="38" t="str">
        <f>Source!DE92</f>
        <v>)*1,15</v>
      </c>
      <c r="H374" s="37">
        <f>ROUND(((((Source!ET92*1.15))-((Source!EU92*1.15)))+Source!AE92)*Source!I92, 2)</f>
        <v>1.76</v>
      </c>
      <c r="I374" s="38"/>
      <c r="J374" s="38">
        <f>IF(Source!BB92&lt;&gt; 0, Source!BB92, 1)</f>
        <v>12.13</v>
      </c>
      <c r="K374" s="37">
        <f>Source!Q92</f>
        <v>21.39</v>
      </c>
      <c r="L374" s="39"/>
    </row>
    <row r="375" spans="1:26" ht="14.25" x14ac:dyDescent="0.2">
      <c r="A375" s="53"/>
      <c r="B375" s="53"/>
      <c r="C375" s="53" t="s">
        <v>1139</v>
      </c>
      <c r="D375" s="36"/>
      <c r="E375" s="10"/>
      <c r="F375" s="37">
        <f>Source!AL92</f>
        <v>124.75</v>
      </c>
      <c r="G375" s="38" t="str">
        <f>Source!DD92</f>
        <v/>
      </c>
      <c r="H375" s="37">
        <f>ROUND(Source!AC92*Source!I92, 2)</f>
        <v>89.82</v>
      </c>
      <c r="I375" s="38"/>
      <c r="J375" s="38">
        <f>IF(Source!BC92&lt;&gt; 0, Source!BC92, 1)</f>
        <v>8.7100000000000009</v>
      </c>
      <c r="K375" s="37">
        <f>Source!P92</f>
        <v>782.33</v>
      </c>
      <c r="L375" s="39"/>
    </row>
    <row r="376" spans="1:26" ht="14.25" x14ac:dyDescent="0.2">
      <c r="A376" s="53"/>
      <c r="B376" s="53"/>
      <c r="C376" s="53" t="s">
        <v>1133</v>
      </c>
      <c r="D376" s="36" t="s">
        <v>1134</v>
      </c>
      <c r="E376" s="10">
        <f>Source!BZ92</f>
        <v>103</v>
      </c>
      <c r="F376" s="55"/>
      <c r="G376" s="38"/>
      <c r="H376" s="37">
        <f>SUM(S372:S379)</f>
        <v>101.94</v>
      </c>
      <c r="I376" s="40"/>
      <c r="J376" s="35">
        <f>Source!AT92</f>
        <v>103</v>
      </c>
      <c r="K376" s="37">
        <f>SUM(T372:T379)</f>
        <v>3113.26</v>
      </c>
      <c r="L376" s="39"/>
    </row>
    <row r="377" spans="1:26" ht="14.25" x14ac:dyDescent="0.2">
      <c r="A377" s="53"/>
      <c r="B377" s="53"/>
      <c r="C377" s="53" t="s">
        <v>1135</v>
      </c>
      <c r="D377" s="36" t="s">
        <v>1134</v>
      </c>
      <c r="E377" s="10">
        <f>Source!CA92</f>
        <v>59</v>
      </c>
      <c r="F377" s="55"/>
      <c r="G377" s="38"/>
      <c r="H377" s="37">
        <f>SUM(U372:U379)</f>
        <v>58.39</v>
      </c>
      <c r="I377" s="40"/>
      <c r="J377" s="35">
        <f>Source!AU92</f>
        <v>59</v>
      </c>
      <c r="K377" s="37">
        <f>SUM(V372:V379)</f>
        <v>1783.32</v>
      </c>
      <c r="L377" s="39"/>
    </row>
    <row r="378" spans="1:26" ht="14.25" x14ac:dyDescent="0.2">
      <c r="A378" s="53"/>
      <c r="B378" s="53"/>
      <c r="C378" s="53" t="s">
        <v>1136</v>
      </c>
      <c r="D378" s="36" t="s">
        <v>1137</v>
      </c>
      <c r="E378" s="10">
        <f>Source!AQ92</f>
        <v>14.63</v>
      </c>
      <c r="F378" s="37"/>
      <c r="G378" s="38" t="str">
        <f>Source!DI92</f>
        <v>)*1,15</v>
      </c>
      <c r="H378" s="37"/>
      <c r="I378" s="38"/>
      <c r="J378" s="38"/>
      <c r="K378" s="37"/>
      <c r="L378" s="48">
        <f>Source!U92</f>
        <v>12.11364</v>
      </c>
    </row>
    <row r="379" spans="1:26" ht="28.5" x14ac:dyDescent="0.2">
      <c r="A379" s="54">
        <v>56.1</v>
      </c>
      <c r="B379" s="54" t="str">
        <f>Source!F93</f>
        <v>04.3.01.12-0003</v>
      </c>
      <c r="C379" s="54" t="str">
        <f>Source!G93</f>
        <v>Раствор кладочный, цементно-известковый, М50</v>
      </c>
      <c r="D379" s="41" t="str">
        <f>Source!H93</f>
        <v>м3</v>
      </c>
      <c r="E379" s="42">
        <f>Source!I93</f>
        <v>-0.17279999999999998</v>
      </c>
      <c r="F379" s="43">
        <f>Source!AL93+Source!AM93+Source!AO93</f>
        <v>519.79999999999995</v>
      </c>
      <c r="G379" s="49" t="s">
        <v>3</v>
      </c>
      <c r="H379" s="43">
        <f>ROUND(Source!AC93*Source!I93, 2)+ROUND((((Source!ET93)-(Source!EU93))+Source!AE93)*Source!I93, 2)+ROUND(Source!AF93*Source!I93, 2)</f>
        <v>-89.82</v>
      </c>
      <c r="I379" s="44"/>
      <c r="J379" s="44">
        <f>IF(Source!BC93&lt;&gt; 0, Source!BC93, 1)</f>
        <v>8.7100000000000009</v>
      </c>
      <c r="K379" s="43">
        <f>Source!O93</f>
        <v>-782.34</v>
      </c>
      <c r="L379" s="50"/>
      <c r="S379">
        <f>ROUND((Source!FX93/100)*((ROUND(Source!AF93*Source!I93, 2)+ROUND(Source!AE93*Source!I93, 2))), 2)</f>
        <v>0</v>
      </c>
      <c r="T379">
        <f>Source!X93</f>
        <v>0</v>
      </c>
      <c r="U379">
        <f>ROUND((Source!FY93/100)*((ROUND(Source!AF93*Source!I93, 2)+ROUND(Source!AE93*Source!I93, 2))), 2)</f>
        <v>0</v>
      </c>
      <c r="V379">
        <f>Source!Y93</f>
        <v>0</v>
      </c>
      <c r="W379">
        <f>IF(Source!BI93&lt;=1,H379, 0)</f>
        <v>-89.82</v>
      </c>
      <c r="X379">
        <f>IF(Source!BI93=2,H379, 0)</f>
        <v>0</v>
      </c>
      <c r="Y379">
        <f>IF(Source!BI93=3,H379, 0)</f>
        <v>0</v>
      </c>
      <c r="Z379">
        <f>IF(Source!BI93=4,H379, 0)</f>
        <v>0</v>
      </c>
    </row>
    <row r="380" spans="1:26" ht="15" x14ac:dyDescent="0.25">
      <c r="G380" s="62">
        <f>H373+H374+H375+H376+H377+SUM(H379:H379)</f>
        <v>261.06</v>
      </c>
      <c r="H380" s="62"/>
      <c r="J380" s="62">
        <f>K373+K374+K375+K376+K377+SUM(K379:K379)</f>
        <v>7940.5399999999991</v>
      </c>
      <c r="K380" s="62"/>
      <c r="L380" s="46">
        <f>Source!U92</f>
        <v>12.11364</v>
      </c>
      <c r="O380" s="30">
        <f>G380</f>
        <v>261.06</v>
      </c>
      <c r="P380" s="30">
        <f>J380</f>
        <v>7940.5399999999991</v>
      </c>
      <c r="Q380" s="30">
        <f>L380</f>
        <v>12.11364</v>
      </c>
      <c r="W380">
        <f>IF(Source!BI92&lt;=1,H373+H374+H375+H376+H377, 0)</f>
        <v>350.88</v>
      </c>
      <c r="X380">
        <f>IF(Source!BI92=2,H373+H374+H375+H376+H377, 0)</f>
        <v>0</v>
      </c>
      <c r="Y380">
        <f>IF(Source!BI92=3,H373+H374+H375+H376+H377, 0)</f>
        <v>0</v>
      </c>
      <c r="Z380">
        <f>IF(Source!BI92=4,H373+H374+H375+H376+H377, 0)</f>
        <v>0</v>
      </c>
    </row>
    <row r="381" spans="1:26" ht="42.75" x14ac:dyDescent="0.2">
      <c r="A381" s="54">
        <v>57</v>
      </c>
      <c r="B381" s="54" t="str">
        <f>Source!F94</f>
        <v>Цена Поставщика</v>
      </c>
      <c r="C381" s="54" t="s">
        <v>1157</v>
      </c>
      <c r="D381" s="41" t="str">
        <f>Source!H94</f>
        <v>м3</v>
      </c>
      <c r="E381" s="42">
        <f>Source!I94</f>
        <v>0.17280000000000001</v>
      </c>
      <c r="F381" s="43">
        <f>Source!AL94</f>
        <v>437.72</v>
      </c>
      <c r="G381" s="44" t="str">
        <f>Source!DD94</f>
        <v/>
      </c>
      <c r="H381" s="43">
        <f>ROUND(Source!AC94*Source!I94, 2)</f>
        <v>75.64</v>
      </c>
      <c r="I381" s="44" t="str">
        <f>Source!BO94</f>
        <v/>
      </c>
      <c r="J381" s="44">
        <f>IF(Source!BC94&lt;&gt; 0, Source!BC94, 1)</f>
        <v>8.7100000000000009</v>
      </c>
      <c r="K381" s="43">
        <f>Source!P94</f>
        <v>658.81</v>
      </c>
      <c r="L381" s="50"/>
      <c r="S381">
        <f>ROUND((Source!FX94/100)*((ROUND(Source!AF94*Source!I94, 2)+ROUND(Source!AE94*Source!I94, 2))), 2)</f>
        <v>0</v>
      </c>
      <c r="T381">
        <f>Source!X94</f>
        <v>0</v>
      </c>
      <c r="U381">
        <f>ROUND((Source!FY94/100)*((ROUND(Source!AF94*Source!I94, 2)+ROUND(Source!AE94*Source!I94, 2))), 2)</f>
        <v>0</v>
      </c>
      <c r="V381">
        <f>Source!Y94</f>
        <v>0</v>
      </c>
    </row>
    <row r="382" spans="1:26" ht="15" x14ac:dyDescent="0.25">
      <c r="G382" s="62">
        <f>H381</f>
        <v>75.64</v>
      </c>
      <c r="H382" s="62"/>
      <c r="J382" s="62">
        <f>K381</f>
        <v>658.81</v>
      </c>
      <c r="K382" s="62"/>
      <c r="L382" s="46">
        <f>Source!U94</f>
        <v>0</v>
      </c>
      <c r="O382" s="30">
        <f>G382</f>
        <v>75.64</v>
      </c>
      <c r="P382" s="30">
        <f>J382</f>
        <v>658.81</v>
      </c>
      <c r="Q382" s="30">
        <f>L382</f>
        <v>0</v>
      </c>
      <c r="W382">
        <f>IF(Source!BI94&lt;=1,H381, 0)</f>
        <v>75.64</v>
      </c>
      <c r="X382">
        <f>IF(Source!BI94=2,H381, 0)</f>
        <v>0</v>
      </c>
      <c r="Y382">
        <f>IF(Source!BI94=3,H381, 0)</f>
        <v>0</v>
      </c>
      <c r="Z382">
        <f>IF(Source!BI94=4,H381, 0)</f>
        <v>0</v>
      </c>
    </row>
    <row r="383" spans="1:26" ht="42.75" x14ac:dyDescent="0.2">
      <c r="A383" s="53">
        <v>58</v>
      </c>
      <c r="B383" s="53" t="str">
        <f>Source!F95</f>
        <v>Цена Поставщика</v>
      </c>
      <c r="C383" s="53" t="s">
        <v>1158</v>
      </c>
      <c r="D383" s="36" t="str">
        <f>Source!H95</f>
        <v>шт.</v>
      </c>
      <c r="E383" s="10">
        <f>Source!I95</f>
        <v>288</v>
      </c>
      <c r="F383" s="37">
        <f>Source!AL95</f>
        <v>2.25</v>
      </c>
      <c r="G383" s="38" t="str">
        <f>Source!DD95</f>
        <v/>
      </c>
      <c r="H383" s="37">
        <f>ROUND(Source!AC95*Source!I95, 2)</f>
        <v>648</v>
      </c>
      <c r="I383" s="38" t="str">
        <f>Source!BO95</f>
        <v/>
      </c>
      <c r="J383" s="38">
        <f>IF(Source!BC95&lt;&gt; 0, Source!BC95, 1)</f>
        <v>8.7100000000000009</v>
      </c>
      <c r="K383" s="37">
        <f>Source!P95</f>
        <v>5644.08</v>
      </c>
      <c r="L383" s="39"/>
      <c r="S383">
        <f>ROUND((Source!FX95/100)*((ROUND(Source!AF95*Source!I95, 2)+ROUND(Source!AE95*Source!I95, 2))), 2)</f>
        <v>0</v>
      </c>
      <c r="T383">
        <f>Source!X95</f>
        <v>0</v>
      </c>
      <c r="U383">
        <f>ROUND((Source!FY95/100)*((ROUND(Source!AF95*Source!I95, 2)+ROUND(Source!AE95*Source!I95, 2))), 2)</f>
        <v>0</v>
      </c>
      <c r="V383">
        <f>Source!Y95</f>
        <v>0</v>
      </c>
    </row>
    <row r="384" spans="1:26" x14ac:dyDescent="0.2">
      <c r="A384" s="32"/>
      <c r="B384" s="32"/>
      <c r="C384" s="33" t="str">
        <f>"Объем: "&amp;Source!I95&amp;"="&amp;Source!I92&amp;"*"&amp;"400"</f>
        <v>Объем: 288=0,72*400</v>
      </c>
      <c r="D384" s="32"/>
      <c r="E384" s="32"/>
      <c r="F384" s="32"/>
      <c r="G384" s="32"/>
      <c r="H384" s="32"/>
      <c r="I384" s="32"/>
      <c r="J384" s="32"/>
      <c r="K384" s="32"/>
      <c r="L384" s="32"/>
    </row>
    <row r="385" spans="1:26" ht="15" x14ac:dyDescent="0.25">
      <c r="G385" s="62">
        <f>H383</f>
        <v>648</v>
      </c>
      <c r="H385" s="62"/>
      <c r="J385" s="62">
        <f>K383</f>
        <v>5644.08</v>
      </c>
      <c r="K385" s="62"/>
      <c r="L385" s="46">
        <f>Source!U95</f>
        <v>0</v>
      </c>
      <c r="O385" s="30">
        <f>G385</f>
        <v>648</v>
      </c>
      <c r="P385" s="30">
        <f>J385</f>
        <v>5644.08</v>
      </c>
      <c r="Q385" s="30">
        <f>L385</f>
        <v>0</v>
      </c>
      <c r="W385">
        <f>IF(Source!BI95&lt;=1,H383, 0)</f>
        <v>648</v>
      </c>
      <c r="X385">
        <f>IF(Source!BI95=2,H383, 0)</f>
        <v>0</v>
      </c>
      <c r="Y385">
        <f>IF(Source!BI95=3,H383, 0)</f>
        <v>0</v>
      </c>
      <c r="Z385">
        <f>IF(Source!BI95=4,H383, 0)</f>
        <v>0</v>
      </c>
    </row>
    <row r="386" spans="1:26" ht="57" x14ac:dyDescent="0.2">
      <c r="A386" s="53">
        <v>59</v>
      </c>
      <c r="B386" s="53" t="str">
        <f>Source!F96</f>
        <v>69-2-1</v>
      </c>
      <c r="C386" s="53" t="str">
        <f>Source!G96</f>
        <v>Сверление отверстий: в кирпичных стенах электроперфоратором диаметром до 20 мм, толщина стен 0,5 кирпича</v>
      </c>
      <c r="D386" s="36" t="str">
        <f>Source!H96</f>
        <v>100 отверстий</v>
      </c>
      <c r="E386" s="10">
        <f>Source!I96</f>
        <v>0.32</v>
      </c>
      <c r="F386" s="37">
        <f>Source!AL96+Source!AM96+Source!AO96</f>
        <v>45.72</v>
      </c>
      <c r="G386" s="38"/>
      <c r="H386" s="37"/>
      <c r="I386" s="38" t="str">
        <f>Source!BO96</f>
        <v/>
      </c>
      <c r="J386" s="38"/>
      <c r="K386" s="37"/>
      <c r="L386" s="39"/>
      <c r="S386">
        <f>ROUND((Source!FX96/100)*((ROUND(Source!AF96*Source!I96, 2)+ROUND(Source!AE96*Source!I96, 2))), 2)</f>
        <v>15.48</v>
      </c>
      <c r="T386">
        <f>Source!X96</f>
        <v>472.74</v>
      </c>
      <c r="U386">
        <f>ROUND((Source!FY96/100)*((ROUND(Source!AF96*Source!I96, 2)+ROUND(Source!AE96*Source!I96, 2))), 2)</f>
        <v>7.41</v>
      </c>
      <c r="V386">
        <f>Source!Y96</f>
        <v>226.09</v>
      </c>
    </row>
    <row r="387" spans="1:26" x14ac:dyDescent="0.2">
      <c r="C387" s="31" t="str">
        <f>"Объем: "&amp;Source!I96&amp;"=32/"&amp;"100"</f>
        <v>Объем: 0,32=32/100</v>
      </c>
    </row>
    <row r="388" spans="1:26" ht="14.25" x14ac:dyDescent="0.2">
      <c r="A388" s="53"/>
      <c r="B388" s="53"/>
      <c r="C388" s="53" t="s">
        <v>1132</v>
      </c>
      <c r="D388" s="36"/>
      <c r="E388" s="10"/>
      <c r="F388" s="37">
        <f>Source!AO96</f>
        <v>45.72</v>
      </c>
      <c r="G388" s="38" t="str">
        <f>Source!DG96</f>
        <v>)*1,15</v>
      </c>
      <c r="H388" s="37">
        <f>ROUND(Source!AF96*Source!I96, 2)</f>
        <v>16.829999999999998</v>
      </c>
      <c r="I388" s="38"/>
      <c r="J388" s="38">
        <f>IF(Source!BA96&lt;&gt; 0, Source!BA96, 1)</f>
        <v>30.54</v>
      </c>
      <c r="K388" s="37">
        <f>Source!S96</f>
        <v>513.85</v>
      </c>
      <c r="L388" s="39"/>
      <c r="R388">
        <f>H388</f>
        <v>16.829999999999998</v>
      </c>
    </row>
    <row r="389" spans="1:26" ht="14.25" x14ac:dyDescent="0.2">
      <c r="A389" s="53"/>
      <c r="B389" s="53"/>
      <c r="C389" s="53" t="s">
        <v>1133</v>
      </c>
      <c r="D389" s="36" t="s">
        <v>1134</v>
      </c>
      <c r="E389" s="10">
        <f>Source!BZ96</f>
        <v>92</v>
      </c>
      <c r="F389" s="55"/>
      <c r="G389" s="38"/>
      <c r="H389" s="37">
        <f>SUM(S386:S391)</f>
        <v>15.48</v>
      </c>
      <c r="I389" s="40"/>
      <c r="J389" s="35">
        <f>Source!AT96</f>
        <v>92</v>
      </c>
      <c r="K389" s="37">
        <f>SUM(T386:T391)</f>
        <v>472.74</v>
      </c>
      <c r="L389" s="39"/>
    </row>
    <row r="390" spans="1:26" ht="14.25" x14ac:dyDescent="0.2">
      <c r="A390" s="53"/>
      <c r="B390" s="53"/>
      <c r="C390" s="53" t="s">
        <v>1135</v>
      </c>
      <c r="D390" s="36" t="s">
        <v>1134</v>
      </c>
      <c r="E390" s="10">
        <f>Source!CA96</f>
        <v>44</v>
      </c>
      <c r="F390" s="55"/>
      <c r="G390" s="38"/>
      <c r="H390" s="37">
        <f>SUM(U386:U391)</f>
        <v>7.41</v>
      </c>
      <c r="I390" s="40"/>
      <c r="J390" s="35">
        <f>Source!AU96</f>
        <v>44</v>
      </c>
      <c r="K390" s="37">
        <f>SUM(V386:V391)</f>
        <v>226.09</v>
      </c>
      <c r="L390" s="39"/>
    </row>
    <row r="391" spans="1:26" ht="14.25" x14ac:dyDescent="0.2">
      <c r="A391" s="54"/>
      <c r="B391" s="54"/>
      <c r="C391" s="54" t="s">
        <v>1136</v>
      </c>
      <c r="D391" s="41" t="s">
        <v>1137</v>
      </c>
      <c r="E391" s="42">
        <f>Source!AQ96</f>
        <v>5.36</v>
      </c>
      <c r="F391" s="43"/>
      <c r="G391" s="44" t="str">
        <f>Source!DI96</f>
        <v>)*1,15</v>
      </c>
      <c r="H391" s="43"/>
      <c r="I391" s="44"/>
      <c r="J391" s="44"/>
      <c r="K391" s="43"/>
      <c r="L391" s="45">
        <f>Source!U96</f>
        <v>1.97248</v>
      </c>
    </row>
    <row r="392" spans="1:26" ht="15" x14ac:dyDescent="0.25">
      <c r="G392" s="62">
        <f>H388+H389+H390</f>
        <v>39.72</v>
      </c>
      <c r="H392" s="62"/>
      <c r="J392" s="62">
        <f>K388+K389+K390</f>
        <v>1212.68</v>
      </c>
      <c r="K392" s="62"/>
      <c r="L392" s="46">
        <f>Source!U96</f>
        <v>1.97248</v>
      </c>
      <c r="O392" s="30">
        <f>G392</f>
        <v>39.72</v>
      </c>
      <c r="P392" s="30">
        <f>J392</f>
        <v>1212.68</v>
      </c>
      <c r="Q392" s="30">
        <f>L392</f>
        <v>1.97248</v>
      </c>
      <c r="W392">
        <f>IF(Source!BI96&lt;=1,H388+H389+H390, 0)</f>
        <v>39.72</v>
      </c>
      <c r="X392">
        <f>IF(Source!BI96=2,H388+H389+H390, 0)</f>
        <v>0</v>
      </c>
      <c r="Y392">
        <f>IF(Source!BI96=3,H388+H389+H390, 0)</f>
        <v>0</v>
      </c>
      <c r="Z392">
        <f>IF(Source!BI96=4,H388+H389+H390, 0)</f>
        <v>0</v>
      </c>
    </row>
    <row r="393" spans="1:26" ht="42.75" x14ac:dyDescent="0.2">
      <c r="A393" s="54">
        <v>60</v>
      </c>
      <c r="B393" s="54" t="str">
        <f>Source!F97</f>
        <v>Цена Поставщика</v>
      </c>
      <c r="C393" s="54" t="s">
        <v>1159</v>
      </c>
      <c r="D393" s="41" t="str">
        <f>Source!H97</f>
        <v>т</v>
      </c>
      <c r="E393" s="42">
        <f>Source!I97</f>
        <v>1.264E-2</v>
      </c>
      <c r="F393" s="43">
        <f>Source!AL97</f>
        <v>6711.68</v>
      </c>
      <c r="G393" s="44" t="str">
        <f>Source!DD97</f>
        <v/>
      </c>
      <c r="H393" s="43">
        <f>ROUND(Source!AC97*Source!I97, 2)</f>
        <v>84.84</v>
      </c>
      <c r="I393" s="44" t="str">
        <f>Source!BO97</f>
        <v/>
      </c>
      <c r="J393" s="44">
        <f>IF(Source!BC97&lt;&gt; 0, Source!BC97, 1)</f>
        <v>8.7100000000000009</v>
      </c>
      <c r="K393" s="43">
        <f>Source!P97</f>
        <v>738.92</v>
      </c>
      <c r="L393" s="50"/>
      <c r="S393">
        <f>ROUND((Source!FX97/100)*((ROUND(Source!AF97*Source!I97, 2)+ROUND(Source!AE97*Source!I97, 2))), 2)</f>
        <v>0</v>
      </c>
      <c r="T393">
        <f>Source!X97</f>
        <v>0</v>
      </c>
      <c r="U393">
        <f>ROUND((Source!FY97/100)*((ROUND(Source!AF97*Source!I97, 2)+ROUND(Source!AE97*Source!I97, 2))), 2)</f>
        <v>0</v>
      </c>
      <c r="V393">
        <f>Source!Y97</f>
        <v>0</v>
      </c>
    </row>
    <row r="394" spans="1:26" ht="15" x14ac:dyDescent="0.25">
      <c r="G394" s="62">
        <f>H393</f>
        <v>84.84</v>
      </c>
      <c r="H394" s="62"/>
      <c r="J394" s="62">
        <f>K393</f>
        <v>738.92</v>
      </c>
      <c r="K394" s="62"/>
      <c r="L394" s="46">
        <f>Source!U97</f>
        <v>0</v>
      </c>
      <c r="O394" s="30">
        <f>G394</f>
        <v>84.84</v>
      </c>
      <c r="P394" s="30">
        <f>J394</f>
        <v>738.92</v>
      </c>
      <c r="Q394" s="30">
        <f>L394</f>
        <v>0</v>
      </c>
      <c r="W394">
        <f>IF(Source!BI97&lt;=1,H393, 0)</f>
        <v>84.84</v>
      </c>
      <c r="X394">
        <f>IF(Source!BI97=2,H393, 0)</f>
        <v>0</v>
      </c>
      <c r="Y394">
        <f>IF(Source!BI97=3,H393, 0)</f>
        <v>0</v>
      </c>
      <c r="Z394">
        <f>IF(Source!BI97=4,H393, 0)</f>
        <v>0</v>
      </c>
    </row>
    <row r="395" spans="1:26" ht="57" x14ac:dyDescent="0.2">
      <c r="A395" s="53">
        <v>61</v>
      </c>
      <c r="B395" s="53" t="str">
        <f>Source!F98</f>
        <v>46-02-007-02</v>
      </c>
      <c r="C395" s="53" t="str">
        <f>Source!G98</f>
        <v>Кладка отдельных участков кирпичных стен и заделка проемов в кирпичных стенах при объеме кладки в одном месте: до 15 м3</v>
      </c>
      <c r="D395" s="36" t="str">
        <f>Source!H98</f>
        <v>м3</v>
      </c>
      <c r="E395" s="10">
        <f>Source!I98</f>
        <v>6.42</v>
      </c>
      <c r="F395" s="37">
        <f>Source!AL98+Source!AM98+Source!AO98</f>
        <v>184.89</v>
      </c>
      <c r="G395" s="38"/>
      <c r="H395" s="37"/>
      <c r="I395" s="38" t="str">
        <f>Source!BO98</f>
        <v/>
      </c>
      <c r="J395" s="38"/>
      <c r="K395" s="37"/>
      <c r="L395" s="39"/>
      <c r="S395">
        <f>ROUND((Source!FX98/100)*((ROUND(Source!AF98*Source!I98, 2)+ROUND(Source!AE98*Source!I98, 2))), 2)</f>
        <v>441.13</v>
      </c>
      <c r="T395">
        <f>Source!X98</f>
        <v>13472.01</v>
      </c>
      <c r="U395">
        <f>ROUND((Source!FY98/100)*((ROUND(Source!AF98*Source!I98, 2)+ROUND(Source!AE98*Source!I98, 2))), 2)</f>
        <v>252.69</v>
      </c>
      <c r="V395">
        <f>Source!Y98</f>
        <v>7716.98</v>
      </c>
    </row>
    <row r="396" spans="1:26" ht="14.25" x14ac:dyDescent="0.2">
      <c r="A396" s="53"/>
      <c r="B396" s="53"/>
      <c r="C396" s="53" t="s">
        <v>1132</v>
      </c>
      <c r="D396" s="36"/>
      <c r="E396" s="10"/>
      <c r="F396" s="37">
        <f>Source!AO98</f>
        <v>58.01</v>
      </c>
      <c r="G396" s="38" t="str">
        <f>Source!DG98</f>
        <v>)*1,15</v>
      </c>
      <c r="H396" s="37">
        <f>ROUND(Source!AF98*Source!I98, 2)</f>
        <v>428.28</v>
      </c>
      <c r="I396" s="38"/>
      <c r="J396" s="38">
        <f>IF(Source!BA98&lt;&gt; 0, Source!BA98, 1)</f>
        <v>30.54</v>
      </c>
      <c r="K396" s="37">
        <f>Source!S98</f>
        <v>13079.62</v>
      </c>
      <c r="L396" s="39"/>
      <c r="R396">
        <f>H396</f>
        <v>428.28</v>
      </c>
    </row>
    <row r="397" spans="1:26" ht="14.25" x14ac:dyDescent="0.2">
      <c r="A397" s="53"/>
      <c r="B397" s="53"/>
      <c r="C397" s="53" t="s">
        <v>616</v>
      </c>
      <c r="D397" s="36"/>
      <c r="E397" s="10"/>
      <c r="F397" s="37">
        <f>Source!AM98</f>
        <v>2.13</v>
      </c>
      <c r="G397" s="38" t="str">
        <f>Source!DE98</f>
        <v>)*1,15</v>
      </c>
      <c r="H397" s="37">
        <f>ROUND(((((Source!ET98*1.15))-((Source!EU98*1.15)))+Source!AE98)*Source!I98, 2)</f>
        <v>15.73</v>
      </c>
      <c r="I397" s="38"/>
      <c r="J397" s="38">
        <f>IF(Source!BB98&lt;&gt; 0, Source!BB98, 1)</f>
        <v>12.13</v>
      </c>
      <c r="K397" s="37">
        <f>Source!Q98</f>
        <v>190.75</v>
      </c>
      <c r="L397" s="39"/>
    </row>
    <row r="398" spans="1:26" ht="14.25" x14ac:dyDescent="0.2">
      <c r="A398" s="53"/>
      <c r="B398" s="53"/>
      <c r="C398" s="53" t="s">
        <v>1139</v>
      </c>
      <c r="D398" s="36"/>
      <c r="E398" s="10"/>
      <c r="F398" s="37">
        <f>Source!AL98</f>
        <v>124.75</v>
      </c>
      <c r="G398" s="38" t="str">
        <f>Source!DD98</f>
        <v/>
      </c>
      <c r="H398" s="37">
        <f>ROUND(Source!AC98*Source!I98, 2)</f>
        <v>800.9</v>
      </c>
      <c r="I398" s="38"/>
      <c r="J398" s="38">
        <f>IF(Source!BC98&lt;&gt; 0, Source!BC98, 1)</f>
        <v>8.7100000000000009</v>
      </c>
      <c r="K398" s="37">
        <f>Source!P98</f>
        <v>6975.8</v>
      </c>
      <c r="L398" s="39"/>
    </row>
    <row r="399" spans="1:26" ht="14.25" x14ac:dyDescent="0.2">
      <c r="A399" s="53"/>
      <c r="B399" s="53"/>
      <c r="C399" s="53" t="s">
        <v>1133</v>
      </c>
      <c r="D399" s="36" t="s">
        <v>1134</v>
      </c>
      <c r="E399" s="10">
        <f>Source!BZ98</f>
        <v>103</v>
      </c>
      <c r="F399" s="55"/>
      <c r="G399" s="38"/>
      <c r="H399" s="37">
        <f>SUM(S395:S402)</f>
        <v>441.13</v>
      </c>
      <c r="I399" s="40"/>
      <c r="J399" s="35">
        <f>Source!AT98</f>
        <v>103</v>
      </c>
      <c r="K399" s="37">
        <f>SUM(T395:T402)</f>
        <v>13472.01</v>
      </c>
      <c r="L399" s="39"/>
    </row>
    <row r="400" spans="1:26" ht="14.25" x14ac:dyDescent="0.2">
      <c r="A400" s="53"/>
      <c r="B400" s="53"/>
      <c r="C400" s="53" t="s">
        <v>1135</v>
      </c>
      <c r="D400" s="36" t="s">
        <v>1134</v>
      </c>
      <c r="E400" s="10">
        <f>Source!CA98</f>
        <v>59</v>
      </c>
      <c r="F400" s="55"/>
      <c r="G400" s="38"/>
      <c r="H400" s="37">
        <f>SUM(U395:U402)</f>
        <v>252.69</v>
      </c>
      <c r="I400" s="40"/>
      <c r="J400" s="35">
        <f>Source!AU98</f>
        <v>59</v>
      </c>
      <c r="K400" s="37">
        <f>SUM(V395:V402)</f>
        <v>7716.98</v>
      </c>
      <c r="L400" s="39"/>
    </row>
    <row r="401" spans="1:26" ht="14.25" x14ac:dyDescent="0.2">
      <c r="A401" s="53"/>
      <c r="B401" s="53"/>
      <c r="C401" s="53" t="s">
        <v>1136</v>
      </c>
      <c r="D401" s="36" t="s">
        <v>1137</v>
      </c>
      <c r="E401" s="10">
        <f>Source!AQ98</f>
        <v>7.1</v>
      </c>
      <c r="F401" s="37"/>
      <c r="G401" s="38" t="str">
        <f>Source!DI98</f>
        <v>)*1,15</v>
      </c>
      <c r="H401" s="37"/>
      <c r="I401" s="38"/>
      <c r="J401" s="38"/>
      <c r="K401" s="37"/>
      <c r="L401" s="48">
        <f>Source!U98</f>
        <v>52.419299999999993</v>
      </c>
    </row>
    <row r="402" spans="1:26" ht="28.5" x14ac:dyDescent="0.2">
      <c r="A402" s="54">
        <v>61.1</v>
      </c>
      <c r="B402" s="54" t="str">
        <f>Source!F99</f>
        <v>04.3.01.12-0003</v>
      </c>
      <c r="C402" s="54" t="str">
        <f>Source!G99</f>
        <v>Раствор кладочный, цементно-известковый, М50</v>
      </c>
      <c r="D402" s="41" t="str">
        <f>Source!H99</f>
        <v>м3</v>
      </c>
      <c r="E402" s="42">
        <f>Source!I99</f>
        <v>-1.5407999999999999</v>
      </c>
      <c r="F402" s="43">
        <f>Source!AL99+Source!AM99+Source!AO99</f>
        <v>519.79999999999995</v>
      </c>
      <c r="G402" s="49" t="s">
        <v>3</v>
      </c>
      <c r="H402" s="43">
        <f>ROUND(Source!AC99*Source!I99, 2)+ROUND((((Source!ET99)-(Source!EU99))+Source!AE99)*Source!I99, 2)+ROUND(Source!AF99*Source!I99, 2)</f>
        <v>-800.91</v>
      </c>
      <c r="I402" s="44"/>
      <c r="J402" s="44">
        <f>IF(Source!BC99&lt;&gt; 0, Source!BC99, 1)</f>
        <v>8.7100000000000009</v>
      </c>
      <c r="K402" s="43">
        <f>Source!O99</f>
        <v>-6975.91</v>
      </c>
      <c r="L402" s="50"/>
      <c r="S402">
        <f>ROUND((Source!FX99/100)*((ROUND(Source!AF99*Source!I99, 2)+ROUND(Source!AE99*Source!I99, 2))), 2)</f>
        <v>0</v>
      </c>
      <c r="T402">
        <f>Source!X99</f>
        <v>0</v>
      </c>
      <c r="U402">
        <f>ROUND((Source!FY99/100)*((ROUND(Source!AF99*Source!I99, 2)+ROUND(Source!AE99*Source!I99, 2))), 2)</f>
        <v>0</v>
      </c>
      <c r="V402">
        <f>Source!Y99</f>
        <v>0</v>
      </c>
      <c r="W402">
        <f>IF(Source!BI99&lt;=1,H402, 0)</f>
        <v>-800.91</v>
      </c>
      <c r="X402">
        <f>IF(Source!BI99=2,H402, 0)</f>
        <v>0</v>
      </c>
      <c r="Y402">
        <f>IF(Source!BI99=3,H402, 0)</f>
        <v>0</v>
      </c>
      <c r="Z402">
        <f>IF(Source!BI99=4,H402, 0)</f>
        <v>0</v>
      </c>
    </row>
    <row r="403" spans="1:26" ht="15" x14ac:dyDescent="0.25">
      <c r="G403" s="62">
        <f>H396+H397+H398+H399+H400+SUM(H402:H402)</f>
        <v>1137.8200000000002</v>
      </c>
      <c r="H403" s="62"/>
      <c r="J403" s="62">
        <f>K396+K397+K398+K399+K400+SUM(K402:K402)</f>
        <v>34459.25</v>
      </c>
      <c r="K403" s="62"/>
      <c r="L403" s="46">
        <f>Source!U98</f>
        <v>52.419299999999993</v>
      </c>
      <c r="O403" s="30">
        <f>G403</f>
        <v>1137.8200000000002</v>
      </c>
      <c r="P403" s="30">
        <f>J403</f>
        <v>34459.25</v>
      </c>
      <c r="Q403" s="30">
        <f>L403</f>
        <v>52.419299999999993</v>
      </c>
      <c r="W403">
        <f>IF(Source!BI98&lt;=1,H396+H397+H398+H399+H400, 0)</f>
        <v>1938.73</v>
      </c>
      <c r="X403">
        <f>IF(Source!BI98=2,H396+H397+H398+H399+H400, 0)</f>
        <v>0</v>
      </c>
      <c r="Y403">
        <f>IF(Source!BI98=3,H396+H397+H398+H399+H400, 0)</f>
        <v>0</v>
      </c>
      <c r="Z403">
        <f>IF(Source!BI98=4,H396+H397+H398+H399+H400, 0)</f>
        <v>0</v>
      </c>
    </row>
    <row r="404" spans="1:26" ht="42.75" x14ac:dyDescent="0.2">
      <c r="A404" s="54">
        <v>62</v>
      </c>
      <c r="B404" s="54" t="str">
        <f>Source!F100</f>
        <v>Цена Поставщика</v>
      </c>
      <c r="C404" s="54" t="s">
        <v>1157</v>
      </c>
      <c r="D404" s="41" t="str">
        <f>Source!H100</f>
        <v>м3</v>
      </c>
      <c r="E404" s="42">
        <f>Source!I100</f>
        <v>1.5407999999999999</v>
      </c>
      <c r="F404" s="43">
        <f>Source!AL100</f>
        <v>437.72</v>
      </c>
      <c r="G404" s="44" t="str">
        <f>Source!DD100</f>
        <v/>
      </c>
      <c r="H404" s="43">
        <f>ROUND(Source!AC100*Source!I100, 2)</f>
        <v>674.44</v>
      </c>
      <c r="I404" s="44" t="str">
        <f>Source!BO100</f>
        <v/>
      </c>
      <c r="J404" s="44">
        <f>IF(Source!BC100&lt;&gt; 0, Source!BC100, 1)</f>
        <v>8.7100000000000009</v>
      </c>
      <c r="K404" s="43">
        <f>Source!P100</f>
        <v>5874.36</v>
      </c>
      <c r="L404" s="50"/>
      <c r="S404">
        <f>ROUND((Source!FX100/100)*((ROUND(Source!AF100*Source!I100, 2)+ROUND(Source!AE100*Source!I100, 2))), 2)</f>
        <v>0</v>
      </c>
      <c r="T404">
        <f>Source!X100</f>
        <v>0</v>
      </c>
      <c r="U404">
        <f>ROUND((Source!FY100/100)*((ROUND(Source!AF100*Source!I100, 2)+ROUND(Source!AE100*Source!I100, 2))), 2)</f>
        <v>0</v>
      </c>
      <c r="V404">
        <f>Source!Y100</f>
        <v>0</v>
      </c>
    </row>
    <row r="405" spans="1:26" ht="15" x14ac:dyDescent="0.25">
      <c r="G405" s="62">
        <f>H404</f>
        <v>674.44</v>
      </c>
      <c r="H405" s="62"/>
      <c r="J405" s="62">
        <f>K404</f>
        <v>5874.36</v>
      </c>
      <c r="K405" s="62"/>
      <c r="L405" s="46">
        <f>Source!U100</f>
        <v>0</v>
      </c>
      <c r="O405" s="30">
        <f>G405</f>
        <v>674.44</v>
      </c>
      <c r="P405" s="30">
        <f>J405</f>
        <v>5874.36</v>
      </c>
      <c r="Q405" s="30">
        <f>L405</f>
        <v>0</v>
      </c>
      <c r="W405">
        <f>IF(Source!BI100&lt;=1,H404, 0)</f>
        <v>674.44</v>
      </c>
      <c r="X405">
        <f>IF(Source!BI100=2,H404, 0)</f>
        <v>0</v>
      </c>
      <c r="Y405">
        <f>IF(Source!BI100=3,H404, 0)</f>
        <v>0</v>
      </c>
      <c r="Z405">
        <f>IF(Source!BI100=4,H404, 0)</f>
        <v>0</v>
      </c>
    </row>
    <row r="406" spans="1:26" ht="42.75" x14ac:dyDescent="0.2">
      <c r="A406" s="53">
        <v>63</v>
      </c>
      <c r="B406" s="53" t="str">
        <f>Source!F101</f>
        <v>Цена Поставщика</v>
      </c>
      <c r="C406" s="53" t="s">
        <v>1158</v>
      </c>
      <c r="D406" s="36" t="str">
        <f>Source!H101</f>
        <v>шт.</v>
      </c>
      <c r="E406" s="10">
        <f>Source!I101</f>
        <v>2568</v>
      </c>
      <c r="F406" s="37">
        <f>Source!AL101</f>
        <v>2.25</v>
      </c>
      <c r="G406" s="38" t="str">
        <f>Source!DD101</f>
        <v/>
      </c>
      <c r="H406" s="37">
        <f>ROUND(Source!AC101*Source!I101, 2)</f>
        <v>5778</v>
      </c>
      <c r="I406" s="38" t="str">
        <f>Source!BO101</f>
        <v/>
      </c>
      <c r="J406" s="38">
        <f>IF(Source!BC101&lt;&gt; 0, Source!BC101, 1)</f>
        <v>8.7100000000000009</v>
      </c>
      <c r="K406" s="37">
        <f>Source!P101</f>
        <v>50326.38</v>
      </c>
      <c r="L406" s="39"/>
      <c r="S406">
        <f>ROUND((Source!FX101/100)*((ROUND(Source!AF101*Source!I101, 2)+ROUND(Source!AE101*Source!I101, 2))), 2)</f>
        <v>0</v>
      </c>
      <c r="T406">
        <f>Source!X101</f>
        <v>0</v>
      </c>
      <c r="U406">
        <f>ROUND((Source!FY101/100)*((ROUND(Source!AF101*Source!I101, 2)+ROUND(Source!AE101*Source!I101, 2))), 2)</f>
        <v>0</v>
      </c>
      <c r="V406">
        <f>Source!Y101</f>
        <v>0</v>
      </c>
    </row>
    <row r="407" spans="1:26" x14ac:dyDescent="0.2">
      <c r="A407" s="32"/>
      <c r="B407" s="32"/>
      <c r="C407" s="33" t="str">
        <f>"Объем: "&amp;Source!I101&amp;"="&amp;Source!I98&amp;"*"&amp;"400"</f>
        <v>Объем: 2568=6,42*400</v>
      </c>
      <c r="D407" s="32"/>
      <c r="E407" s="32"/>
      <c r="F407" s="32"/>
      <c r="G407" s="32"/>
      <c r="H407" s="32"/>
      <c r="I407" s="32"/>
      <c r="J407" s="32"/>
      <c r="K407" s="32"/>
      <c r="L407" s="32"/>
    </row>
    <row r="408" spans="1:26" ht="15" x14ac:dyDescent="0.25">
      <c r="G408" s="62">
        <f>H406</f>
        <v>5778</v>
      </c>
      <c r="H408" s="62"/>
      <c r="J408" s="62">
        <f>K406</f>
        <v>50326.38</v>
      </c>
      <c r="K408" s="62"/>
      <c r="L408" s="46">
        <f>Source!U101</f>
        <v>0</v>
      </c>
      <c r="O408" s="30">
        <f>G408</f>
        <v>5778</v>
      </c>
      <c r="P408" s="30">
        <f>J408</f>
        <v>50326.38</v>
      </c>
      <c r="Q408" s="30">
        <f>L408</f>
        <v>0</v>
      </c>
      <c r="W408">
        <f>IF(Source!BI101&lt;=1,H406, 0)</f>
        <v>5778</v>
      </c>
      <c r="X408">
        <f>IF(Source!BI101=2,H406, 0)</f>
        <v>0</v>
      </c>
      <c r="Y408">
        <f>IF(Source!BI101=3,H406, 0)</f>
        <v>0</v>
      </c>
      <c r="Z408">
        <f>IF(Source!BI101=4,H406, 0)</f>
        <v>0</v>
      </c>
    </row>
    <row r="409" spans="1:26" ht="57" x14ac:dyDescent="0.2">
      <c r="A409" s="53">
        <v>64</v>
      </c>
      <c r="B409" s="53" t="str">
        <f>Source!F102</f>
        <v>10-01-034-02</v>
      </c>
      <c r="C409" s="53" t="str">
        <f>Source!G102</f>
        <v>Установка в жилых и общественных зданиях оконных блоков из ПВХ профилей: глухих с площадью проема более 2 м2</v>
      </c>
      <c r="D409" s="36" t="str">
        <f>Source!H102</f>
        <v>100 м2</v>
      </c>
      <c r="E409" s="10">
        <f>Source!I102</f>
        <v>0.17380000000000001</v>
      </c>
      <c r="F409" s="37">
        <f>Source!AL102+Source!AM102+Source!AO102</f>
        <v>7170.57</v>
      </c>
      <c r="G409" s="38"/>
      <c r="H409" s="37"/>
      <c r="I409" s="38" t="str">
        <f>Source!BO102</f>
        <v/>
      </c>
      <c r="J409" s="38"/>
      <c r="K409" s="37"/>
      <c r="L409" s="39"/>
      <c r="S409">
        <f>ROUND((Source!FX102/100)*((ROUND(Source!AF102*Source!I102, 2)+ROUND(Source!AE102*Source!I102, 2))), 2)</f>
        <v>304.98</v>
      </c>
      <c r="T409">
        <f>Source!X102</f>
        <v>9314.19</v>
      </c>
      <c r="U409">
        <f>ROUND((Source!FY102/100)*((ROUND(Source!AF102*Source!I102, 2)+ROUND(Source!AE102*Source!I102, 2))), 2)</f>
        <v>132.02000000000001</v>
      </c>
      <c r="V409">
        <f>Source!Y102</f>
        <v>4031.84</v>
      </c>
    </row>
    <row r="410" spans="1:26" ht="14.25" x14ac:dyDescent="0.2">
      <c r="A410" s="53"/>
      <c r="B410" s="53"/>
      <c r="C410" s="53" t="s">
        <v>1132</v>
      </c>
      <c r="D410" s="36"/>
      <c r="E410" s="10"/>
      <c r="F410" s="37">
        <f>Source!AO102</f>
        <v>1177.54</v>
      </c>
      <c r="G410" s="38" t="str">
        <f>Source!DG102</f>
        <v>)*1,15)*1,15</v>
      </c>
      <c r="H410" s="37">
        <f>ROUND(Source!AF102*Source!I102, 2)</f>
        <v>270.66000000000003</v>
      </c>
      <c r="I410" s="38"/>
      <c r="J410" s="38">
        <f>IF(Source!BA102&lt;&gt; 0, Source!BA102, 1)</f>
        <v>30.54</v>
      </c>
      <c r="K410" s="37">
        <f>Source!S102</f>
        <v>8265.92</v>
      </c>
      <c r="L410" s="39"/>
      <c r="R410">
        <f>H410</f>
        <v>270.66000000000003</v>
      </c>
    </row>
    <row r="411" spans="1:26" ht="14.25" x14ac:dyDescent="0.2">
      <c r="A411" s="53"/>
      <c r="B411" s="53"/>
      <c r="C411" s="53" t="s">
        <v>616</v>
      </c>
      <c r="D411" s="36"/>
      <c r="E411" s="10"/>
      <c r="F411" s="37">
        <f>Source!AM102</f>
        <v>236.16</v>
      </c>
      <c r="G411" s="38" t="str">
        <f>Source!DE102</f>
        <v>)*1,15)*1,25</v>
      </c>
      <c r="H411" s="37">
        <f>ROUND((((((Source!ET102*1.15)*1.25))-(((Source!EU102*1.15)*1.25)))+Source!AE102)*Source!I102, 2)</f>
        <v>59</v>
      </c>
      <c r="I411" s="38"/>
      <c r="J411" s="38">
        <f>IF(Source!BB102&lt;&gt; 0, Source!BB102, 1)</f>
        <v>12.13</v>
      </c>
      <c r="K411" s="37">
        <f>Source!Q102</f>
        <v>715.72</v>
      </c>
      <c r="L411" s="39"/>
    </row>
    <row r="412" spans="1:26" ht="14.25" x14ac:dyDescent="0.2">
      <c r="A412" s="53"/>
      <c r="B412" s="53"/>
      <c r="C412" s="53" t="s">
        <v>1138</v>
      </c>
      <c r="D412" s="36"/>
      <c r="E412" s="10"/>
      <c r="F412" s="37">
        <f>Source!AN102</f>
        <v>46.96</v>
      </c>
      <c r="G412" s="38" t="str">
        <f>Source!DF102</f>
        <v>)*1,15)*1,25</v>
      </c>
      <c r="H412" s="47">
        <f>ROUND(Source!AE102*Source!I102, 2)</f>
        <v>11.73</v>
      </c>
      <c r="I412" s="38"/>
      <c r="J412" s="38">
        <f>IF(Source!BS102&lt;&gt; 0, Source!BS102, 1)</f>
        <v>30.54</v>
      </c>
      <c r="K412" s="47">
        <f>Source!R102</f>
        <v>358.33</v>
      </c>
      <c r="L412" s="39"/>
      <c r="R412">
        <f>H412</f>
        <v>11.73</v>
      </c>
    </row>
    <row r="413" spans="1:26" ht="14.25" x14ac:dyDescent="0.2">
      <c r="A413" s="53"/>
      <c r="B413" s="53"/>
      <c r="C413" s="53" t="s">
        <v>1139</v>
      </c>
      <c r="D413" s="36"/>
      <c r="E413" s="10"/>
      <c r="F413" s="37">
        <f>Source!AL102</f>
        <v>5756.87</v>
      </c>
      <c r="G413" s="38" t="str">
        <f>Source!DD102</f>
        <v/>
      </c>
      <c r="H413" s="37">
        <f>ROUND(Source!AC102*Source!I102, 2)</f>
        <v>1000.54</v>
      </c>
      <c r="I413" s="38"/>
      <c r="J413" s="38">
        <f>IF(Source!BC102&lt;&gt; 0, Source!BC102, 1)</f>
        <v>8.7100000000000009</v>
      </c>
      <c r="K413" s="37">
        <f>Source!P102</f>
        <v>8714.74</v>
      </c>
      <c r="L413" s="39"/>
    </row>
    <row r="414" spans="1:26" ht="14.25" x14ac:dyDescent="0.2">
      <c r="A414" s="53"/>
      <c r="B414" s="53"/>
      <c r="C414" s="53" t="s">
        <v>1133</v>
      </c>
      <c r="D414" s="36" t="s">
        <v>1134</v>
      </c>
      <c r="E414" s="10">
        <f>Source!BZ102</f>
        <v>108</v>
      </c>
      <c r="F414" s="55"/>
      <c r="G414" s="38"/>
      <c r="H414" s="37">
        <f>SUM(S409:S416)</f>
        <v>304.98</v>
      </c>
      <c r="I414" s="40"/>
      <c r="J414" s="35">
        <f>Source!AT102</f>
        <v>108</v>
      </c>
      <c r="K414" s="37">
        <f>SUM(T409:T416)</f>
        <v>9314.19</v>
      </c>
      <c r="L414" s="39"/>
    </row>
    <row r="415" spans="1:26" ht="14.25" x14ac:dyDescent="0.2">
      <c r="A415" s="53"/>
      <c r="B415" s="53"/>
      <c r="C415" s="53" t="s">
        <v>1135</v>
      </c>
      <c r="D415" s="36" t="s">
        <v>1134</v>
      </c>
      <c r="E415" s="10">
        <f>Source!CA102</f>
        <v>55</v>
      </c>
      <c r="F415" s="65" t="str">
        <f>CONCATENATE(" )", Source!DM102, Source!FU102, "=", Source!FY102)</f>
        <v xml:space="preserve"> ))*0,85=46,75</v>
      </c>
      <c r="G415" s="66"/>
      <c r="H415" s="37">
        <f>SUM(U409:U416)</f>
        <v>132.02000000000001</v>
      </c>
      <c r="I415" s="40"/>
      <c r="J415" s="35">
        <f>Source!AU102</f>
        <v>46.75</v>
      </c>
      <c r="K415" s="37">
        <f>SUM(V409:V416)</f>
        <v>4031.84</v>
      </c>
      <c r="L415" s="39"/>
    </row>
    <row r="416" spans="1:26" ht="14.25" x14ac:dyDescent="0.2">
      <c r="A416" s="54"/>
      <c r="B416" s="54"/>
      <c r="C416" s="54" t="s">
        <v>1136</v>
      </c>
      <c r="D416" s="41" t="s">
        <v>1137</v>
      </c>
      <c r="E416" s="42">
        <f>Source!AQ102</f>
        <v>134.72999999999999</v>
      </c>
      <c r="F416" s="43"/>
      <c r="G416" s="44" t="str">
        <f>Source!DI102</f>
        <v>)*1,15)*1,15</v>
      </c>
      <c r="H416" s="43"/>
      <c r="I416" s="44"/>
      <c r="J416" s="44"/>
      <c r="K416" s="43"/>
      <c r="L416" s="45">
        <f>Source!U102</f>
        <v>30.967757864999996</v>
      </c>
    </row>
    <row r="417" spans="1:26" ht="15" x14ac:dyDescent="0.25">
      <c r="G417" s="62">
        <f>H410+H411+H413+H414+H415</f>
        <v>1767.2</v>
      </c>
      <c r="H417" s="62"/>
      <c r="J417" s="62">
        <f>K410+K411+K413+K414+K415</f>
        <v>31042.41</v>
      </c>
      <c r="K417" s="62"/>
      <c r="L417" s="46">
        <f>Source!U102</f>
        <v>30.967757864999996</v>
      </c>
      <c r="O417" s="30">
        <f>G417</f>
        <v>1767.2</v>
      </c>
      <c r="P417" s="30">
        <f>J417</f>
        <v>31042.41</v>
      </c>
      <c r="Q417" s="30">
        <f>L417</f>
        <v>30.967757864999996</v>
      </c>
      <c r="W417">
        <f>IF(Source!BI102&lt;=1,H410+H411+H413+H414+H415, 0)</f>
        <v>1767.2</v>
      </c>
      <c r="X417">
        <f>IF(Source!BI102=2,H410+H411+H413+H414+H415, 0)</f>
        <v>0</v>
      </c>
      <c r="Y417">
        <f>IF(Source!BI102=3,H410+H411+H413+H414+H415, 0)</f>
        <v>0</v>
      </c>
      <c r="Z417">
        <f>IF(Source!BI102=4,H410+H411+H413+H414+H415, 0)</f>
        <v>0</v>
      </c>
    </row>
    <row r="418" spans="1:26" ht="54" x14ac:dyDescent="0.2">
      <c r="A418" s="54">
        <v>65</v>
      </c>
      <c r="B418" s="54" t="str">
        <f>Source!F103</f>
        <v>Цена Поставщика</v>
      </c>
      <c r="C418" s="54" t="s">
        <v>1160</v>
      </c>
      <c r="D418" s="41" t="str">
        <f>Source!H103</f>
        <v>шт.</v>
      </c>
      <c r="E418" s="42">
        <f>Source!I103</f>
        <v>6</v>
      </c>
      <c r="F418" s="43">
        <f>Source!AL103</f>
        <v>977.8</v>
      </c>
      <c r="G418" s="44" t="str">
        <f>Source!DD103</f>
        <v/>
      </c>
      <c r="H418" s="43">
        <f>ROUND(Source!AC103*Source!I103, 2)</f>
        <v>5866.8</v>
      </c>
      <c r="I418" s="44" t="str">
        <f>Source!BO103</f>
        <v/>
      </c>
      <c r="J418" s="44">
        <f>IF(Source!BC103&lt;&gt; 0, Source!BC103, 1)</f>
        <v>8.7100000000000009</v>
      </c>
      <c r="K418" s="43">
        <f>Source!P103</f>
        <v>51099.83</v>
      </c>
      <c r="L418" s="50"/>
      <c r="S418">
        <f>ROUND((Source!FX103/100)*((ROUND(Source!AF103*Source!I103, 2)+ROUND(Source!AE103*Source!I103, 2))), 2)</f>
        <v>0</v>
      </c>
      <c r="T418">
        <f>Source!X103</f>
        <v>0</v>
      </c>
      <c r="U418">
        <f>ROUND((Source!FY103/100)*((ROUND(Source!AF103*Source!I103, 2)+ROUND(Source!AE103*Source!I103, 2))), 2)</f>
        <v>0</v>
      </c>
      <c r="V418">
        <f>Source!Y103</f>
        <v>0</v>
      </c>
    </row>
    <row r="419" spans="1:26" ht="15" x14ac:dyDescent="0.25">
      <c r="G419" s="62">
        <f>H418</f>
        <v>5866.8</v>
      </c>
      <c r="H419" s="62"/>
      <c r="J419" s="62">
        <f>K418</f>
        <v>51099.83</v>
      </c>
      <c r="K419" s="62"/>
      <c r="L419" s="46">
        <f>Source!U103</f>
        <v>0</v>
      </c>
      <c r="O419" s="30">
        <f>G419</f>
        <v>5866.8</v>
      </c>
      <c r="P419" s="30">
        <f>J419</f>
        <v>51099.83</v>
      </c>
      <c r="Q419" s="30">
        <f>L419</f>
        <v>0</v>
      </c>
      <c r="W419">
        <f>IF(Source!BI103&lt;=1,H418, 0)</f>
        <v>5866.8</v>
      </c>
      <c r="X419">
        <f>IF(Source!BI103=2,H418, 0)</f>
        <v>0</v>
      </c>
      <c r="Y419">
        <f>IF(Source!BI103=3,H418, 0)</f>
        <v>0</v>
      </c>
      <c r="Z419">
        <f>IF(Source!BI103=4,H418, 0)</f>
        <v>0</v>
      </c>
    </row>
    <row r="420" spans="1:26" ht="57" x14ac:dyDescent="0.2">
      <c r="A420" s="53">
        <v>66</v>
      </c>
      <c r="B420" s="53" t="str">
        <f>Source!F104</f>
        <v>10-01-034-01</v>
      </c>
      <c r="C420" s="53" t="str">
        <f>Source!G104</f>
        <v>Установка в жилых и общественных зданиях оконных блоков из ПВХ профилей: глухих с площадью проема до 2 м2</v>
      </c>
      <c r="D420" s="36" t="str">
        <f>Source!H104</f>
        <v>100 м2</v>
      </c>
      <c r="E420" s="10">
        <f>Source!I104</f>
        <v>0.1147</v>
      </c>
      <c r="F420" s="37">
        <f>Source!AL104+Source!AM104+Source!AO104</f>
        <v>9731.869999999999</v>
      </c>
      <c r="G420" s="38"/>
      <c r="H420" s="37"/>
      <c r="I420" s="38" t="str">
        <f>Source!BO104</f>
        <v/>
      </c>
      <c r="J420" s="38"/>
      <c r="K420" s="37"/>
      <c r="L420" s="39"/>
      <c r="S420">
        <f>ROUND((Source!FX104/100)*((ROUND(Source!AF104*Source!I104, 2)+ROUND(Source!AE104*Source!I104, 2))), 2)</f>
        <v>250.66</v>
      </c>
      <c r="T420">
        <f>Source!X104</f>
        <v>7654.95</v>
      </c>
      <c r="U420">
        <f>ROUND((Source!FY104/100)*((ROUND(Source!AF104*Source!I104, 2)+ROUND(Source!AE104*Source!I104, 2))), 2)</f>
        <v>108.5</v>
      </c>
      <c r="V420">
        <f>Source!Y104</f>
        <v>3313.6</v>
      </c>
    </row>
    <row r="421" spans="1:26" ht="14.25" x14ac:dyDescent="0.2">
      <c r="A421" s="53"/>
      <c r="B421" s="53"/>
      <c r="C421" s="53" t="s">
        <v>1132</v>
      </c>
      <c r="D421" s="36"/>
      <c r="E421" s="10"/>
      <c r="F421" s="37">
        <f>Source!AO104</f>
        <v>1462.81</v>
      </c>
      <c r="G421" s="38" t="str">
        <f>Source!DG104</f>
        <v>)*1,15)*1,15</v>
      </c>
      <c r="H421" s="37">
        <f>ROUND(Source!AF104*Source!I104, 2)</f>
        <v>221.9</v>
      </c>
      <c r="I421" s="38"/>
      <c r="J421" s="38">
        <f>IF(Source!BA104&lt;&gt; 0, Source!BA104, 1)</f>
        <v>30.54</v>
      </c>
      <c r="K421" s="37">
        <f>Source!S104</f>
        <v>6776.68</v>
      </c>
      <c r="L421" s="39"/>
      <c r="R421">
        <f>H421</f>
        <v>221.9</v>
      </c>
    </row>
    <row r="422" spans="1:26" ht="14.25" x14ac:dyDescent="0.2">
      <c r="A422" s="53"/>
      <c r="B422" s="53"/>
      <c r="C422" s="53" t="s">
        <v>616</v>
      </c>
      <c r="D422" s="36"/>
      <c r="E422" s="10"/>
      <c r="F422" s="37">
        <f>Source!AM104</f>
        <v>270.55</v>
      </c>
      <c r="G422" s="38" t="str">
        <f>Source!DE104</f>
        <v>)*1,15)*1,25</v>
      </c>
      <c r="H422" s="37">
        <f>ROUND((((((Source!ET104*1.15)*1.25))-(((Source!EU104*1.15)*1.25)))+Source!AE104)*Source!I104, 2)</f>
        <v>44.61</v>
      </c>
      <c r="I422" s="38"/>
      <c r="J422" s="38">
        <f>IF(Source!BB104&lt;&gt; 0, Source!BB104, 1)</f>
        <v>12.13</v>
      </c>
      <c r="K422" s="37">
        <f>Source!Q104</f>
        <v>541.1</v>
      </c>
      <c r="L422" s="39"/>
    </row>
    <row r="423" spans="1:26" ht="14.25" x14ac:dyDescent="0.2">
      <c r="A423" s="53"/>
      <c r="B423" s="53"/>
      <c r="C423" s="53" t="s">
        <v>1138</v>
      </c>
      <c r="D423" s="36"/>
      <c r="E423" s="10"/>
      <c r="F423" s="37">
        <f>Source!AN104</f>
        <v>61.81</v>
      </c>
      <c r="G423" s="38" t="str">
        <f>Source!DF104</f>
        <v>)*1,15)*1,25</v>
      </c>
      <c r="H423" s="47">
        <f>ROUND(Source!AE104*Source!I104, 2)</f>
        <v>10.19</v>
      </c>
      <c r="I423" s="38"/>
      <c r="J423" s="38">
        <f>IF(Source!BS104&lt;&gt; 0, Source!BS104, 1)</f>
        <v>30.54</v>
      </c>
      <c r="K423" s="47">
        <f>Source!R104</f>
        <v>311.24</v>
      </c>
      <c r="L423" s="39"/>
      <c r="R423">
        <f>H423</f>
        <v>10.19</v>
      </c>
    </row>
    <row r="424" spans="1:26" ht="14.25" x14ac:dyDescent="0.2">
      <c r="A424" s="53"/>
      <c r="B424" s="53"/>
      <c r="C424" s="53" t="s">
        <v>1139</v>
      </c>
      <c r="D424" s="36"/>
      <c r="E424" s="10"/>
      <c r="F424" s="37">
        <f>Source!AL104</f>
        <v>7998.51</v>
      </c>
      <c r="G424" s="38" t="str">
        <f>Source!DD104</f>
        <v/>
      </c>
      <c r="H424" s="37">
        <f>ROUND(Source!AC104*Source!I104, 2)</f>
        <v>917.43</v>
      </c>
      <c r="I424" s="38"/>
      <c r="J424" s="38">
        <f>IF(Source!BC104&lt;&gt; 0, Source!BC104, 1)</f>
        <v>8.7100000000000009</v>
      </c>
      <c r="K424" s="37">
        <f>Source!P104</f>
        <v>7990.81</v>
      </c>
      <c r="L424" s="39"/>
    </row>
    <row r="425" spans="1:26" ht="14.25" x14ac:dyDescent="0.2">
      <c r="A425" s="53"/>
      <c r="B425" s="53"/>
      <c r="C425" s="53" t="s">
        <v>1133</v>
      </c>
      <c r="D425" s="36" t="s">
        <v>1134</v>
      </c>
      <c r="E425" s="10">
        <f>Source!BZ104</f>
        <v>108</v>
      </c>
      <c r="F425" s="55"/>
      <c r="G425" s="38"/>
      <c r="H425" s="37">
        <f>SUM(S420:S427)</f>
        <v>250.66</v>
      </c>
      <c r="I425" s="40"/>
      <c r="J425" s="35">
        <f>Source!AT104</f>
        <v>108</v>
      </c>
      <c r="K425" s="37">
        <f>SUM(T420:T427)</f>
        <v>7654.95</v>
      </c>
      <c r="L425" s="39"/>
    </row>
    <row r="426" spans="1:26" ht="14.25" x14ac:dyDescent="0.2">
      <c r="A426" s="53"/>
      <c r="B426" s="53"/>
      <c r="C426" s="53" t="s">
        <v>1135</v>
      </c>
      <c r="D426" s="36" t="s">
        <v>1134</v>
      </c>
      <c r="E426" s="10">
        <f>Source!CA104</f>
        <v>55</v>
      </c>
      <c r="F426" s="65" t="str">
        <f>CONCATENATE(" )", Source!DM104, Source!FU104, "=", Source!FY104)</f>
        <v xml:space="preserve"> ))*0,85=46,75</v>
      </c>
      <c r="G426" s="66"/>
      <c r="H426" s="37">
        <f>SUM(U420:U427)</f>
        <v>108.5</v>
      </c>
      <c r="I426" s="40"/>
      <c r="J426" s="35">
        <f>Source!AU104</f>
        <v>46.75</v>
      </c>
      <c r="K426" s="37">
        <f>SUM(V420:V427)</f>
        <v>3313.6</v>
      </c>
      <c r="L426" s="39"/>
    </row>
    <row r="427" spans="1:26" ht="14.25" x14ac:dyDescent="0.2">
      <c r="A427" s="54"/>
      <c r="B427" s="54"/>
      <c r="C427" s="54" t="s">
        <v>1136</v>
      </c>
      <c r="D427" s="41" t="s">
        <v>1137</v>
      </c>
      <c r="E427" s="42">
        <f>Source!AQ104</f>
        <v>167.37</v>
      </c>
      <c r="F427" s="43"/>
      <c r="G427" s="44" t="str">
        <f>Source!DI104</f>
        <v>)*1,15)*1,15</v>
      </c>
      <c r="H427" s="43"/>
      <c r="I427" s="44"/>
      <c r="J427" s="44"/>
      <c r="K427" s="43"/>
      <c r="L427" s="45">
        <f>Source!U104</f>
        <v>25.388480827499997</v>
      </c>
    </row>
    <row r="428" spans="1:26" ht="15" x14ac:dyDescent="0.25">
      <c r="G428" s="62">
        <f>H421+H422+H424+H425+H426</f>
        <v>1543.1000000000001</v>
      </c>
      <c r="H428" s="62"/>
      <c r="J428" s="62">
        <f>K421+K422+K424+K425+K426</f>
        <v>26277.14</v>
      </c>
      <c r="K428" s="62"/>
      <c r="L428" s="46">
        <f>Source!U104</f>
        <v>25.388480827499997</v>
      </c>
      <c r="O428" s="30">
        <f>G428</f>
        <v>1543.1000000000001</v>
      </c>
      <c r="P428" s="30">
        <f>J428</f>
        <v>26277.14</v>
      </c>
      <c r="Q428" s="30">
        <f>L428</f>
        <v>25.388480827499997</v>
      </c>
      <c r="W428">
        <f>IF(Source!BI104&lt;=1,H421+H422+H424+H425+H426, 0)</f>
        <v>1543.1000000000001</v>
      </c>
      <c r="X428">
        <f>IF(Source!BI104=2,H421+H422+H424+H425+H426, 0)</f>
        <v>0</v>
      </c>
      <c r="Y428">
        <f>IF(Source!BI104=3,H421+H422+H424+H425+H426, 0)</f>
        <v>0</v>
      </c>
      <c r="Z428">
        <f>IF(Source!BI104=4,H421+H422+H424+H425+H426, 0)</f>
        <v>0</v>
      </c>
    </row>
    <row r="429" spans="1:26" ht="54" x14ac:dyDescent="0.2">
      <c r="A429" s="54">
        <v>67</v>
      </c>
      <c r="B429" s="54" t="str">
        <f>Source!F105</f>
        <v>Цена Поставщика</v>
      </c>
      <c r="C429" s="54" t="s">
        <v>1161</v>
      </c>
      <c r="D429" s="41" t="str">
        <f>Source!H105</f>
        <v>шт.</v>
      </c>
      <c r="E429" s="42">
        <f>Source!I105</f>
        <v>6</v>
      </c>
      <c r="F429" s="43">
        <f>Source!AL105</f>
        <v>609.17000000000007</v>
      </c>
      <c r="G429" s="44" t="str">
        <f>Source!DD105</f>
        <v/>
      </c>
      <c r="H429" s="43">
        <f>ROUND(Source!AC105*Source!I105, 2)</f>
        <v>3655.02</v>
      </c>
      <c r="I429" s="44" t="str">
        <f>Source!BO105</f>
        <v/>
      </c>
      <c r="J429" s="44">
        <f>IF(Source!BC105&lt;&gt; 0, Source!BC105, 1)</f>
        <v>8.7100000000000009</v>
      </c>
      <c r="K429" s="43">
        <f>Source!P105</f>
        <v>31835.22</v>
      </c>
      <c r="L429" s="50"/>
      <c r="S429">
        <f>ROUND((Source!FX105/100)*((ROUND(Source!AF105*Source!I105, 2)+ROUND(Source!AE105*Source!I105, 2))), 2)</f>
        <v>0</v>
      </c>
      <c r="T429">
        <f>Source!X105</f>
        <v>0</v>
      </c>
      <c r="U429">
        <f>ROUND((Source!FY105/100)*((ROUND(Source!AF105*Source!I105, 2)+ROUND(Source!AE105*Source!I105, 2))), 2)</f>
        <v>0</v>
      </c>
      <c r="V429">
        <f>Source!Y105</f>
        <v>0</v>
      </c>
    </row>
    <row r="430" spans="1:26" ht="15" x14ac:dyDescent="0.25">
      <c r="G430" s="62">
        <f>H429</f>
        <v>3655.02</v>
      </c>
      <c r="H430" s="62"/>
      <c r="J430" s="62">
        <f>K429</f>
        <v>31835.22</v>
      </c>
      <c r="K430" s="62"/>
      <c r="L430" s="46">
        <f>Source!U105</f>
        <v>0</v>
      </c>
      <c r="O430" s="30">
        <f>G430</f>
        <v>3655.02</v>
      </c>
      <c r="P430" s="30">
        <f>J430</f>
        <v>31835.22</v>
      </c>
      <c r="Q430" s="30">
        <f>L430</f>
        <v>0</v>
      </c>
      <c r="W430">
        <f>IF(Source!BI105&lt;=1,H429, 0)</f>
        <v>3655.02</v>
      </c>
      <c r="X430">
        <f>IF(Source!BI105=2,H429, 0)</f>
        <v>0</v>
      </c>
      <c r="Y430">
        <f>IF(Source!BI105=3,H429, 0)</f>
        <v>0</v>
      </c>
      <c r="Z430">
        <f>IF(Source!BI105=4,H429, 0)</f>
        <v>0</v>
      </c>
    </row>
    <row r="431" spans="1:26" ht="28.5" x14ac:dyDescent="0.2">
      <c r="A431" s="53">
        <v>68</v>
      </c>
      <c r="B431" s="53" t="str">
        <f>Source!F106</f>
        <v>62-47-1</v>
      </c>
      <c r="C431" s="53" t="str">
        <f>Source!G106</f>
        <v>Расчистка поверхностей шпателем, щетками от старых покрасок</v>
      </c>
      <c r="D431" s="36" t="str">
        <f>Source!H106</f>
        <v>м2</v>
      </c>
      <c r="E431" s="10">
        <f>Source!I106</f>
        <v>8.5500000000000007</v>
      </c>
      <c r="F431" s="37">
        <f>Source!AL106+Source!AM106+Source!AO106</f>
        <v>4.38</v>
      </c>
      <c r="G431" s="38"/>
      <c r="H431" s="37"/>
      <c r="I431" s="38" t="str">
        <f>Source!BO106</f>
        <v/>
      </c>
      <c r="J431" s="38"/>
      <c r="K431" s="37"/>
      <c r="L431" s="39"/>
      <c r="S431">
        <f>ROUND((Source!FX106/100)*((ROUND(Source!AF106*Source!I106, 2)+ROUND(Source!AE106*Source!I106, 2))), 2)</f>
        <v>38.78</v>
      </c>
      <c r="T431">
        <f>Source!X106</f>
        <v>1184.43</v>
      </c>
      <c r="U431">
        <f>ROUND((Source!FY106/100)*((ROUND(Source!AF106*Source!I106, 2)+ROUND(Source!AE106*Source!I106, 2))), 2)</f>
        <v>19.82</v>
      </c>
      <c r="V431">
        <f>Source!Y106</f>
        <v>605.37</v>
      </c>
    </row>
    <row r="432" spans="1:26" ht="14.25" x14ac:dyDescent="0.2">
      <c r="A432" s="53"/>
      <c r="B432" s="53"/>
      <c r="C432" s="53" t="s">
        <v>1132</v>
      </c>
      <c r="D432" s="36"/>
      <c r="E432" s="10"/>
      <c r="F432" s="37">
        <f>Source!AO106</f>
        <v>4.38</v>
      </c>
      <c r="G432" s="38" t="str">
        <f>Source!DG106</f>
        <v>)*1,15</v>
      </c>
      <c r="H432" s="37">
        <f>ROUND(Source!AF106*Source!I106, 2)</f>
        <v>43.09</v>
      </c>
      <c r="I432" s="38"/>
      <c r="J432" s="38">
        <f>IF(Source!BA106&lt;&gt; 0, Source!BA106, 1)</f>
        <v>30.54</v>
      </c>
      <c r="K432" s="37">
        <f>Source!S106</f>
        <v>1316.03</v>
      </c>
      <c r="L432" s="39"/>
      <c r="R432">
        <f>H432</f>
        <v>43.09</v>
      </c>
    </row>
    <row r="433" spans="1:26" ht="14.25" x14ac:dyDescent="0.2">
      <c r="A433" s="53"/>
      <c r="B433" s="53"/>
      <c r="C433" s="53" t="s">
        <v>1133</v>
      </c>
      <c r="D433" s="36" t="s">
        <v>1134</v>
      </c>
      <c r="E433" s="10">
        <f>Source!BZ106</f>
        <v>90</v>
      </c>
      <c r="F433" s="55"/>
      <c r="G433" s="38"/>
      <c r="H433" s="37">
        <f>SUM(S431:S435)</f>
        <v>38.78</v>
      </c>
      <c r="I433" s="40"/>
      <c r="J433" s="35">
        <f>Source!AT106</f>
        <v>90</v>
      </c>
      <c r="K433" s="37">
        <f>SUM(T431:T435)</f>
        <v>1184.43</v>
      </c>
      <c r="L433" s="39"/>
    </row>
    <row r="434" spans="1:26" ht="14.25" x14ac:dyDescent="0.2">
      <c r="A434" s="53"/>
      <c r="B434" s="53"/>
      <c r="C434" s="53" t="s">
        <v>1135</v>
      </c>
      <c r="D434" s="36" t="s">
        <v>1134</v>
      </c>
      <c r="E434" s="10">
        <f>Source!CA106</f>
        <v>46</v>
      </c>
      <c r="F434" s="55"/>
      <c r="G434" s="38"/>
      <c r="H434" s="37">
        <f>SUM(U431:U435)</f>
        <v>19.82</v>
      </c>
      <c r="I434" s="40"/>
      <c r="J434" s="35">
        <f>Source!AU106</f>
        <v>46</v>
      </c>
      <c r="K434" s="37">
        <f>SUM(V431:V435)</f>
        <v>605.37</v>
      </c>
      <c r="L434" s="39"/>
    </row>
    <row r="435" spans="1:26" ht="14.25" x14ac:dyDescent="0.2">
      <c r="A435" s="54"/>
      <c r="B435" s="54"/>
      <c r="C435" s="54" t="s">
        <v>1136</v>
      </c>
      <c r="D435" s="41" t="s">
        <v>1137</v>
      </c>
      <c r="E435" s="42">
        <f>Source!AQ106</f>
        <v>0.57999999999999996</v>
      </c>
      <c r="F435" s="43"/>
      <c r="G435" s="44" t="str">
        <f>Source!DI106</f>
        <v>)*1,15</v>
      </c>
      <c r="H435" s="43"/>
      <c r="I435" s="44"/>
      <c r="J435" s="44"/>
      <c r="K435" s="43"/>
      <c r="L435" s="45">
        <f>Source!U106</f>
        <v>5.7028499999999998</v>
      </c>
    </row>
    <row r="436" spans="1:26" ht="15" x14ac:dyDescent="0.25">
      <c r="G436" s="62">
        <f>H432+H433+H434</f>
        <v>101.69</v>
      </c>
      <c r="H436" s="62"/>
      <c r="J436" s="62">
        <f>K432+K433+K434</f>
        <v>3105.83</v>
      </c>
      <c r="K436" s="62"/>
      <c r="L436" s="46">
        <f>Source!U106</f>
        <v>5.7028499999999998</v>
      </c>
      <c r="O436" s="30">
        <f>G436</f>
        <v>101.69</v>
      </c>
      <c r="P436" s="30">
        <f>J436</f>
        <v>3105.83</v>
      </c>
      <c r="Q436" s="30">
        <f>L436</f>
        <v>5.7028499999999998</v>
      </c>
      <c r="W436">
        <f>IF(Source!BI106&lt;=1,H432+H433+H434, 0)</f>
        <v>101.69</v>
      </c>
      <c r="X436">
        <f>IF(Source!BI106=2,H432+H433+H434, 0)</f>
        <v>0</v>
      </c>
      <c r="Y436">
        <f>IF(Source!BI106=3,H432+H433+H434, 0)</f>
        <v>0</v>
      </c>
      <c r="Z436">
        <f>IF(Source!BI106=4,H432+H433+H434, 0)</f>
        <v>0</v>
      </c>
    </row>
    <row r="437" spans="1:26" ht="71.25" x14ac:dyDescent="0.2">
      <c r="A437" s="53">
        <v>69</v>
      </c>
      <c r="B437" s="53" t="str">
        <f>Source!F107</f>
        <v>15-02-019-05</v>
      </c>
      <c r="C437" s="53" t="str">
        <f>Source!G107</f>
        <v>Сплошное выравнивание внутренних поверхностей (однослойное оштукатуривание) из сухих растворных смесей толщиной до 10 мм: оконных и дверных откосов плоских</v>
      </c>
      <c r="D437" s="36" t="str">
        <f>Source!H107</f>
        <v>100 м2</v>
      </c>
      <c r="E437" s="10">
        <f>Source!I107</f>
        <v>8.5500000000000007E-2</v>
      </c>
      <c r="F437" s="37">
        <f>Source!AL107+Source!AM107+Source!AO107</f>
        <v>739.34</v>
      </c>
      <c r="G437" s="38"/>
      <c r="H437" s="37"/>
      <c r="I437" s="38" t="str">
        <f>Source!BO107</f>
        <v/>
      </c>
      <c r="J437" s="38"/>
      <c r="K437" s="37"/>
      <c r="L437" s="39"/>
      <c r="S437">
        <f>ROUND((Source!FX107/100)*((ROUND(Source!AF107*Source!I107, 2)+ROUND(Source!AE107*Source!I107, 2))), 2)</f>
        <v>82.48</v>
      </c>
      <c r="T437">
        <f>Source!X107</f>
        <v>2519.1</v>
      </c>
      <c r="U437">
        <f>ROUND((Source!FY107/100)*((ROUND(Source!AF107*Source!I107, 2)+ROUND(Source!AE107*Source!I107, 2))), 2)</f>
        <v>34.35</v>
      </c>
      <c r="V437">
        <f>Source!Y107</f>
        <v>1049.21</v>
      </c>
    </row>
    <row r="438" spans="1:26" ht="14.25" x14ac:dyDescent="0.2">
      <c r="A438" s="53"/>
      <c r="B438" s="53"/>
      <c r="C438" s="53" t="s">
        <v>1132</v>
      </c>
      <c r="D438" s="36"/>
      <c r="E438" s="10"/>
      <c r="F438" s="37">
        <f>Source!AO107</f>
        <v>713.71</v>
      </c>
      <c r="G438" s="38" t="str">
        <f>Source!DG107</f>
        <v>)*1,15)*1,15</v>
      </c>
      <c r="H438" s="37">
        <f>ROUND(Source!AF107*Source!I107, 2)</f>
        <v>80.7</v>
      </c>
      <c r="I438" s="38"/>
      <c r="J438" s="38">
        <f>IF(Source!BA107&lt;&gt; 0, Source!BA107, 1)</f>
        <v>30.54</v>
      </c>
      <c r="K438" s="37">
        <f>Source!S107</f>
        <v>2464.63</v>
      </c>
      <c r="L438" s="39"/>
      <c r="R438">
        <f>H438</f>
        <v>80.7</v>
      </c>
    </row>
    <row r="439" spans="1:26" ht="14.25" x14ac:dyDescent="0.2">
      <c r="A439" s="53"/>
      <c r="B439" s="53"/>
      <c r="C439" s="53" t="s">
        <v>616</v>
      </c>
      <c r="D439" s="36"/>
      <c r="E439" s="10"/>
      <c r="F439" s="37">
        <f>Source!AM107</f>
        <v>23.82</v>
      </c>
      <c r="G439" s="38" t="str">
        <f>Source!DE107</f>
        <v>)*1,25)*1,15</v>
      </c>
      <c r="H439" s="37">
        <f>ROUND((((((Source!ET107*1.25)*1.15))-(((Source!EU107*1.25)*1.15)))+Source!AE107)*Source!I107, 2)</f>
        <v>2.93</v>
      </c>
      <c r="I439" s="38"/>
      <c r="J439" s="38">
        <f>IF(Source!BB107&lt;&gt; 0, Source!BB107, 1)</f>
        <v>12.13</v>
      </c>
      <c r="K439" s="37">
        <f>Source!Q107</f>
        <v>35.520000000000003</v>
      </c>
      <c r="L439" s="39"/>
    </row>
    <row r="440" spans="1:26" ht="14.25" x14ac:dyDescent="0.2">
      <c r="A440" s="53"/>
      <c r="B440" s="53"/>
      <c r="C440" s="53" t="s">
        <v>1138</v>
      </c>
      <c r="D440" s="36"/>
      <c r="E440" s="10"/>
      <c r="F440" s="37">
        <f>Source!AN107</f>
        <v>14.51</v>
      </c>
      <c r="G440" s="38" t="str">
        <f>Source!DF107</f>
        <v>)*1,25)*1,15</v>
      </c>
      <c r="H440" s="47">
        <f>ROUND(Source!AE107*Source!I107, 2)</f>
        <v>1.78</v>
      </c>
      <c r="I440" s="38"/>
      <c r="J440" s="38">
        <f>IF(Source!BS107&lt;&gt; 0, Source!BS107, 1)</f>
        <v>30.54</v>
      </c>
      <c r="K440" s="47">
        <f>Source!R107</f>
        <v>54.47</v>
      </c>
      <c r="L440" s="39"/>
      <c r="R440">
        <f>H440</f>
        <v>1.78</v>
      </c>
    </row>
    <row r="441" spans="1:26" ht="14.25" x14ac:dyDescent="0.2">
      <c r="A441" s="53"/>
      <c r="B441" s="53"/>
      <c r="C441" s="53" t="s">
        <v>1139</v>
      </c>
      <c r="D441" s="36"/>
      <c r="E441" s="10"/>
      <c r="F441" s="37">
        <f>Source!AL107</f>
        <v>1.81</v>
      </c>
      <c r="G441" s="38" t="str">
        <f>Source!DD107</f>
        <v/>
      </c>
      <c r="H441" s="37">
        <f>ROUND(Source!AC107*Source!I107, 2)</f>
        <v>0.15</v>
      </c>
      <c r="I441" s="38"/>
      <c r="J441" s="38">
        <f>IF(Source!BC107&lt;&gt; 0, Source!BC107, 1)</f>
        <v>8.7100000000000009</v>
      </c>
      <c r="K441" s="37">
        <f>Source!P107</f>
        <v>1.35</v>
      </c>
      <c r="L441" s="39"/>
    </row>
    <row r="442" spans="1:26" ht="14.25" x14ac:dyDescent="0.2">
      <c r="A442" s="53"/>
      <c r="B442" s="53"/>
      <c r="C442" s="53" t="s">
        <v>1133</v>
      </c>
      <c r="D442" s="36" t="s">
        <v>1134</v>
      </c>
      <c r="E442" s="10">
        <f>Source!BZ107</f>
        <v>100</v>
      </c>
      <c r="F442" s="55"/>
      <c r="G442" s="38"/>
      <c r="H442" s="37">
        <f>SUM(S437:S444)</f>
        <v>82.48</v>
      </c>
      <c r="I442" s="40"/>
      <c r="J442" s="35">
        <f>Source!AT107</f>
        <v>100</v>
      </c>
      <c r="K442" s="37">
        <f>SUM(T437:T444)</f>
        <v>2519.1</v>
      </c>
      <c r="L442" s="39"/>
    </row>
    <row r="443" spans="1:26" ht="14.25" x14ac:dyDescent="0.2">
      <c r="A443" s="53"/>
      <c r="B443" s="53"/>
      <c r="C443" s="53" t="s">
        <v>1135</v>
      </c>
      <c r="D443" s="36" t="s">
        <v>1134</v>
      </c>
      <c r="E443" s="10">
        <f>Source!CA107</f>
        <v>49</v>
      </c>
      <c r="F443" s="65" t="str">
        <f>CONCATENATE(" )", Source!DM107, Source!FU107, "=", Source!FY107)</f>
        <v xml:space="preserve"> ))*0,85=41,65</v>
      </c>
      <c r="G443" s="66"/>
      <c r="H443" s="37">
        <f>SUM(U437:U444)</f>
        <v>34.35</v>
      </c>
      <c r="I443" s="40"/>
      <c r="J443" s="35">
        <f>Source!AU107</f>
        <v>41.65</v>
      </c>
      <c r="K443" s="37">
        <f>SUM(V437:V444)</f>
        <v>1049.21</v>
      </c>
      <c r="L443" s="39"/>
    </row>
    <row r="444" spans="1:26" ht="14.25" x14ac:dyDescent="0.2">
      <c r="A444" s="54"/>
      <c r="B444" s="54"/>
      <c r="C444" s="54" t="s">
        <v>1136</v>
      </c>
      <c r="D444" s="41" t="s">
        <v>1137</v>
      </c>
      <c r="E444" s="42">
        <f>Source!AQ107</f>
        <v>83.67</v>
      </c>
      <c r="F444" s="43"/>
      <c r="G444" s="44" t="str">
        <f>Source!DI107</f>
        <v>)*1,15)*1,15</v>
      </c>
      <c r="H444" s="43"/>
      <c r="I444" s="44"/>
      <c r="J444" s="44"/>
      <c r="K444" s="43"/>
      <c r="L444" s="45">
        <f>Source!U107</f>
        <v>9.4608806624999993</v>
      </c>
    </row>
    <row r="445" spans="1:26" ht="15" x14ac:dyDescent="0.25">
      <c r="G445" s="62">
        <f>H438+H439+H441+H442+H443</f>
        <v>200.61</v>
      </c>
      <c r="H445" s="62"/>
      <c r="J445" s="62">
        <f>K438+K439+K441+K442+K443</f>
        <v>6069.81</v>
      </c>
      <c r="K445" s="62"/>
      <c r="L445" s="46">
        <f>Source!U107</f>
        <v>9.4608806624999993</v>
      </c>
      <c r="O445" s="30">
        <f>G445</f>
        <v>200.61</v>
      </c>
      <c r="P445" s="30">
        <f>J445</f>
        <v>6069.81</v>
      </c>
      <c r="Q445" s="30">
        <f>L445</f>
        <v>9.4608806624999993</v>
      </c>
      <c r="W445">
        <f>IF(Source!BI107&lt;=1,H438+H439+H441+H442+H443, 0)</f>
        <v>200.61</v>
      </c>
      <c r="X445">
        <f>IF(Source!BI107=2,H438+H439+H441+H442+H443, 0)</f>
        <v>0</v>
      </c>
      <c r="Y445">
        <f>IF(Source!BI107=3,H438+H439+H441+H442+H443, 0)</f>
        <v>0</v>
      </c>
      <c r="Z445">
        <f>IF(Source!BI107=4,H438+H439+H441+H442+H443, 0)</f>
        <v>0</v>
      </c>
    </row>
    <row r="446" spans="1:26" ht="85.5" x14ac:dyDescent="0.2">
      <c r="A446" s="53">
        <v>70</v>
      </c>
      <c r="B446" s="53" t="str">
        <f>Source!F108</f>
        <v>15-02-019-09</v>
      </c>
      <c r="C446" s="53" t="str">
        <f>Source!G108</f>
        <v>Сплошное выравнивание внутренних поверхностей (однослойное оштукатуривание) из сухих растворных смесей на каждый 1 мм изменения толщины слоя добавлять или исключать к расценке: 15-02-019-05</v>
      </c>
      <c r="D446" s="36" t="str">
        <f>Source!H108</f>
        <v>100 м2</v>
      </c>
      <c r="E446" s="10">
        <f>Source!I108</f>
        <v>8.5500000000000007E-2</v>
      </c>
      <c r="F446" s="37">
        <f>Source!AL108+Source!AM108+Source!AO108</f>
        <v>72.660000000000011</v>
      </c>
      <c r="G446" s="38"/>
      <c r="H446" s="37"/>
      <c r="I446" s="38" t="str">
        <f>Source!BO108</f>
        <v/>
      </c>
      <c r="J446" s="38"/>
      <c r="K446" s="37"/>
      <c r="L446" s="39"/>
      <c r="S446">
        <f>ROUND((Source!FX108/100)*((ROUND(Source!AF108*Source!I108, 2)+ROUND(Source!AE108*Source!I108, 2))), 2)</f>
        <v>40.520000000000003</v>
      </c>
      <c r="T446">
        <f>Source!X108</f>
        <v>1237.75</v>
      </c>
      <c r="U446">
        <f>ROUND((Source!FY108/100)*((ROUND(Source!AF108*Source!I108, 2)+ROUND(Source!AE108*Source!I108, 2))), 2)</f>
        <v>16.88</v>
      </c>
      <c r="V446">
        <f>Source!Y108</f>
        <v>515.52</v>
      </c>
    </row>
    <row r="447" spans="1:26" ht="28.5" x14ac:dyDescent="0.2">
      <c r="A447" s="53"/>
      <c r="B447" s="53"/>
      <c r="C447" s="53" t="s">
        <v>1132</v>
      </c>
      <c r="D447" s="36"/>
      <c r="E447" s="10"/>
      <c r="F447" s="37">
        <f>Source!AO108</f>
        <v>70.12</v>
      </c>
      <c r="G447" s="38" t="str">
        <f>Source!DG108</f>
        <v>)*1,15)*1,15)*5</v>
      </c>
      <c r="H447" s="37">
        <f>ROUND(Source!AF108*Source!I108, 2)</f>
        <v>39.64</v>
      </c>
      <c r="I447" s="38"/>
      <c r="J447" s="38">
        <f>IF(Source!BA108&lt;&gt; 0, Source!BA108, 1)</f>
        <v>30.54</v>
      </c>
      <c r="K447" s="37">
        <f>Source!S108</f>
        <v>1210.72</v>
      </c>
      <c r="L447" s="39"/>
      <c r="R447">
        <f>H447</f>
        <v>39.64</v>
      </c>
    </row>
    <row r="448" spans="1:26" ht="28.5" x14ac:dyDescent="0.2">
      <c r="A448" s="53"/>
      <c r="B448" s="53"/>
      <c r="C448" s="53" t="s">
        <v>616</v>
      </c>
      <c r="D448" s="36"/>
      <c r="E448" s="10"/>
      <c r="F448" s="37">
        <f>Source!AM108</f>
        <v>2.36</v>
      </c>
      <c r="G448" s="38" t="str">
        <f>Source!DE108</f>
        <v>)*1,25)*1,15)*5</v>
      </c>
      <c r="H448" s="37">
        <f>ROUND(((((((Source!ET108*1.25)*1.15)*5))-((((Source!EU108*1.25)*1.15)*5)))+Source!AE108)*Source!I108, 2)</f>
        <v>1.45</v>
      </c>
      <c r="I448" s="38"/>
      <c r="J448" s="38">
        <f>IF(Source!BB108&lt;&gt; 0, Source!BB108, 1)</f>
        <v>12.13</v>
      </c>
      <c r="K448" s="37">
        <f>Source!Q108</f>
        <v>17.59</v>
      </c>
      <c r="L448" s="39"/>
    </row>
    <row r="449" spans="1:26" ht="28.5" x14ac:dyDescent="0.2">
      <c r="A449" s="53"/>
      <c r="B449" s="53"/>
      <c r="C449" s="53" t="s">
        <v>1138</v>
      </c>
      <c r="D449" s="36"/>
      <c r="E449" s="10"/>
      <c r="F449" s="37">
        <f>Source!AN108</f>
        <v>1.44</v>
      </c>
      <c r="G449" s="38" t="str">
        <f>Source!DF108</f>
        <v>)*1,25)*1,15)*5</v>
      </c>
      <c r="H449" s="47">
        <f>ROUND(Source!AE108*Source!I108, 2)</f>
        <v>0.88</v>
      </c>
      <c r="I449" s="38"/>
      <c r="J449" s="38">
        <f>IF(Source!BS108&lt;&gt; 0, Source!BS108, 1)</f>
        <v>30.54</v>
      </c>
      <c r="K449" s="47">
        <f>Source!R108</f>
        <v>27.03</v>
      </c>
      <c r="L449" s="39"/>
      <c r="R449">
        <f>H449</f>
        <v>0.88</v>
      </c>
    </row>
    <row r="450" spans="1:26" ht="14.25" x14ac:dyDescent="0.2">
      <c r="A450" s="53"/>
      <c r="B450" s="53"/>
      <c r="C450" s="53" t="s">
        <v>1139</v>
      </c>
      <c r="D450" s="36"/>
      <c r="E450" s="10"/>
      <c r="F450" s="37">
        <f>Source!AL108</f>
        <v>0.18</v>
      </c>
      <c r="G450" s="38" t="str">
        <f>Source!DD108</f>
        <v>)*5</v>
      </c>
      <c r="H450" s="37">
        <f>ROUND(Source!AC108*Source!I108, 2)</f>
        <v>0.08</v>
      </c>
      <c r="I450" s="38"/>
      <c r="J450" s="38">
        <f>IF(Source!BC108&lt;&gt; 0, Source!BC108, 1)</f>
        <v>8.7100000000000009</v>
      </c>
      <c r="K450" s="37">
        <f>Source!P108</f>
        <v>0.67</v>
      </c>
      <c r="L450" s="39"/>
    </row>
    <row r="451" spans="1:26" ht="14.25" x14ac:dyDescent="0.2">
      <c r="A451" s="53"/>
      <c r="B451" s="53"/>
      <c r="C451" s="53" t="s">
        <v>1133</v>
      </c>
      <c r="D451" s="36" t="s">
        <v>1134</v>
      </c>
      <c r="E451" s="10">
        <f>Source!BZ108</f>
        <v>100</v>
      </c>
      <c r="F451" s="55"/>
      <c r="G451" s="38"/>
      <c r="H451" s="37">
        <f>SUM(S446:S453)</f>
        <v>40.520000000000003</v>
      </c>
      <c r="I451" s="40"/>
      <c r="J451" s="35">
        <f>Source!AT108</f>
        <v>100</v>
      </c>
      <c r="K451" s="37">
        <f>SUM(T446:T453)</f>
        <v>1237.75</v>
      </c>
      <c r="L451" s="39"/>
    </row>
    <row r="452" spans="1:26" ht="14.25" x14ac:dyDescent="0.2">
      <c r="A452" s="53"/>
      <c r="B452" s="53"/>
      <c r="C452" s="53" t="s">
        <v>1135</v>
      </c>
      <c r="D452" s="36" t="s">
        <v>1134</v>
      </c>
      <c r="E452" s="10">
        <f>Source!CA108</f>
        <v>49</v>
      </c>
      <c r="F452" s="65" t="str">
        <f>CONCATENATE(" )", Source!DM108, Source!FU108, "=", Source!FY108)</f>
        <v xml:space="preserve"> ))*0,85=41,65</v>
      </c>
      <c r="G452" s="66"/>
      <c r="H452" s="37">
        <f>SUM(U446:U453)</f>
        <v>16.88</v>
      </c>
      <c r="I452" s="40"/>
      <c r="J452" s="35">
        <f>Source!AU108</f>
        <v>41.65</v>
      </c>
      <c r="K452" s="37">
        <f>SUM(V446:V453)</f>
        <v>515.52</v>
      </c>
      <c r="L452" s="39"/>
    </row>
    <row r="453" spans="1:26" ht="28.5" x14ac:dyDescent="0.2">
      <c r="A453" s="54"/>
      <c r="B453" s="54"/>
      <c r="C453" s="54" t="s">
        <v>1136</v>
      </c>
      <c r="D453" s="41" t="s">
        <v>1137</v>
      </c>
      <c r="E453" s="42">
        <f>Source!AQ108</f>
        <v>8.2200000000000006</v>
      </c>
      <c r="F453" s="43"/>
      <c r="G453" s="44" t="str">
        <f>Source!DI108</f>
        <v>)*1,15)*1,15)*5</v>
      </c>
      <c r="H453" s="43"/>
      <c r="I453" s="44"/>
      <c r="J453" s="44"/>
      <c r="K453" s="43"/>
      <c r="L453" s="45">
        <f>Source!U108</f>
        <v>4.647331125</v>
      </c>
    </row>
    <row r="454" spans="1:26" ht="15" x14ac:dyDescent="0.25">
      <c r="G454" s="62">
        <f>H447+H448+H450+H451+H452</f>
        <v>98.57</v>
      </c>
      <c r="H454" s="62"/>
      <c r="J454" s="62">
        <f>K447+K448+K450+K451+K452</f>
        <v>2982.25</v>
      </c>
      <c r="K454" s="62"/>
      <c r="L454" s="46">
        <f>Source!U108</f>
        <v>4.647331125</v>
      </c>
      <c r="O454" s="30">
        <f>G454</f>
        <v>98.57</v>
      </c>
      <c r="P454" s="30">
        <f>J454</f>
        <v>2982.25</v>
      </c>
      <c r="Q454" s="30">
        <f>L454</f>
        <v>4.647331125</v>
      </c>
      <c r="W454">
        <f>IF(Source!BI108&lt;=1,H447+H448+H450+H451+H452, 0)</f>
        <v>98.57</v>
      </c>
      <c r="X454">
        <f>IF(Source!BI108=2,H447+H448+H450+H451+H452, 0)</f>
        <v>0</v>
      </c>
      <c r="Y454">
        <f>IF(Source!BI108=3,H447+H448+H450+H451+H452, 0)</f>
        <v>0</v>
      </c>
      <c r="Z454">
        <f>IF(Source!BI108=4,H447+H448+H450+H451+H452, 0)</f>
        <v>0</v>
      </c>
    </row>
    <row r="455" spans="1:26" ht="54" x14ac:dyDescent="0.2">
      <c r="A455" s="53">
        <v>71</v>
      </c>
      <c r="B455" s="53" t="str">
        <f>Source!F109</f>
        <v>Цена Поставщика</v>
      </c>
      <c r="C455" s="53" t="s">
        <v>1145</v>
      </c>
      <c r="D455" s="36" t="str">
        <f>Source!H109</f>
        <v>л</v>
      </c>
      <c r="E455" s="10">
        <f>Source!I109</f>
        <v>2.1375000000000002</v>
      </c>
      <c r="F455" s="37">
        <f>Source!AL109</f>
        <v>9.33</v>
      </c>
      <c r="G455" s="38" t="str">
        <f>Source!DD109</f>
        <v/>
      </c>
      <c r="H455" s="37">
        <f>ROUND(Source!AC109*Source!I109, 2)</f>
        <v>19.940000000000001</v>
      </c>
      <c r="I455" s="38" t="str">
        <f>Source!BO109</f>
        <v/>
      </c>
      <c r="J455" s="38">
        <f>IF(Source!BC109&lt;&gt; 0, Source!BC109, 1)</f>
        <v>8.7100000000000009</v>
      </c>
      <c r="K455" s="37">
        <f>Source!P109</f>
        <v>173.7</v>
      </c>
      <c r="L455" s="39"/>
      <c r="S455">
        <f>ROUND((Source!FX109/100)*((ROUND(Source!AF109*Source!I109, 2)+ROUND(Source!AE109*Source!I109, 2))), 2)</f>
        <v>0</v>
      </c>
      <c r="T455">
        <f>Source!X109</f>
        <v>0</v>
      </c>
      <c r="U455">
        <f>ROUND((Source!FY109/100)*((ROUND(Source!AF109*Source!I109, 2)+ROUND(Source!AE109*Source!I109, 2))), 2)</f>
        <v>0</v>
      </c>
      <c r="V455">
        <f>Source!Y109</f>
        <v>0</v>
      </c>
    </row>
    <row r="456" spans="1:26" x14ac:dyDescent="0.2">
      <c r="A456" s="32"/>
      <c r="B456" s="32"/>
      <c r="C456" s="33" t="str">
        <f>"Объем: "&amp;Source!I109&amp;"="&amp;Source!I107&amp;"*"&amp;"25"</f>
        <v>Объем: 2,1375=0,0855*25</v>
      </c>
      <c r="D456" s="32"/>
      <c r="E456" s="32"/>
      <c r="F456" s="32"/>
      <c r="G456" s="32"/>
      <c r="H456" s="32"/>
      <c r="I456" s="32"/>
      <c r="J456" s="32"/>
      <c r="K456" s="32"/>
      <c r="L456" s="32"/>
    </row>
    <row r="457" spans="1:26" ht="15" x14ac:dyDescent="0.25">
      <c r="G457" s="62">
        <f>H455</f>
        <v>19.940000000000001</v>
      </c>
      <c r="H457" s="62"/>
      <c r="J457" s="62">
        <f>K455</f>
        <v>173.7</v>
      </c>
      <c r="K457" s="62"/>
      <c r="L457" s="46">
        <f>Source!U109</f>
        <v>0</v>
      </c>
      <c r="O457" s="30">
        <f>G457</f>
        <v>19.940000000000001</v>
      </c>
      <c r="P457" s="30">
        <f>J457</f>
        <v>173.7</v>
      </c>
      <c r="Q457" s="30">
        <f>L457</f>
        <v>0</v>
      </c>
      <c r="W457">
        <f>IF(Source!BI109&lt;=1,H455, 0)</f>
        <v>19.940000000000001</v>
      </c>
      <c r="X457">
        <f>IF(Source!BI109=2,H455, 0)</f>
        <v>0</v>
      </c>
      <c r="Y457">
        <f>IF(Source!BI109=3,H455, 0)</f>
        <v>0</v>
      </c>
      <c r="Z457">
        <f>IF(Source!BI109=4,H455, 0)</f>
        <v>0</v>
      </c>
    </row>
    <row r="458" spans="1:26" ht="68.25" x14ac:dyDescent="0.2">
      <c r="A458" s="53">
        <v>72</v>
      </c>
      <c r="B458" s="53" t="str">
        <f>Source!F110</f>
        <v>Цена Поставщика</v>
      </c>
      <c r="C458" s="53" t="s">
        <v>1148</v>
      </c>
      <c r="D458" s="36" t="str">
        <f>Source!H110</f>
        <v>кг</v>
      </c>
      <c r="E458" s="10">
        <f>Source!I110</f>
        <v>218.02500000000001</v>
      </c>
      <c r="F458" s="37">
        <f>Source!AL110</f>
        <v>4.9000000000000004</v>
      </c>
      <c r="G458" s="38" t="str">
        <f>Source!DD110</f>
        <v/>
      </c>
      <c r="H458" s="37">
        <f>ROUND(Source!AC110*Source!I110, 2)</f>
        <v>1068.32</v>
      </c>
      <c r="I458" s="38" t="str">
        <f>Source!BO110</f>
        <v/>
      </c>
      <c r="J458" s="38">
        <f>IF(Source!BC110&lt;&gt; 0, Source!BC110, 1)</f>
        <v>8.7100000000000009</v>
      </c>
      <c r="K458" s="37">
        <f>Source!P110</f>
        <v>9305.09</v>
      </c>
      <c r="L458" s="39"/>
      <c r="S458">
        <f>ROUND((Source!FX110/100)*((ROUND(Source!AF110*Source!I110, 2)+ROUND(Source!AE110*Source!I110, 2))), 2)</f>
        <v>0</v>
      </c>
      <c r="T458">
        <f>Source!X110</f>
        <v>0</v>
      </c>
      <c r="U458">
        <f>ROUND((Source!FY110/100)*((ROUND(Source!AF110*Source!I110, 2)+ROUND(Source!AE110*Source!I110, 2))), 2)</f>
        <v>0</v>
      </c>
      <c r="V458">
        <f>Source!Y110</f>
        <v>0</v>
      </c>
    </row>
    <row r="459" spans="1:26" x14ac:dyDescent="0.2">
      <c r="A459" s="32"/>
      <c r="B459" s="32"/>
      <c r="C459" s="33" t="str">
        <f>"Объем: "&amp;Source!I110&amp;"="&amp;Source!I107&amp;"*"&amp;"170*"&amp;"15"</f>
        <v>Объем: 218,025=0,0855*170*15</v>
      </c>
      <c r="D459" s="32"/>
      <c r="E459" s="32"/>
      <c r="F459" s="32"/>
      <c r="G459" s="32"/>
      <c r="H459" s="32"/>
      <c r="I459" s="32"/>
      <c r="J459" s="32"/>
      <c r="K459" s="32"/>
      <c r="L459" s="32"/>
    </row>
    <row r="460" spans="1:26" ht="15" x14ac:dyDescent="0.25">
      <c r="G460" s="62">
        <f>H458</f>
        <v>1068.32</v>
      </c>
      <c r="H460" s="62"/>
      <c r="J460" s="62">
        <f>K458</f>
        <v>9305.09</v>
      </c>
      <c r="K460" s="62"/>
      <c r="L460" s="46">
        <f>Source!U110</f>
        <v>0</v>
      </c>
      <c r="O460" s="30">
        <f>G460</f>
        <v>1068.32</v>
      </c>
      <c r="P460" s="30">
        <f>J460</f>
        <v>9305.09</v>
      </c>
      <c r="Q460" s="30">
        <f>L460</f>
        <v>0</v>
      </c>
      <c r="W460">
        <f>IF(Source!BI110&lt;=1,H458, 0)</f>
        <v>1068.32</v>
      </c>
      <c r="X460">
        <f>IF(Source!BI110=2,H458, 0)</f>
        <v>0</v>
      </c>
      <c r="Y460">
        <f>IF(Source!BI110=3,H458, 0)</f>
        <v>0</v>
      </c>
      <c r="Z460">
        <f>IF(Source!BI110=4,H458, 0)</f>
        <v>0</v>
      </c>
    </row>
    <row r="461" spans="1:26" ht="57" x14ac:dyDescent="0.2">
      <c r="A461" s="53">
        <v>73</v>
      </c>
      <c r="B461" s="53" t="str">
        <f>Source!F111</f>
        <v>15-01-094-06</v>
      </c>
      <c r="C461" s="53" t="str">
        <f>Source!G111</f>
        <v>Устройство проемов в вентилируемых фасадах с вертикально-горизонтальным каркасом, с лесов: устройство оконного отлива</v>
      </c>
      <c r="D461" s="36" t="str">
        <f>Source!H111</f>
        <v>100 м2</v>
      </c>
      <c r="E461" s="10">
        <f>Source!I111</f>
        <v>3.15E-2</v>
      </c>
      <c r="F461" s="37">
        <f>Source!AL111+Source!AM111+Source!AO111</f>
        <v>19570.939999999999</v>
      </c>
      <c r="G461" s="38"/>
      <c r="H461" s="37"/>
      <c r="I461" s="38" t="str">
        <f>Source!BO111</f>
        <v/>
      </c>
      <c r="J461" s="38"/>
      <c r="K461" s="37"/>
      <c r="L461" s="39"/>
      <c r="S461">
        <f>ROUND((Source!FX111/100)*((ROUND(Source!AF111*Source!I111, 2)+ROUND(Source!AE111*Source!I111, 2))), 2)</f>
        <v>35.97</v>
      </c>
      <c r="T461">
        <f>Source!X111</f>
        <v>1098.4100000000001</v>
      </c>
      <c r="U461">
        <f>ROUND((Source!FY111/100)*((ROUND(Source!AF111*Source!I111, 2)+ROUND(Source!AE111*Source!I111, 2))), 2)</f>
        <v>14.98</v>
      </c>
      <c r="V461">
        <f>Source!Y111</f>
        <v>457.49</v>
      </c>
    </row>
    <row r="462" spans="1:26" ht="14.25" x14ac:dyDescent="0.2">
      <c r="A462" s="53"/>
      <c r="B462" s="53"/>
      <c r="C462" s="53" t="s">
        <v>1132</v>
      </c>
      <c r="D462" s="36"/>
      <c r="E462" s="10"/>
      <c r="F462" s="37">
        <f>Source!AO111</f>
        <v>857.69</v>
      </c>
      <c r="G462" s="38" t="str">
        <f>Source!DG111</f>
        <v>)*1,15)*1,15</v>
      </c>
      <c r="H462" s="37">
        <f>ROUND(Source!AF111*Source!I111, 2)</f>
        <v>35.729999999999997</v>
      </c>
      <c r="I462" s="38"/>
      <c r="J462" s="38">
        <f>IF(Source!BA111&lt;&gt; 0, Source!BA111, 1)</f>
        <v>30.54</v>
      </c>
      <c r="K462" s="37">
        <f>Source!S111</f>
        <v>1091.21</v>
      </c>
      <c r="L462" s="39"/>
      <c r="R462">
        <f>H462</f>
        <v>35.729999999999997</v>
      </c>
    </row>
    <row r="463" spans="1:26" ht="14.25" x14ac:dyDescent="0.2">
      <c r="A463" s="53"/>
      <c r="B463" s="53"/>
      <c r="C463" s="53" t="s">
        <v>616</v>
      </c>
      <c r="D463" s="36"/>
      <c r="E463" s="10"/>
      <c r="F463" s="37">
        <f>Source!AM111</f>
        <v>30.53</v>
      </c>
      <c r="G463" s="38" t="str">
        <f>Source!DE111</f>
        <v>)*1,25)*1,15</v>
      </c>
      <c r="H463" s="37">
        <f>ROUND((((((Source!ET111*1.25)*1.15))-(((Source!EU111*1.25)*1.15)))+Source!AE111)*Source!I111, 2)</f>
        <v>1.38</v>
      </c>
      <c r="I463" s="38"/>
      <c r="J463" s="38">
        <f>IF(Source!BB111&lt;&gt; 0, Source!BB111, 1)</f>
        <v>12.13</v>
      </c>
      <c r="K463" s="37">
        <f>Source!Q111</f>
        <v>16.77</v>
      </c>
      <c r="L463" s="39"/>
    </row>
    <row r="464" spans="1:26" ht="14.25" x14ac:dyDescent="0.2">
      <c r="A464" s="53"/>
      <c r="B464" s="53"/>
      <c r="C464" s="53" t="s">
        <v>1138</v>
      </c>
      <c r="D464" s="36"/>
      <c r="E464" s="10"/>
      <c r="F464" s="37">
        <f>Source!AN111</f>
        <v>5.2</v>
      </c>
      <c r="G464" s="38" t="str">
        <f>Source!DF111</f>
        <v>)*1,25)*1,15</v>
      </c>
      <c r="H464" s="47">
        <f>ROUND(Source!AE111*Source!I111, 2)</f>
        <v>0.24</v>
      </c>
      <c r="I464" s="38"/>
      <c r="J464" s="38">
        <f>IF(Source!BS111&lt;&gt; 0, Source!BS111, 1)</f>
        <v>30.54</v>
      </c>
      <c r="K464" s="47">
        <f>Source!R111</f>
        <v>7.2</v>
      </c>
      <c r="L464" s="39"/>
      <c r="R464">
        <f>H464</f>
        <v>0.24</v>
      </c>
    </row>
    <row r="465" spans="1:26" ht="14.25" x14ac:dyDescent="0.2">
      <c r="A465" s="53"/>
      <c r="B465" s="53"/>
      <c r="C465" s="53" t="s">
        <v>1139</v>
      </c>
      <c r="D465" s="36"/>
      <c r="E465" s="10"/>
      <c r="F465" s="37">
        <f>Source!AL111</f>
        <v>18682.72</v>
      </c>
      <c r="G465" s="38" t="str">
        <f>Source!DD111</f>
        <v/>
      </c>
      <c r="H465" s="37">
        <f>ROUND(Source!AC111*Source!I111, 2)</f>
        <v>588.51</v>
      </c>
      <c r="I465" s="38"/>
      <c r="J465" s="38">
        <f>IF(Source!BC111&lt;&gt; 0, Source!BC111, 1)</f>
        <v>8.7100000000000009</v>
      </c>
      <c r="K465" s="37">
        <f>Source!P111</f>
        <v>5125.88</v>
      </c>
      <c r="L465" s="39"/>
    </row>
    <row r="466" spans="1:26" ht="14.25" x14ac:dyDescent="0.2">
      <c r="A466" s="53"/>
      <c r="B466" s="53"/>
      <c r="C466" s="53" t="s">
        <v>1133</v>
      </c>
      <c r="D466" s="36" t="s">
        <v>1134</v>
      </c>
      <c r="E466" s="10">
        <f>Source!BZ111</f>
        <v>100</v>
      </c>
      <c r="F466" s="55"/>
      <c r="G466" s="38"/>
      <c r="H466" s="37">
        <f>SUM(S461:S469)</f>
        <v>35.97</v>
      </c>
      <c r="I466" s="40"/>
      <c r="J466" s="35">
        <f>Source!AT111</f>
        <v>100</v>
      </c>
      <c r="K466" s="37">
        <f>SUM(T461:T469)</f>
        <v>1098.4100000000001</v>
      </c>
      <c r="L466" s="39"/>
    </row>
    <row r="467" spans="1:26" ht="14.25" x14ac:dyDescent="0.2">
      <c r="A467" s="53"/>
      <c r="B467" s="53"/>
      <c r="C467" s="53" t="s">
        <v>1135</v>
      </c>
      <c r="D467" s="36" t="s">
        <v>1134</v>
      </c>
      <c r="E467" s="10">
        <f>Source!CA111</f>
        <v>49</v>
      </c>
      <c r="F467" s="65" t="str">
        <f>CONCATENATE(" )", Source!DM111, Source!FU111, "=", Source!FY111)</f>
        <v xml:space="preserve"> ))*0,85=41,65</v>
      </c>
      <c r="G467" s="66"/>
      <c r="H467" s="37">
        <f>SUM(U461:U469)</f>
        <v>14.98</v>
      </c>
      <c r="I467" s="40"/>
      <c r="J467" s="35">
        <f>Source!AU111</f>
        <v>41.65</v>
      </c>
      <c r="K467" s="37">
        <f>SUM(V461:V469)</f>
        <v>457.49</v>
      </c>
      <c r="L467" s="39"/>
    </row>
    <row r="468" spans="1:26" ht="14.25" x14ac:dyDescent="0.2">
      <c r="A468" s="53"/>
      <c r="B468" s="53"/>
      <c r="C468" s="53" t="s">
        <v>1136</v>
      </c>
      <c r="D468" s="36" t="s">
        <v>1137</v>
      </c>
      <c r="E468" s="10">
        <f>Source!AQ111</f>
        <v>100.55</v>
      </c>
      <c r="F468" s="37"/>
      <c r="G468" s="38" t="str">
        <f>Source!DI111</f>
        <v>)*1,15)*1,15</v>
      </c>
      <c r="H468" s="37"/>
      <c r="I468" s="38"/>
      <c r="J468" s="38"/>
      <c r="K468" s="37"/>
      <c r="L468" s="48">
        <f>Source!U111</f>
        <v>4.1887873124999997</v>
      </c>
    </row>
    <row r="469" spans="1:26" ht="57" x14ac:dyDescent="0.2">
      <c r="A469" s="54">
        <v>73.099999999999994</v>
      </c>
      <c r="B469" s="54" t="str">
        <f>Source!F112</f>
        <v>08.1.02.07-0200</v>
      </c>
      <c r="C469" s="54" t="str">
        <f>Source!G112</f>
        <v>Сливы оконные из оцинкованной стали, окрашенные, для навесных вентилируемых фасадов, толщина 0,5 мм</v>
      </c>
      <c r="D469" s="41" t="str">
        <f>Source!H112</f>
        <v>м2</v>
      </c>
      <c r="E469" s="42">
        <f>Source!I112</f>
        <v>-3.472245</v>
      </c>
      <c r="F469" s="43">
        <f>Source!AL112+Source!AM112+Source!AO112</f>
        <v>127.19</v>
      </c>
      <c r="G469" s="49" t="s">
        <v>3</v>
      </c>
      <c r="H469" s="43">
        <f>ROUND(Source!AC112*Source!I112, 2)+ROUND((((Source!ET112)-(Source!EU112))+Source!AE112)*Source!I112, 2)+ROUND(Source!AF112*Source!I112, 2)</f>
        <v>-441.63</v>
      </c>
      <c r="I469" s="44"/>
      <c r="J469" s="44">
        <f>IF(Source!BC112&lt;&gt; 0, Source!BC112, 1)</f>
        <v>8.7100000000000009</v>
      </c>
      <c r="K469" s="43">
        <f>Source!O112</f>
        <v>-3846.64</v>
      </c>
      <c r="L469" s="50"/>
      <c r="S469">
        <f>ROUND((Source!FX112/100)*((ROUND(Source!AF112*Source!I112, 2)+ROUND(Source!AE112*Source!I112, 2))), 2)</f>
        <v>0</v>
      </c>
      <c r="T469">
        <f>Source!X112</f>
        <v>0</v>
      </c>
      <c r="U469">
        <f>ROUND((Source!FY112/100)*((ROUND(Source!AF112*Source!I112, 2)+ROUND(Source!AE112*Source!I112, 2))), 2)</f>
        <v>0</v>
      </c>
      <c r="V469">
        <f>Source!Y112</f>
        <v>0</v>
      </c>
      <c r="W469">
        <f>IF(Source!BI112&lt;=1,H469, 0)</f>
        <v>-441.63</v>
      </c>
      <c r="X469">
        <f>IF(Source!BI112=2,H469, 0)</f>
        <v>0</v>
      </c>
      <c r="Y469">
        <f>IF(Source!BI112=3,H469, 0)</f>
        <v>0</v>
      </c>
      <c r="Z469">
        <f>IF(Source!BI112=4,H469, 0)</f>
        <v>0</v>
      </c>
    </row>
    <row r="470" spans="1:26" ht="15" x14ac:dyDescent="0.25">
      <c r="G470" s="62">
        <f>H462+H463+H465+H466+H467+SUM(H469:H469)</f>
        <v>234.94000000000005</v>
      </c>
      <c r="H470" s="62"/>
      <c r="J470" s="62">
        <f>K462+K463+K465+K466+K467+SUM(K469:K469)</f>
        <v>3943.1200000000003</v>
      </c>
      <c r="K470" s="62"/>
      <c r="L470" s="46">
        <f>Source!U111</f>
        <v>4.1887873124999997</v>
      </c>
      <c r="O470" s="30">
        <f>G470</f>
        <v>234.94000000000005</v>
      </c>
      <c r="P470" s="30">
        <f>J470</f>
        <v>3943.1200000000003</v>
      </c>
      <c r="Q470" s="30">
        <f>L470</f>
        <v>4.1887873124999997</v>
      </c>
      <c r="W470">
        <f>IF(Source!BI111&lt;=1,H462+H463+H465+H466+H467, 0)</f>
        <v>676.57</v>
      </c>
      <c r="X470">
        <f>IF(Source!BI111=2,H462+H463+H465+H466+H467, 0)</f>
        <v>0</v>
      </c>
      <c r="Y470">
        <f>IF(Source!BI111=3,H462+H463+H465+H466+H467, 0)</f>
        <v>0</v>
      </c>
      <c r="Z470">
        <f>IF(Source!BI111=4,H462+H463+H465+H466+H467, 0)</f>
        <v>0</v>
      </c>
    </row>
    <row r="471" spans="1:26" ht="42.75" x14ac:dyDescent="0.2">
      <c r="A471" s="54">
        <v>74</v>
      </c>
      <c r="B471" s="54" t="str">
        <f>Source!F113</f>
        <v>Цена Поставщика</v>
      </c>
      <c r="C471" s="54" t="s">
        <v>1162</v>
      </c>
      <c r="D471" s="41" t="str">
        <f>Source!H113</f>
        <v>м</v>
      </c>
      <c r="E471" s="42">
        <f>Source!I113</f>
        <v>21</v>
      </c>
      <c r="F471" s="43">
        <f>Source!AL113</f>
        <v>18.439999999999998</v>
      </c>
      <c r="G471" s="44" t="str">
        <f>Source!DD113</f>
        <v/>
      </c>
      <c r="H471" s="43">
        <f>ROUND(Source!AC113*Source!I113, 2)</f>
        <v>387.24</v>
      </c>
      <c r="I471" s="44" t="str">
        <f>Source!BO113</f>
        <v/>
      </c>
      <c r="J471" s="44">
        <f>IF(Source!BC113&lt;&gt; 0, Source!BC113, 1)</f>
        <v>8.7100000000000009</v>
      </c>
      <c r="K471" s="43">
        <f>Source!P113</f>
        <v>3372.86</v>
      </c>
      <c r="L471" s="50"/>
      <c r="S471">
        <f>ROUND((Source!FX113/100)*((ROUND(Source!AF113*Source!I113, 2)+ROUND(Source!AE113*Source!I113, 2))), 2)</f>
        <v>0</v>
      </c>
      <c r="T471">
        <f>Source!X113</f>
        <v>0</v>
      </c>
      <c r="U471">
        <f>ROUND((Source!FY113/100)*((ROUND(Source!AF113*Source!I113, 2)+ROUND(Source!AE113*Source!I113, 2))), 2)</f>
        <v>0</v>
      </c>
      <c r="V471">
        <f>Source!Y113</f>
        <v>0</v>
      </c>
    </row>
    <row r="472" spans="1:26" ht="15" x14ac:dyDescent="0.25">
      <c r="G472" s="62">
        <f>H471</f>
        <v>387.24</v>
      </c>
      <c r="H472" s="62"/>
      <c r="J472" s="62">
        <f>K471</f>
        <v>3372.86</v>
      </c>
      <c r="K472" s="62"/>
      <c r="L472" s="46">
        <f>Source!U113</f>
        <v>0</v>
      </c>
      <c r="O472" s="30">
        <f>G472</f>
        <v>387.24</v>
      </c>
      <c r="P472" s="30">
        <f>J472</f>
        <v>3372.86</v>
      </c>
      <c r="Q472" s="30">
        <f>L472</f>
        <v>0</v>
      </c>
      <c r="W472">
        <f>IF(Source!BI113&lt;=1,H471, 0)</f>
        <v>387.24</v>
      </c>
      <c r="X472">
        <f>IF(Source!BI113=2,H471, 0)</f>
        <v>0</v>
      </c>
      <c r="Y472">
        <f>IF(Source!BI113=3,H471, 0)</f>
        <v>0</v>
      </c>
      <c r="Z472">
        <f>IF(Source!BI113=4,H471, 0)</f>
        <v>0</v>
      </c>
    </row>
    <row r="473" spans="1:26" ht="28.5" x14ac:dyDescent="0.2">
      <c r="A473" s="53">
        <v>75</v>
      </c>
      <c r="B473" s="53" t="str">
        <f>Source!F114</f>
        <v>53-25-1</v>
      </c>
      <c r="C473" s="53" t="str">
        <f>Source!G114</f>
        <v>Устройство металлических перемычек в стенах существующих зданий</v>
      </c>
      <c r="D473" s="36" t="str">
        <f>Source!H114</f>
        <v>т</v>
      </c>
      <c r="E473" s="10">
        <f>Source!I114</f>
        <v>7.1340000000000001E-2</v>
      </c>
      <c r="F473" s="37">
        <f>Source!AL114+Source!AM114+Source!AO114</f>
        <v>2860.8</v>
      </c>
      <c r="G473" s="38"/>
      <c r="H473" s="37"/>
      <c r="I473" s="38" t="str">
        <f>Source!BO114</f>
        <v/>
      </c>
      <c r="J473" s="38"/>
      <c r="K473" s="37"/>
      <c r="L473" s="39"/>
      <c r="S473">
        <f>ROUND((Source!FX114/100)*((ROUND(Source!AF114*Source!I114, 2)+ROUND(Source!AE114*Source!I114, 2))), 2)</f>
        <v>108.71</v>
      </c>
      <c r="T473">
        <f>Source!X114</f>
        <v>3319.91</v>
      </c>
      <c r="U473">
        <f>ROUND((Source!FY114/100)*((ROUND(Source!AF114*Source!I114, 2)+ROUND(Source!AE114*Source!I114, 2))), 2)</f>
        <v>61.44</v>
      </c>
      <c r="V473">
        <f>Source!Y114</f>
        <v>1876.47</v>
      </c>
    </row>
    <row r="474" spans="1:26" ht="14.25" x14ac:dyDescent="0.2">
      <c r="A474" s="53"/>
      <c r="B474" s="53"/>
      <c r="C474" s="53" t="s">
        <v>1132</v>
      </c>
      <c r="D474" s="36"/>
      <c r="E474" s="10"/>
      <c r="F474" s="37">
        <f>Source!AO114</f>
        <v>1433.2</v>
      </c>
      <c r="G474" s="38" t="str">
        <f>Source!DG114</f>
        <v>)*1,15</v>
      </c>
      <c r="H474" s="37">
        <f>ROUND(Source!AF114*Source!I114, 2)</f>
        <v>117.58</v>
      </c>
      <c r="I474" s="38"/>
      <c r="J474" s="38">
        <f>IF(Source!BA114&lt;&gt; 0, Source!BA114, 1)</f>
        <v>30.54</v>
      </c>
      <c r="K474" s="37">
        <f>Source!S114</f>
        <v>3590.93</v>
      </c>
      <c r="L474" s="39"/>
      <c r="R474">
        <f>H474</f>
        <v>117.58</v>
      </c>
    </row>
    <row r="475" spans="1:26" ht="14.25" x14ac:dyDescent="0.2">
      <c r="A475" s="53"/>
      <c r="B475" s="53"/>
      <c r="C475" s="53" t="s">
        <v>616</v>
      </c>
      <c r="D475" s="36"/>
      <c r="E475" s="10"/>
      <c r="F475" s="37">
        <f>Source!AM114</f>
        <v>63.11</v>
      </c>
      <c r="G475" s="38" t="str">
        <f>Source!DE114</f>
        <v>)*1,15</v>
      </c>
      <c r="H475" s="37">
        <f>ROUND(((((Source!ET114*1.15))-((Source!EU114*1.15)))+Source!AE114)*Source!I114, 2)</f>
        <v>5.18</v>
      </c>
      <c r="I475" s="38"/>
      <c r="J475" s="38">
        <f>IF(Source!BB114&lt;&gt; 0, Source!BB114, 1)</f>
        <v>12.13</v>
      </c>
      <c r="K475" s="37">
        <f>Source!Q114</f>
        <v>62.81</v>
      </c>
      <c r="L475" s="39"/>
    </row>
    <row r="476" spans="1:26" ht="14.25" x14ac:dyDescent="0.2">
      <c r="A476" s="53"/>
      <c r="B476" s="53"/>
      <c r="C476" s="53" t="s">
        <v>1138</v>
      </c>
      <c r="D476" s="36"/>
      <c r="E476" s="10"/>
      <c r="F476" s="37">
        <f>Source!AN114</f>
        <v>7.05</v>
      </c>
      <c r="G476" s="38" t="str">
        <f>Source!DF114</f>
        <v>)*1,15</v>
      </c>
      <c r="H476" s="47">
        <f>ROUND(Source!AE114*Source!I114, 2)</f>
        <v>0.57999999999999996</v>
      </c>
      <c r="I476" s="38"/>
      <c r="J476" s="38">
        <f>IF(Source!BS114&lt;&gt; 0, Source!BS114, 1)</f>
        <v>30.54</v>
      </c>
      <c r="K476" s="47">
        <f>Source!R114</f>
        <v>17.670000000000002</v>
      </c>
      <c r="L476" s="39"/>
      <c r="R476">
        <f>H476</f>
        <v>0.57999999999999996</v>
      </c>
    </row>
    <row r="477" spans="1:26" ht="14.25" x14ac:dyDescent="0.2">
      <c r="A477" s="53"/>
      <c r="B477" s="53"/>
      <c r="C477" s="53" t="s">
        <v>1139</v>
      </c>
      <c r="D477" s="36"/>
      <c r="E477" s="10"/>
      <c r="F477" s="37">
        <f>Source!AL114</f>
        <v>1364.49</v>
      </c>
      <c r="G477" s="38" t="str">
        <f>Source!DD114</f>
        <v/>
      </c>
      <c r="H477" s="37">
        <f>ROUND(Source!AC114*Source!I114, 2)</f>
        <v>97.34</v>
      </c>
      <c r="I477" s="38"/>
      <c r="J477" s="38">
        <f>IF(Source!BC114&lt;&gt; 0, Source!BC114, 1)</f>
        <v>8.7100000000000009</v>
      </c>
      <c r="K477" s="37">
        <f>Source!P114</f>
        <v>847.86</v>
      </c>
      <c r="L477" s="39"/>
    </row>
    <row r="478" spans="1:26" ht="14.25" x14ac:dyDescent="0.2">
      <c r="A478" s="53"/>
      <c r="B478" s="53"/>
      <c r="C478" s="53" t="s">
        <v>1133</v>
      </c>
      <c r="D478" s="36" t="s">
        <v>1134</v>
      </c>
      <c r="E478" s="10">
        <f>Source!BZ114</f>
        <v>92</v>
      </c>
      <c r="F478" s="55"/>
      <c r="G478" s="38"/>
      <c r="H478" s="37">
        <f>SUM(S473:S482)</f>
        <v>108.71</v>
      </c>
      <c r="I478" s="40"/>
      <c r="J478" s="35">
        <f>Source!AT114</f>
        <v>92</v>
      </c>
      <c r="K478" s="37">
        <f>SUM(T473:T482)</f>
        <v>3319.91</v>
      </c>
      <c r="L478" s="39"/>
    </row>
    <row r="479" spans="1:26" ht="14.25" x14ac:dyDescent="0.2">
      <c r="A479" s="53"/>
      <c r="B479" s="53"/>
      <c r="C479" s="53" t="s">
        <v>1135</v>
      </c>
      <c r="D479" s="36" t="s">
        <v>1134</v>
      </c>
      <c r="E479" s="10">
        <f>Source!CA114</f>
        <v>52</v>
      </c>
      <c r="F479" s="55"/>
      <c r="G479" s="38"/>
      <c r="H479" s="37">
        <f>SUM(U473:U482)</f>
        <v>61.44</v>
      </c>
      <c r="I479" s="40"/>
      <c r="J479" s="35">
        <f>Source!AU114</f>
        <v>52</v>
      </c>
      <c r="K479" s="37">
        <f>SUM(V473:V482)</f>
        <v>1876.47</v>
      </c>
      <c r="L479" s="39"/>
    </row>
    <row r="480" spans="1:26" ht="14.25" x14ac:dyDescent="0.2">
      <c r="A480" s="53"/>
      <c r="B480" s="53"/>
      <c r="C480" s="53" t="s">
        <v>1136</v>
      </c>
      <c r="D480" s="36" t="s">
        <v>1137</v>
      </c>
      <c r="E480" s="10">
        <f>Source!AQ114</f>
        <v>165.88</v>
      </c>
      <c r="F480" s="37"/>
      <c r="G480" s="38" t="str">
        <f>Source!DI114</f>
        <v>)*1,15</v>
      </c>
      <c r="H480" s="37"/>
      <c r="I480" s="38"/>
      <c r="J480" s="38"/>
      <c r="K480" s="37"/>
      <c r="L480" s="48">
        <f>Source!U114</f>
        <v>13.608961079999998</v>
      </c>
    </row>
    <row r="481" spans="1:26" ht="28.5" x14ac:dyDescent="0.2">
      <c r="A481" s="53">
        <v>75.099999999999994</v>
      </c>
      <c r="B481" s="53" t="str">
        <f>Source!F115</f>
        <v>04.3.01.12-0003</v>
      </c>
      <c r="C481" s="53" t="str">
        <f>Source!G115</f>
        <v>Раствор кладочный, цементно-известковый, М50</v>
      </c>
      <c r="D481" s="36" t="str">
        <f>Source!H115</f>
        <v>м3</v>
      </c>
      <c r="E481" s="10">
        <f>Source!I115</f>
        <v>-3.8523600000000005E-2</v>
      </c>
      <c r="F481" s="37">
        <f>Source!AL115+Source!AM115+Source!AO115</f>
        <v>519.79999999999995</v>
      </c>
      <c r="G481" s="52" t="s">
        <v>3</v>
      </c>
      <c r="H481" s="37">
        <f>ROUND(Source!AC115*Source!I115, 2)+ROUND((((Source!ET115)-(Source!EU115))+Source!AE115)*Source!I115, 2)+ROUND(Source!AF115*Source!I115, 2)</f>
        <v>-20.02</v>
      </c>
      <c r="I481" s="38"/>
      <c r="J481" s="38">
        <f>IF(Source!BC115&lt;&gt; 0, Source!BC115, 1)</f>
        <v>8.7100000000000009</v>
      </c>
      <c r="K481" s="37">
        <f>Source!O115</f>
        <v>-174.41</v>
      </c>
      <c r="L481" s="39"/>
      <c r="S481">
        <f>ROUND((Source!FX115/100)*((ROUND(Source!AF115*Source!I115, 2)+ROUND(Source!AE115*Source!I115, 2))), 2)</f>
        <v>0</v>
      </c>
      <c r="T481">
        <f>Source!X115</f>
        <v>0</v>
      </c>
      <c r="U481">
        <f>ROUND((Source!FY115/100)*((ROUND(Source!AF115*Source!I115, 2)+ROUND(Source!AE115*Source!I115, 2))), 2)</f>
        <v>0</v>
      </c>
      <c r="V481">
        <f>Source!Y115</f>
        <v>0</v>
      </c>
      <c r="W481">
        <f>IF(Source!BI115&lt;=1,H481, 0)</f>
        <v>-20.02</v>
      </c>
      <c r="X481">
        <f>IF(Source!BI115=2,H481, 0)</f>
        <v>0</v>
      </c>
      <c r="Y481">
        <f>IF(Source!BI115=3,H481, 0)</f>
        <v>0</v>
      </c>
      <c r="Z481">
        <f>IF(Source!BI115=4,H481, 0)</f>
        <v>0</v>
      </c>
    </row>
    <row r="482" spans="1:26" ht="28.5" x14ac:dyDescent="0.2">
      <c r="A482" s="54">
        <v>75.2</v>
      </c>
      <c r="B482" s="54" t="str">
        <f>Source!F116</f>
        <v>06.1.01.05-0035</v>
      </c>
      <c r="C482" s="54" t="str">
        <f>Source!G116</f>
        <v>Кирпич керамический одинарный, марка 100, размер 250x120x65 мм</v>
      </c>
      <c r="D482" s="41" t="str">
        <f>Source!H116</f>
        <v>1000 ШТ</v>
      </c>
      <c r="E482" s="42">
        <f>Source!I116</f>
        <v>-4.06638E-2</v>
      </c>
      <c r="F482" s="43">
        <f>Source!AL116+Source!AM116+Source!AO116</f>
        <v>1752.6</v>
      </c>
      <c r="G482" s="49" t="s">
        <v>3</v>
      </c>
      <c r="H482" s="43">
        <f>ROUND(Source!AC116*Source!I116, 2)+ROUND((((Source!ET116)-(Source!EU116))+Source!AE116)*Source!I116, 2)+ROUND(Source!AF116*Source!I116, 2)</f>
        <v>-71.27</v>
      </c>
      <c r="I482" s="44"/>
      <c r="J482" s="44">
        <f>IF(Source!BC116&lt;&gt; 0, Source!BC116, 1)</f>
        <v>8.7100000000000009</v>
      </c>
      <c r="K482" s="43">
        <f>Source!O116</f>
        <v>-620.74</v>
      </c>
      <c r="L482" s="50"/>
      <c r="S482">
        <f>ROUND((Source!FX116/100)*((ROUND(Source!AF116*Source!I116, 2)+ROUND(Source!AE116*Source!I116, 2))), 2)</f>
        <v>0</v>
      </c>
      <c r="T482">
        <f>Source!X116</f>
        <v>0</v>
      </c>
      <c r="U482">
        <f>ROUND((Source!FY116/100)*((ROUND(Source!AF116*Source!I116, 2)+ROUND(Source!AE116*Source!I116, 2))), 2)</f>
        <v>0</v>
      </c>
      <c r="V482">
        <f>Source!Y116</f>
        <v>0</v>
      </c>
      <c r="W482">
        <f>IF(Source!BI116&lt;=1,H482, 0)</f>
        <v>-71.27</v>
      </c>
      <c r="X482">
        <f>IF(Source!BI116=2,H482, 0)</f>
        <v>0</v>
      </c>
      <c r="Y482">
        <f>IF(Source!BI116=3,H482, 0)</f>
        <v>0</v>
      </c>
      <c r="Z482">
        <f>IF(Source!BI116=4,H482, 0)</f>
        <v>0</v>
      </c>
    </row>
    <row r="483" spans="1:26" ht="15" x14ac:dyDescent="0.25">
      <c r="G483" s="62">
        <f>H474+H475+H477+H478+H479+SUM(H481:H482)</f>
        <v>298.96000000000004</v>
      </c>
      <c r="H483" s="62"/>
      <c r="J483" s="62">
        <f>K474+K475+K477+K478+K479+SUM(K481:K482)</f>
        <v>8902.83</v>
      </c>
      <c r="K483" s="62"/>
      <c r="L483" s="46">
        <f>Source!U114</f>
        <v>13.608961079999998</v>
      </c>
      <c r="O483" s="30">
        <f>G483</f>
        <v>298.96000000000004</v>
      </c>
      <c r="P483" s="30">
        <f>J483</f>
        <v>8902.83</v>
      </c>
      <c r="Q483" s="30">
        <f>L483</f>
        <v>13.608961079999998</v>
      </c>
      <c r="W483">
        <f>IF(Source!BI114&lt;=1,H474+H475+H477+H478+H479, 0)</f>
        <v>390.25</v>
      </c>
      <c r="X483">
        <f>IF(Source!BI114=2,H474+H475+H477+H478+H479, 0)</f>
        <v>0</v>
      </c>
      <c r="Y483">
        <f>IF(Source!BI114=3,H474+H475+H477+H478+H479, 0)</f>
        <v>0</v>
      </c>
      <c r="Z483">
        <f>IF(Source!BI114=4,H474+H475+H477+H478+H479, 0)</f>
        <v>0</v>
      </c>
    </row>
    <row r="484" spans="1:26" ht="42.75" x14ac:dyDescent="0.2">
      <c r="A484" s="54">
        <v>76</v>
      </c>
      <c r="B484" s="54" t="str">
        <f>Source!F117</f>
        <v>Цена Поставщика</v>
      </c>
      <c r="C484" s="54" t="s">
        <v>1163</v>
      </c>
      <c r="D484" s="41" t="str">
        <f>Source!H117</f>
        <v>т</v>
      </c>
      <c r="E484" s="42">
        <f>Source!I117</f>
        <v>7.4200000000000002E-2</v>
      </c>
      <c r="F484" s="43">
        <f>Source!AL117</f>
        <v>8299.44</v>
      </c>
      <c r="G484" s="44" t="str">
        <f>Source!DD117</f>
        <v/>
      </c>
      <c r="H484" s="43">
        <f>ROUND(Source!AC117*Source!I117, 2)</f>
        <v>615.82000000000005</v>
      </c>
      <c r="I484" s="44" t="str">
        <f>Source!BO117</f>
        <v/>
      </c>
      <c r="J484" s="44">
        <f>IF(Source!BC117&lt;&gt; 0, Source!BC117, 1)</f>
        <v>8.7100000000000009</v>
      </c>
      <c r="K484" s="43">
        <f>Source!P117</f>
        <v>5363.78</v>
      </c>
      <c r="L484" s="50"/>
      <c r="S484">
        <f>ROUND((Source!FX117/100)*((ROUND(Source!AF117*Source!I117, 2)+ROUND(Source!AE117*Source!I117, 2))), 2)</f>
        <v>0</v>
      </c>
      <c r="T484">
        <f>Source!X117</f>
        <v>0</v>
      </c>
      <c r="U484">
        <f>ROUND((Source!FY117/100)*((ROUND(Source!AF117*Source!I117, 2)+ROUND(Source!AE117*Source!I117, 2))), 2)</f>
        <v>0</v>
      </c>
      <c r="V484">
        <f>Source!Y117</f>
        <v>0</v>
      </c>
    </row>
    <row r="485" spans="1:26" ht="15" x14ac:dyDescent="0.25">
      <c r="G485" s="62">
        <f>H484</f>
        <v>615.82000000000005</v>
      </c>
      <c r="H485" s="62"/>
      <c r="J485" s="62">
        <f>K484</f>
        <v>5363.78</v>
      </c>
      <c r="K485" s="62"/>
      <c r="L485" s="46">
        <f>Source!U117</f>
        <v>0</v>
      </c>
      <c r="O485" s="30">
        <f>G485</f>
        <v>615.82000000000005</v>
      </c>
      <c r="P485" s="30">
        <f>J485</f>
        <v>5363.78</v>
      </c>
      <c r="Q485" s="30">
        <f>L485</f>
        <v>0</v>
      </c>
      <c r="W485">
        <f>IF(Source!BI117&lt;=1,H484, 0)</f>
        <v>615.82000000000005</v>
      </c>
      <c r="X485">
        <f>IF(Source!BI117=2,H484, 0)</f>
        <v>0</v>
      </c>
      <c r="Y485">
        <f>IF(Source!BI117=3,H484, 0)</f>
        <v>0</v>
      </c>
      <c r="Z485">
        <f>IF(Source!BI117=4,H484, 0)</f>
        <v>0</v>
      </c>
    </row>
    <row r="486" spans="1:26" ht="42.75" x14ac:dyDescent="0.2">
      <c r="A486" s="54">
        <v>77</v>
      </c>
      <c r="B486" s="54" t="str">
        <f>Source!F118</f>
        <v>Цена Поставщика</v>
      </c>
      <c r="C486" s="54" t="s">
        <v>1164</v>
      </c>
      <c r="D486" s="41" t="str">
        <f>Source!H118</f>
        <v>м3</v>
      </c>
      <c r="E486" s="42">
        <f>Source!I118</f>
        <v>0.01</v>
      </c>
      <c r="F486" s="43">
        <f>Source!AL118</f>
        <v>1690.7300000000002</v>
      </c>
      <c r="G486" s="44" t="str">
        <f>Source!DD118</f>
        <v/>
      </c>
      <c r="H486" s="43">
        <f>ROUND(Source!AC118*Source!I118, 2)</f>
        <v>16.91</v>
      </c>
      <c r="I486" s="44" t="str">
        <f>Source!BO118</f>
        <v/>
      </c>
      <c r="J486" s="44">
        <f>IF(Source!BC118&lt;&gt; 0, Source!BC118, 1)</f>
        <v>8.7100000000000009</v>
      </c>
      <c r="K486" s="43">
        <f>Source!P118</f>
        <v>147.26</v>
      </c>
      <c r="L486" s="50"/>
      <c r="S486">
        <f>ROUND((Source!FX118/100)*((ROUND(Source!AF118*Source!I118, 2)+ROUND(Source!AE118*Source!I118, 2))), 2)</f>
        <v>0</v>
      </c>
      <c r="T486">
        <f>Source!X118</f>
        <v>0</v>
      </c>
      <c r="U486">
        <f>ROUND((Source!FY118/100)*((ROUND(Source!AF118*Source!I118, 2)+ROUND(Source!AE118*Source!I118, 2))), 2)</f>
        <v>0</v>
      </c>
      <c r="V486">
        <f>Source!Y118</f>
        <v>0</v>
      </c>
    </row>
    <row r="487" spans="1:26" ht="15" x14ac:dyDescent="0.25">
      <c r="G487" s="62">
        <f>H486</f>
        <v>16.91</v>
      </c>
      <c r="H487" s="62"/>
      <c r="J487" s="62">
        <f>K486</f>
        <v>147.26</v>
      </c>
      <c r="K487" s="62"/>
      <c r="L487" s="46">
        <f>Source!U118</f>
        <v>0</v>
      </c>
      <c r="O487" s="30">
        <f>G487</f>
        <v>16.91</v>
      </c>
      <c r="P487" s="30">
        <f>J487</f>
        <v>147.26</v>
      </c>
      <c r="Q487" s="30">
        <f>L487</f>
        <v>0</v>
      </c>
      <c r="W487">
        <f>IF(Source!BI118&lt;=1,H486, 0)</f>
        <v>16.91</v>
      </c>
      <c r="X487">
        <f>IF(Source!BI118=2,H486, 0)</f>
        <v>0</v>
      </c>
      <c r="Y487">
        <f>IF(Source!BI118=3,H486, 0)</f>
        <v>0</v>
      </c>
      <c r="Z487">
        <f>IF(Source!BI118=4,H486, 0)</f>
        <v>0</v>
      </c>
    </row>
    <row r="488" spans="1:26" ht="42.75" x14ac:dyDescent="0.2">
      <c r="A488" s="54">
        <v>78</v>
      </c>
      <c r="B488" s="54" t="str">
        <f>Source!F119</f>
        <v>Цена Поставщика</v>
      </c>
      <c r="C488" s="54" t="s">
        <v>1165</v>
      </c>
      <c r="D488" s="41" t="str">
        <f>Source!H119</f>
        <v>м</v>
      </c>
      <c r="E488" s="42">
        <f>Source!I119</f>
        <v>0.7</v>
      </c>
      <c r="F488" s="43">
        <f>Source!AL119</f>
        <v>16.400000000000002</v>
      </c>
      <c r="G488" s="44" t="str">
        <f>Source!DD119</f>
        <v/>
      </c>
      <c r="H488" s="43">
        <f>ROUND(Source!AC119*Source!I119, 2)</f>
        <v>11.48</v>
      </c>
      <c r="I488" s="44" t="str">
        <f>Source!BO119</f>
        <v/>
      </c>
      <c r="J488" s="44">
        <f>IF(Source!BC119&lt;&gt; 0, Source!BC119, 1)</f>
        <v>8.7100000000000009</v>
      </c>
      <c r="K488" s="43">
        <f>Source!P119</f>
        <v>99.99</v>
      </c>
      <c r="L488" s="50"/>
      <c r="S488">
        <f>ROUND((Source!FX119/100)*((ROUND(Source!AF119*Source!I119, 2)+ROUND(Source!AE119*Source!I119, 2))), 2)</f>
        <v>0</v>
      </c>
      <c r="T488">
        <f>Source!X119</f>
        <v>0</v>
      </c>
      <c r="U488">
        <f>ROUND((Source!FY119/100)*((ROUND(Source!AF119*Source!I119, 2)+ROUND(Source!AE119*Source!I119, 2))), 2)</f>
        <v>0</v>
      </c>
      <c r="V488">
        <f>Source!Y119</f>
        <v>0</v>
      </c>
    </row>
    <row r="489" spans="1:26" ht="15" x14ac:dyDescent="0.25">
      <c r="G489" s="62">
        <f>H488</f>
        <v>11.48</v>
      </c>
      <c r="H489" s="62"/>
      <c r="J489" s="62">
        <f>K488</f>
        <v>99.99</v>
      </c>
      <c r="K489" s="62"/>
      <c r="L489" s="46">
        <f>Source!U119</f>
        <v>0</v>
      </c>
      <c r="O489" s="30">
        <f>G489</f>
        <v>11.48</v>
      </c>
      <c r="P489" s="30">
        <f>J489</f>
        <v>99.99</v>
      </c>
      <c r="Q489" s="30">
        <f>L489</f>
        <v>0</v>
      </c>
      <c r="W489">
        <f>IF(Source!BI119&lt;=1,H488, 0)</f>
        <v>11.48</v>
      </c>
      <c r="X489">
        <f>IF(Source!BI119=2,H488, 0)</f>
        <v>0</v>
      </c>
      <c r="Y489">
        <f>IF(Source!BI119=3,H488, 0)</f>
        <v>0</v>
      </c>
      <c r="Z489">
        <f>IF(Source!BI119=4,H488, 0)</f>
        <v>0</v>
      </c>
    </row>
    <row r="490" spans="1:26" ht="68.25" x14ac:dyDescent="0.2">
      <c r="A490" s="54">
        <v>79</v>
      </c>
      <c r="B490" s="54" t="str">
        <f>Source!F120</f>
        <v>Цена Поставщика</v>
      </c>
      <c r="C490" s="54" t="s">
        <v>1148</v>
      </c>
      <c r="D490" s="41" t="str">
        <f>Source!H120</f>
        <v>кг</v>
      </c>
      <c r="E490" s="42">
        <f>Source!I120</f>
        <v>18.635000000000002</v>
      </c>
      <c r="F490" s="43">
        <f>Source!AL120</f>
        <v>4.9000000000000004</v>
      </c>
      <c r="G490" s="44" t="str">
        <f>Source!DD120</f>
        <v/>
      </c>
      <c r="H490" s="43">
        <f>ROUND(Source!AC120*Source!I120, 2)</f>
        <v>91.31</v>
      </c>
      <c r="I490" s="44" t="str">
        <f>Source!BO120</f>
        <v/>
      </c>
      <c r="J490" s="44">
        <f>IF(Source!BC120&lt;&gt; 0, Source!BC120, 1)</f>
        <v>8.7100000000000009</v>
      </c>
      <c r="K490" s="43">
        <f>Source!P120</f>
        <v>795.32</v>
      </c>
      <c r="L490" s="50"/>
      <c r="S490">
        <f>ROUND((Source!FX120/100)*((ROUND(Source!AF120*Source!I120, 2)+ROUND(Source!AE120*Source!I120, 2))), 2)</f>
        <v>0</v>
      </c>
      <c r="T490">
        <f>Source!X120</f>
        <v>0</v>
      </c>
      <c r="U490">
        <f>ROUND((Source!FY120/100)*((ROUND(Source!AF120*Source!I120, 2)+ROUND(Source!AE120*Source!I120, 2))), 2)</f>
        <v>0</v>
      </c>
      <c r="V490">
        <f>Source!Y120</f>
        <v>0</v>
      </c>
    </row>
    <row r="491" spans="1:26" ht="15" x14ac:dyDescent="0.25">
      <c r="G491" s="62">
        <f>H490</f>
        <v>91.31</v>
      </c>
      <c r="H491" s="62"/>
      <c r="J491" s="62">
        <f>K490</f>
        <v>795.32</v>
      </c>
      <c r="K491" s="62"/>
      <c r="L491" s="46">
        <f>Source!U120</f>
        <v>0</v>
      </c>
      <c r="O491" s="30">
        <f>G491</f>
        <v>91.31</v>
      </c>
      <c r="P491" s="30">
        <f>J491</f>
        <v>795.32</v>
      </c>
      <c r="Q491" s="30">
        <f>L491</f>
        <v>0</v>
      </c>
      <c r="W491">
        <f>IF(Source!BI120&lt;=1,H490, 0)</f>
        <v>91.31</v>
      </c>
      <c r="X491">
        <f>IF(Source!BI120=2,H490, 0)</f>
        <v>0</v>
      </c>
      <c r="Y491">
        <f>IF(Source!BI120=3,H490, 0)</f>
        <v>0</v>
      </c>
      <c r="Z491">
        <f>IF(Source!BI120=4,H490, 0)</f>
        <v>0</v>
      </c>
    </row>
    <row r="492" spans="1:26" ht="57" x14ac:dyDescent="0.2">
      <c r="A492" s="53">
        <v>80</v>
      </c>
      <c r="B492" s="53" t="str">
        <f>Source!F121</f>
        <v>62-47-1</v>
      </c>
      <c r="C492" s="53" t="str">
        <f>Source!G121</f>
        <v>Расчистка поверхностей шпателем, щетками от старых покрасок // поручни, двери, силовые элементы конструкций)</v>
      </c>
      <c r="D492" s="36" t="str">
        <f>Source!H121</f>
        <v>м2</v>
      </c>
      <c r="E492" s="10">
        <f>Source!I121</f>
        <v>19.2</v>
      </c>
      <c r="F492" s="37">
        <f>Source!AL121+Source!AM121+Source!AO121</f>
        <v>4.38</v>
      </c>
      <c r="G492" s="38"/>
      <c r="H492" s="37"/>
      <c r="I492" s="38" t="str">
        <f>Source!BO121</f>
        <v/>
      </c>
      <c r="J492" s="38"/>
      <c r="K492" s="37"/>
      <c r="L492" s="39"/>
      <c r="S492">
        <f>ROUND((Source!FX121/100)*((ROUND(Source!AF121*Source!I121, 2)+ROUND(Source!AE121*Source!I121, 2))), 2)</f>
        <v>87.09</v>
      </c>
      <c r="T492">
        <f>Source!X121</f>
        <v>2659.76</v>
      </c>
      <c r="U492">
        <f>ROUND((Source!FY121/100)*((ROUND(Source!AF121*Source!I121, 2)+ROUND(Source!AE121*Source!I121, 2))), 2)</f>
        <v>44.51</v>
      </c>
      <c r="V492">
        <f>Source!Y121</f>
        <v>1359.43</v>
      </c>
    </row>
    <row r="493" spans="1:26" ht="14.25" x14ac:dyDescent="0.2">
      <c r="A493" s="53"/>
      <c r="B493" s="53"/>
      <c r="C493" s="53" t="s">
        <v>1132</v>
      </c>
      <c r="D493" s="36"/>
      <c r="E493" s="10"/>
      <c r="F493" s="37">
        <f>Source!AO121</f>
        <v>4.38</v>
      </c>
      <c r="G493" s="38" t="str">
        <f>Source!DG121</f>
        <v>)*1,15</v>
      </c>
      <c r="H493" s="37">
        <f>ROUND(Source!AF121*Source!I121, 2)</f>
        <v>96.77</v>
      </c>
      <c r="I493" s="38"/>
      <c r="J493" s="38">
        <f>IF(Source!BA121&lt;&gt; 0, Source!BA121, 1)</f>
        <v>30.54</v>
      </c>
      <c r="K493" s="37">
        <f>Source!S121</f>
        <v>2955.29</v>
      </c>
      <c r="L493" s="39"/>
      <c r="R493">
        <f>H493</f>
        <v>96.77</v>
      </c>
    </row>
    <row r="494" spans="1:26" ht="14.25" x14ac:dyDescent="0.2">
      <c r="A494" s="53"/>
      <c r="B494" s="53"/>
      <c r="C494" s="53" t="s">
        <v>1133</v>
      </c>
      <c r="D494" s="36" t="s">
        <v>1134</v>
      </c>
      <c r="E494" s="10">
        <f>Source!BZ121</f>
        <v>90</v>
      </c>
      <c r="F494" s="55"/>
      <c r="G494" s="38"/>
      <c r="H494" s="37">
        <f>SUM(S492:S496)</f>
        <v>87.09</v>
      </c>
      <c r="I494" s="40"/>
      <c r="J494" s="35">
        <f>Source!AT121</f>
        <v>90</v>
      </c>
      <c r="K494" s="37">
        <f>SUM(T492:T496)</f>
        <v>2659.76</v>
      </c>
      <c r="L494" s="39"/>
    </row>
    <row r="495" spans="1:26" ht="14.25" x14ac:dyDescent="0.2">
      <c r="A495" s="53"/>
      <c r="B495" s="53"/>
      <c r="C495" s="53" t="s">
        <v>1135</v>
      </c>
      <c r="D495" s="36" t="s">
        <v>1134</v>
      </c>
      <c r="E495" s="10">
        <f>Source!CA121</f>
        <v>46</v>
      </c>
      <c r="F495" s="55"/>
      <c r="G495" s="38"/>
      <c r="H495" s="37">
        <f>SUM(U492:U496)</f>
        <v>44.51</v>
      </c>
      <c r="I495" s="40"/>
      <c r="J495" s="35">
        <f>Source!AU121</f>
        <v>46</v>
      </c>
      <c r="K495" s="37">
        <f>SUM(V492:V496)</f>
        <v>1359.43</v>
      </c>
      <c r="L495" s="39"/>
    </row>
    <row r="496" spans="1:26" ht="14.25" x14ac:dyDescent="0.2">
      <c r="A496" s="54"/>
      <c r="B496" s="54"/>
      <c r="C496" s="54" t="s">
        <v>1136</v>
      </c>
      <c r="D496" s="41" t="s">
        <v>1137</v>
      </c>
      <c r="E496" s="42">
        <f>Source!AQ121</f>
        <v>0.57999999999999996</v>
      </c>
      <c r="F496" s="43"/>
      <c r="G496" s="44" t="str">
        <f>Source!DI121</f>
        <v>)*1,15</v>
      </c>
      <c r="H496" s="43"/>
      <c r="I496" s="44"/>
      <c r="J496" s="44"/>
      <c r="K496" s="43"/>
      <c r="L496" s="45">
        <f>Source!U121</f>
        <v>12.806399999999998</v>
      </c>
    </row>
    <row r="497" spans="1:26" ht="15" x14ac:dyDescent="0.25">
      <c r="G497" s="62">
        <f>H493+H494+H495</f>
        <v>228.37</v>
      </c>
      <c r="H497" s="62"/>
      <c r="J497" s="62">
        <f>K493+K494+K495</f>
        <v>6974.4800000000005</v>
      </c>
      <c r="K497" s="62"/>
      <c r="L497" s="46">
        <f>Source!U121</f>
        <v>12.806399999999998</v>
      </c>
      <c r="O497" s="30">
        <f>G497</f>
        <v>228.37</v>
      </c>
      <c r="P497" s="30">
        <f>J497</f>
        <v>6974.4800000000005</v>
      </c>
      <c r="Q497" s="30">
        <f>L497</f>
        <v>12.806399999999998</v>
      </c>
      <c r="W497">
        <f>IF(Source!BI121&lt;=1,H493+H494+H495, 0)</f>
        <v>228.37</v>
      </c>
      <c r="X497">
        <f>IF(Source!BI121=2,H493+H494+H495, 0)</f>
        <v>0</v>
      </c>
      <c r="Y497">
        <f>IF(Source!BI121=3,H493+H494+H495, 0)</f>
        <v>0</v>
      </c>
      <c r="Z497">
        <f>IF(Source!BI121=4,H493+H494+H495, 0)</f>
        <v>0</v>
      </c>
    </row>
    <row r="498" spans="1:26" ht="57" x14ac:dyDescent="0.2">
      <c r="A498" s="53">
        <v>81</v>
      </c>
      <c r="B498" s="53" t="str">
        <f>Source!F122</f>
        <v>09-03-031-01</v>
      </c>
      <c r="C498" s="53" t="str">
        <f>Source!G122</f>
        <v>Демонтаж // Монтаж щитов и блоков встроенных площадок с настилом из листовой стали, ребрами жесткости, составного сечения</v>
      </c>
      <c r="D498" s="36" t="str">
        <f>Source!H122</f>
        <v>т</v>
      </c>
      <c r="E498" s="10">
        <f>Source!I122</f>
        <v>0.65939999999999999</v>
      </c>
      <c r="F498" s="37">
        <f>Source!AL122+Source!AM122+Source!AO122</f>
        <v>623.4</v>
      </c>
      <c r="G498" s="38"/>
      <c r="H498" s="37"/>
      <c r="I498" s="38" t="str">
        <f>Source!BO122</f>
        <v/>
      </c>
      <c r="J498" s="38"/>
      <c r="K498" s="37"/>
      <c r="L498" s="39"/>
      <c r="S498">
        <f>ROUND((Source!FX122/100)*((ROUND(Source!AF122*Source!I122, 2)+ROUND(Source!AE122*Source!I122, 2))), 2)</f>
        <v>113.56</v>
      </c>
      <c r="T498">
        <f>Source!X122</f>
        <v>3468.13</v>
      </c>
      <c r="U498">
        <f>ROUND((Source!FY122/100)*((ROUND(Source!AF122*Source!I122, 2)+ROUND(Source!AE122*Source!I122, 2))), 2)</f>
        <v>75.709999999999994</v>
      </c>
      <c r="V498">
        <f>Source!Y122</f>
        <v>2312.09</v>
      </c>
    </row>
    <row r="499" spans="1:26" ht="14.25" x14ac:dyDescent="0.2">
      <c r="A499" s="53"/>
      <c r="B499" s="53"/>
      <c r="C499" s="53" t="s">
        <v>1132</v>
      </c>
      <c r="D499" s="36"/>
      <c r="E499" s="10"/>
      <c r="F499" s="37">
        <f>Source!AO122</f>
        <v>202.16</v>
      </c>
      <c r="G499" s="38" t="str">
        <f>Source!DG122</f>
        <v>)*1,15)*0,7</v>
      </c>
      <c r="H499" s="37">
        <f>ROUND(Source!AF122*Source!I122, 2)</f>
        <v>107.31</v>
      </c>
      <c r="I499" s="38"/>
      <c r="J499" s="38">
        <f>IF(Source!BA122&lt;&gt; 0, Source!BA122, 1)</f>
        <v>30.54</v>
      </c>
      <c r="K499" s="37">
        <f>Source!S122</f>
        <v>3277.27</v>
      </c>
      <c r="L499" s="39"/>
      <c r="R499">
        <f>H499</f>
        <v>107.31</v>
      </c>
    </row>
    <row r="500" spans="1:26" ht="14.25" x14ac:dyDescent="0.2">
      <c r="A500" s="53"/>
      <c r="B500" s="53"/>
      <c r="C500" s="53" t="s">
        <v>616</v>
      </c>
      <c r="D500" s="36"/>
      <c r="E500" s="10"/>
      <c r="F500" s="37">
        <f>Source!AM122</f>
        <v>324.79000000000002</v>
      </c>
      <c r="G500" s="38" t="str">
        <f>Source!DE122</f>
        <v>)*1,15)*0,7</v>
      </c>
      <c r="H500" s="37">
        <f>ROUND((((((Source!ET122*1.15)*0.7))-(((Source!EU122*1.15)*0.7)))+Source!AE122)*Source!I122, 2)</f>
        <v>172.41</v>
      </c>
      <c r="I500" s="38"/>
      <c r="J500" s="38">
        <f>IF(Source!BB122&lt;&gt; 0, Source!BB122, 1)</f>
        <v>12.13</v>
      </c>
      <c r="K500" s="37">
        <f>Source!Q122</f>
        <v>2091.35</v>
      </c>
      <c r="L500" s="39"/>
    </row>
    <row r="501" spans="1:26" ht="14.25" x14ac:dyDescent="0.2">
      <c r="A501" s="53"/>
      <c r="B501" s="53"/>
      <c r="C501" s="53" t="s">
        <v>1138</v>
      </c>
      <c r="D501" s="36"/>
      <c r="E501" s="10"/>
      <c r="F501" s="37">
        <f>Source!AN122</f>
        <v>27.87</v>
      </c>
      <c r="G501" s="38" t="str">
        <f>Source!DF122</f>
        <v>)*1,15)*0,7</v>
      </c>
      <c r="H501" s="47">
        <f>ROUND(Source!AE122*Source!I122, 2)</f>
        <v>14.8</v>
      </c>
      <c r="I501" s="38"/>
      <c r="J501" s="38">
        <f>IF(Source!BS122&lt;&gt; 0, Source!BS122, 1)</f>
        <v>30.54</v>
      </c>
      <c r="K501" s="47">
        <f>Source!R122</f>
        <v>451.9</v>
      </c>
      <c r="L501" s="39"/>
      <c r="R501">
        <f>H501</f>
        <v>14.8</v>
      </c>
    </row>
    <row r="502" spans="1:26" ht="14.25" x14ac:dyDescent="0.2">
      <c r="A502" s="53"/>
      <c r="B502" s="53"/>
      <c r="C502" s="53" t="s">
        <v>1133</v>
      </c>
      <c r="D502" s="36" t="s">
        <v>1134</v>
      </c>
      <c r="E502" s="10">
        <f>Source!BZ122</f>
        <v>93</v>
      </c>
      <c r="F502" s="55"/>
      <c r="G502" s="38"/>
      <c r="H502" s="37">
        <f>SUM(S498:S504)</f>
        <v>113.56</v>
      </c>
      <c r="I502" s="40"/>
      <c r="J502" s="35">
        <f>Source!AT122</f>
        <v>93</v>
      </c>
      <c r="K502" s="37">
        <f>SUM(T498:T504)</f>
        <v>3468.13</v>
      </c>
      <c r="L502" s="39"/>
    </row>
    <row r="503" spans="1:26" ht="14.25" x14ac:dyDescent="0.2">
      <c r="A503" s="53"/>
      <c r="B503" s="53"/>
      <c r="C503" s="53" t="s">
        <v>1135</v>
      </c>
      <c r="D503" s="36" t="s">
        <v>1134</v>
      </c>
      <c r="E503" s="10">
        <f>Source!CA122</f>
        <v>62</v>
      </c>
      <c r="F503" s="55"/>
      <c r="G503" s="38"/>
      <c r="H503" s="37">
        <f>SUM(U498:U504)</f>
        <v>75.709999999999994</v>
      </c>
      <c r="I503" s="40"/>
      <c r="J503" s="35">
        <f>Source!AU122</f>
        <v>62</v>
      </c>
      <c r="K503" s="37">
        <f>SUM(V498:V504)</f>
        <v>2312.09</v>
      </c>
      <c r="L503" s="39"/>
    </row>
    <row r="504" spans="1:26" ht="14.25" x14ac:dyDescent="0.2">
      <c r="A504" s="54"/>
      <c r="B504" s="54"/>
      <c r="C504" s="54" t="s">
        <v>1136</v>
      </c>
      <c r="D504" s="41" t="s">
        <v>1137</v>
      </c>
      <c r="E504" s="42">
        <f>Source!AQ122</f>
        <v>19.8</v>
      </c>
      <c r="F504" s="43"/>
      <c r="G504" s="44" t="str">
        <f>Source!DI122</f>
        <v>)*1,15)*0,7</v>
      </c>
      <c r="H504" s="43"/>
      <c r="I504" s="44"/>
      <c r="J504" s="44"/>
      <c r="K504" s="43"/>
      <c r="L504" s="45">
        <f>Source!U122</f>
        <v>10.510176599999999</v>
      </c>
    </row>
    <row r="505" spans="1:26" ht="15" x14ac:dyDescent="0.25">
      <c r="G505" s="62">
        <f>H499+H500+H502+H503</f>
        <v>468.99</v>
      </c>
      <c r="H505" s="62"/>
      <c r="J505" s="62">
        <f>K499+K500+K502+K503</f>
        <v>11148.84</v>
      </c>
      <c r="K505" s="62"/>
      <c r="L505" s="46">
        <f>Source!U122</f>
        <v>10.510176599999999</v>
      </c>
      <c r="O505" s="30">
        <f>G505</f>
        <v>468.99</v>
      </c>
      <c r="P505" s="30">
        <f>J505</f>
        <v>11148.84</v>
      </c>
      <c r="Q505" s="30">
        <f>L505</f>
        <v>10.510176599999999</v>
      </c>
      <c r="W505">
        <f>IF(Source!BI122&lt;=1,H499+H500+H502+H503, 0)</f>
        <v>468.99</v>
      </c>
      <c r="X505">
        <f>IF(Source!BI122=2,H499+H500+H502+H503, 0)</f>
        <v>0</v>
      </c>
      <c r="Y505">
        <f>IF(Source!BI122=3,H499+H500+H502+H503, 0)</f>
        <v>0</v>
      </c>
      <c r="Z505">
        <f>IF(Source!BI122=4,H499+H500+H502+H503, 0)</f>
        <v>0</v>
      </c>
    </row>
    <row r="506" spans="1:26" ht="28.5" x14ac:dyDescent="0.2">
      <c r="A506" s="53">
        <v>82</v>
      </c>
      <c r="B506" s="53" t="str">
        <f>Source!F123</f>
        <v>46-01-008-03</v>
      </c>
      <c r="C506" s="53" t="str">
        <f>Source!G123</f>
        <v>Заполнение бетоном отдельных мест в перекрытиях</v>
      </c>
      <c r="D506" s="36" t="str">
        <f>Source!H123</f>
        <v>м3</v>
      </c>
      <c r="E506" s="10">
        <f>Source!I123</f>
        <v>0.8</v>
      </c>
      <c r="F506" s="37">
        <f>Source!AL123+Source!AM123+Source!AO123</f>
        <v>1173.92</v>
      </c>
      <c r="G506" s="38"/>
      <c r="H506" s="37"/>
      <c r="I506" s="38" t="str">
        <f>Source!BO123</f>
        <v/>
      </c>
      <c r="J506" s="38"/>
      <c r="K506" s="37"/>
      <c r="L506" s="39"/>
      <c r="S506">
        <f>ROUND((Source!FX123/100)*((ROUND(Source!AF123*Source!I123, 2)+ROUND(Source!AE123*Source!I123, 2))), 2)</f>
        <v>201.39</v>
      </c>
      <c r="T506">
        <f>Source!X123</f>
        <v>6150.56</v>
      </c>
      <c r="U506">
        <f>ROUND((Source!FY123/100)*((ROUND(Source!AF123*Source!I123, 2)+ROUND(Source!AE123*Source!I123, 2))), 2)</f>
        <v>115.36</v>
      </c>
      <c r="V506">
        <f>Source!Y123</f>
        <v>3523.14</v>
      </c>
    </row>
    <row r="507" spans="1:26" ht="14.25" x14ac:dyDescent="0.2">
      <c r="A507" s="53"/>
      <c r="B507" s="53"/>
      <c r="C507" s="53" t="s">
        <v>1132</v>
      </c>
      <c r="D507" s="36"/>
      <c r="E507" s="10"/>
      <c r="F507" s="37">
        <f>Source!AO123</f>
        <v>208.2</v>
      </c>
      <c r="G507" s="38" t="str">
        <f>Source!DG123</f>
        <v>)*1,15</v>
      </c>
      <c r="H507" s="37">
        <f>ROUND(Source!AF123*Source!I123, 2)</f>
        <v>191.54</v>
      </c>
      <c r="I507" s="38"/>
      <c r="J507" s="38">
        <f>IF(Source!BA123&lt;&gt; 0, Source!BA123, 1)</f>
        <v>30.54</v>
      </c>
      <c r="K507" s="37">
        <f>Source!S123</f>
        <v>5849.75</v>
      </c>
      <c r="L507" s="39"/>
      <c r="R507">
        <f>H507</f>
        <v>191.54</v>
      </c>
    </row>
    <row r="508" spans="1:26" ht="14.25" x14ac:dyDescent="0.2">
      <c r="A508" s="53"/>
      <c r="B508" s="53"/>
      <c r="C508" s="53" t="s">
        <v>616</v>
      </c>
      <c r="D508" s="36"/>
      <c r="E508" s="10"/>
      <c r="F508" s="37">
        <f>Source!AM123</f>
        <v>30.1</v>
      </c>
      <c r="G508" s="38" t="str">
        <f>Source!DE123</f>
        <v>)*1,15</v>
      </c>
      <c r="H508" s="37">
        <f>ROUND(((((Source!ET123*1.15))-((Source!EU123*1.15)))+Source!AE123)*Source!I123, 2)</f>
        <v>27.69</v>
      </c>
      <c r="I508" s="38"/>
      <c r="J508" s="38">
        <f>IF(Source!BB123&lt;&gt; 0, Source!BB123, 1)</f>
        <v>12.13</v>
      </c>
      <c r="K508" s="37">
        <f>Source!Q123</f>
        <v>335.92</v>
      </c>
      <c r="L508" s="39"/>
    </row>
    <row r="509" spans="1:26" ht="14.25" x14ac:dyDescent="0.2">
      <c r="A509" s="53"/>
      <c r="B509" s="53"/>
      <c r="C509" s="53" t="s">
        <v>1138</v>
      </c>
      <c r="D509" s="36"/>
      <c r="E509" s="10"/>
      <c r="F509" s="37">
        <f>Source!AN123</f>
        <v>4.33</v>
      </c>
      <c r="G509" s="38" t="str">
        <f>Source!DF123</f>
        <v>)*1,15</v>
      </c>
      <c r="H509" s="47">
        <f>ROUND(Source!AE123*Source!I123, 2)</f>
        <v>3.98</v>
      </c>
      <c r="I509" s="38"/>
      <c r="J509" s="38">
        <f>IF(Source!BS123&lt;&gt; 0, Source!BS123, 1)</f>
        <v>30.54</v>
      </c>
      <c r="K509" s="47">
        <f>Source!R123</f>
        <v>121.67</v>
      </c>
      <c r="L509" s="39"/>
      <c r="R509">
        <f>H509</f>
        <v>3.98</v>
      </c>
    </row>
    <row r="510" spans="1:26" ht="14.25" x14ac:dyDescent="0.2">
      <c r="A510" s="53"/>
      <c r="B510" s="53"/>
      <c r="C510" s="53" t="s">
        <v>1139</v>
      </c>
      <c r="D510" s="36"/>
      <c r="E510" s="10"/>
      <c r="F510" s="37">
        <f>Source!AL123</f>
        <v>935.62</v>
      </c>
      <c r="G510" s="38" t="str">
        <f>Source!DD123</f>
        <v/>
      </c>
      <c r="H510" s="37">
        <f>ROUND(Source!AC123*Source!I123, 2)</f>
        <v>748.5</v>
      </c>
      <c r="I510" s="38"/>
      <c r="J510" s="38">
        <f>IF(Source!BC123&lt;&gt; 0, Source!BC123, 1)</f>
        <v>8.7100000000000009</v>
      </c>
      <c r="K510" s="37">
        <f>Source!P123</f>
        <v>6519.4</v>
      </c>
      <c r="L510" s="39"/>
    </row>
    <row r="511" spans="1:26" ht="14.25" x14ac:dyDescent="0.2">
      <c r="A511" s="53"/>
      <c r="B511" s="53"/>
      <c r="C511" s="53" t="s">
        <v>1133</v>
      </c>
      <c r="D511" s="36" t="s">
        <v>1134</v>
      </c>
      <c r="E511" s="10">
        <f>Source!BZ123</f>
        <v>103</v>
      </c>
      <c r="F511" s="55"/>
      <c r="G511" s="38"/>
      <c r="H511" s="37">
        <f>SUM(S506:S514)</f>
        <v>201.39</v>
      </c>
      <c r="I511" s="40"/>
      <c r="J511" s="35">
        <f>Source!AT123</f>
        <v>103</v>
      </c>
      <c r="K511" s="37">
        <f>SUM(T506:T514)</f>
        <v>6150.56</v>
      </c>
      <c r="L511" s="39"/>
    </row>
    <row r="512" spans="1:26" ht="14.25" x14ac:dyDescent="0.2">
      <c r="A512" s="53"/>
      <c r="B512" s="53"/>
      <c r="C512" s="53" t="s">
        <v>1135</v>
      </c>
      <c r="D512" s="36" t="s">
        <v>1134</v>
      </c>
      <c r="E512" s="10">
        <f>Source!CA123</f>
        <v>59</v>
      </c>
      <c r="F512" s="55"/>
      <c r="G512" s="38"/>
      <c r="H512" s="37">
        <f>SUM(U506:U514)</f>
        <v>115.36</v>
      </c>
      <c r="I512" s="40"/>
      <c r="J512" s="35">
        <f>Source!AU123</f>
        <v>59</v>
      </c>
      <c r="K512" s="37">
        <f>SUM(V506:V514)</f>
        <v>3523.14</v>
      </c>
      <c r="L512" s="39"/>
    </row>
    <row r="513" spans="1:26" ht="14.25" x14ac:dyDescent="0.2">
      <c r="A513" s="53"/>
      <c r="B513" s="53"/>
      <c r="C513" s="53" t="s">
        <v>1136</v>
      </c>
      <c r="D513" s="36" t="s">
        <v>1137</v>
      </c>
      <c r="E513" s="10">
        <f>Source!AQ123</f>
        <v>24.61</v>
      </c>
      <c r="F513" s="37"/>
      <c r="G513" s="38" t="str">
        <f>Source!DI123</f>
        <v>)*1,15</v>
      </c>
      <c r="H513" s="37"/>
      <c r="I513" s="38"/>
      <c r="J513" s="38"/>
      <c r="K513" s="37"/>
      <c r="L513" s="48">
        <f>Source!U123</f>
        <v>22.641199999999998</v>
      </c>
    </row>
    <row r="514" spans="1:26" ht="28.5" x14ac:dyDescent="0.2">
      <c r="A514" s="54">
        <v>82.1</v>
      </c>
      <c r="B514" s="54" t="str">
        <f>Source!F124</f>
        <v>08.4.03.04-0001</v>
      </c>
      <c r="C514" s="54" t="str">
        <f>Source!G124</f>
        <v>Сталь арматурная, горячекатаная, класс А-I, А-II, А-III</v>
      </c>
      <c r="D514" s="41" t="str">
        <f>Source!H124</f>
        <v>т</v>
      </c>
      <c r="E514" s="42">
        <f>Source!I124</f>
        <v>-7.1999999999999995E-2</v>
      </c>
      <c r="F514" s="43">
        <f>Source!AL124+Source!AM124+Source!AO124</f>
        <v>5650</v>
      </c>
      <c r="G514" s="49" t="s">
        <v>3</v>
      </c>
      <c r="H514" s="43">
        <f>ROUND(Source!AC124*Source!I124, 2)+ROUND((((Source!ET124)-(Source!EU124))+Source!AE124)*Source!I124, 2)+ROUND(Source!AF124*Source!I124, 2)</f>
        <v>-406.8</v>
      </c>
      <c r="I514" s="44"/>
      <c r="J514" s="44">
        <f>IF(Source!BC124&lt;&gt; 0, Source!BC124, 1)</f>
        <v>8.7100000000000009</v>
      </c>
      <c r="K514" s="43">
        <f>Source!O124</f>
        <v>-3543.23</v>
      </c>
      <c r="L514" s="50"/>
      <c r="S514">
        <f>ROUND((Source!FX124/100)*((ROUND(Source!AF124*Source!I124, 2)+ROUND(Source!AE124*Source!I124, 2))), 2)</f>
        <v>0</v>
      </c>
      <c r="T514">
        <f>Source!X124</f>
        <v>0</v>
      </c>
      <c r="U514">
        <f>ROUND((Source!FY124/100)*((ROUND(Source!AF124*Source!I124, 2)+ROUND(Source!AE124*Source!I124, 2))), 2)</f>
        <v>0</v>
      </c>
      <c r="V514">
        <f>Source!Y124</f>
        <v>0</v>
      </c>
      <c r="W514">
        <f>IF(Source!BI124&lt;=1,H514, 0)</f>
        <v>-406.8</v>
      </c>
      <c r="X514">
        <f>IF(Source!BI124=2,H514, 0)</f>
        <v>0</v>
      </c>
      <c r="Y514">
        <f>IF(Source!BI124=3,H514, 0)</f>
        <v>0</v>
      </c>
      <c r="Z514">
        <f>IF(Source!BI124=4,H514, 0)</f>
        <v>0</v>
      </c>
    </row>
    <row r="515" spans="1:26" ht="15" x14ac:dyDescent="0.25">
      <c r="G515" s="62">
        <f>H507+H508+H510+H511+H512+SUM(H514:H514)</f>
        <v>877.67999999999984</v>
      </c>
      <c r="H515" s="62"/>
      <c r="J515" s="62">
        <f>K507+K508+K510+K511+K512+SUM(K514:K514)</f>
        <v>18835.54</v>
      </c>
      <c r="K515" s="62"/>
      <c r="L515" s="46">
        <f>Source!U123</f>
        <v>22.641199999999998</v>
      </c>
      <c r="O515" s="30">
        <f>G515</f>
        <v>877.67999999999984</v>
      </c>
      <c r="P515" s="30">
        <f>J515</f>
        <v>18835.54</v>
      </c>
      <c r="Q515" s="30">
        <f>L515</f>
        <v>22.641199999999998</v>
      </c>
      <c r="W515">
        <f>IF(Source!BI123&lt;=1,H507+H508+H510+H511+H512, 0)</f>
        <v>1284.4799999999998</v>
      </c>
      <c r="X515">
        <f>IF(Source!BI123=2,H507+H508+H510+H511+H512, 0)</f>
        <v>0</v>
      </c>
      <c r="Y515">
        <f>IF(Source!BI123=3,H507+H508+H510+H511+H512, 0)</f>
        <v>0</v>
      </c>
      <c r="Z515">
        <f>IF(Source!BI123=4,H507+H508+H510+H511+H512, 0)</f>
        <v>0</v>
      </c>
    </row>
    <row r="516" spans="1:26" ht="42.75" x14ac:dyDescent="0.2">
      <c r="A516" s="53">
        <v>83</v>
      </c>
      <c r="B516" s="53" t="str">
        <f>Source!F125</f>
        <v>Цена Поставщика</v>
      </c>
      <c r="C516" s="53" t="s">
        <v>1166</v>
      </c>
      <c r="D516" s="36" t="str">
        <f>Source!H125</f>
        <v>т</v>
      </c>
      <c r="E516" s="10">
        <f>Source!I125</f>
        <v>1E-3</v>
      </c>
      <c r="F516" s="37">
        <f>Source!AL125</f>
        <v>6711.68</v>
      </c>
      <c r="G516" s="38" t="str">
        <f>Source!DD125</f>
        <v/>
      </c>
      <c r="H516" s="37">
        <f>ROUND(Source!AC125*Source!I125, 2)</f>
        <v>6.71</v>
      </c>
      <c r="I516" s="38" t="str">
        <f>Source!BO125</f>
        <v/>
      </c>
      <c r="J516" s="38">
        <f>IF(Source!BC125&lt;&gt; 0, Source!BC125, 1)</f>
        <v>8.7100000000000009</v>
      </c>
      <c r="K516" s="37">
        <f>Source!P125</f>
        <v>58.46</v>
      </c>
      <c r="L516" s="39"/>
      <c r="S516">
        <f>ROUND((Source!FX125/100)*((ROUND(Source!AF125*Source!I125, 2)+ROUND(Source!AE125*Source!I125, 2))), 2)</f>
        <v>0</v>
      </c>
      <c r="T516">
        <f>Source!X125</f>
        <v>0</v>
      </c>
      <c r="U516">
        <f>ROUND((Source!FY125/100)*((ROUND(Source!AF125*Source!I125, 2)+ROUND(Source!AE125*Source!I125, 2))), 2)</f>
        <v>0</v>
      </c>
      <c r="V516">
        <f>Source!Y125</f>
        <v>0</v>
      </c>
    </row>
    <row r="517" spans="1:26" x14ac:dyDescent="0.2">
      <c r="A517" s="32"/>
      <c r="B517" s="32"/>
      <c r="C517" s="33" t="str">
        <f>"Объем: "&amp;Source!I125&amp;"=1/"&amp;"1000"</f>
        <v>Объем: 0,001=1/1000</v>
      </c>
      <c r="D517" s="32"/>
      <c r="E517" s="32"/>
      <c r="F517" s="32"/>
      <c r="G517" s="32"/>
      <c r="H517" s="32"/>
      <c r="I517" s="32"/>
      <c r="J517" s="32"/>
      <c r="K517" s="32"/>
      <c r="L517" s="32"/>
    </row>
    <row r="518" spans="1:26" ht="15" x14ac:dyDescent="0.25">
      <c r="G518" s="62">
        <f>H516</f>
        <v>6.71</v>
      </c>
      <c r="H518" s="62"/>
      <c r="J518" s="62">
        <f>K516</f>
        <v>58.46</v>
      </c>
      <c r="K518" s="62"/>
      <c r="L518" s="46">
        <f>Source!U125</f>
        <v>0</v>
      </c>
      <c r="O518" s="30">
        <f>G518</f>
        <v>6.71</v>
      </c>
      <c r="P518" s="30">
        <f>J518</f>
        <v>58.46</v>
      </c>
      <c r="Q518" s="30">
        <f>L518</f>
        <v>0</v>
      </c>
      <c r="W518">
        <f>IF(Source!BI125&lt;=1,H516, 0)</f>
        <v>6.71</v>
      </c>
      <c r="X518">
        <f>IF(Source!BI125=2,H516, 0)</f>
        <v>0</v>
      </c>
      <c r="Y518">
        <f>IF(Source!BI125=3,H516, 0)</f>
        <v>0</v>
      </c>
      <c r="Z518">
        <f>IF(Source!BI125=4,H516, 0)</f>
        <v>0</v>
      </c>
    </row>
    <row r="519" spans="1:26" ht="42.75" x14ac:dyDescent="0.2">
      <c r="A519" s="54">
        <v>84</v>
      </c>
      <c r="B519" s="54" t="str">
        <f>Source!F126</f>
        <v>Цена Поставщика</v>
      </c>
      <c r="C519" s="54" t="s">
        <v>1167</v>
      </c>
      <c r="D519" s="41" t="str">
        <f>Source!H126</f>
        <v>м3</v>
      </c>
      <c r="E519" s="42">
        <f>Source!I126</f>
        <v>0.81599999999999995</v>
      </c>
      <c r="F519" s="43">
        <f>Source!AL126</f>
        <v>447.28</v>
      </c>
      <c r="G519" s="44" t="str">
        <f>Source!DD126</f>
        <v/>
      </c>
      <c r="H519" s="43">
        <f>ROUND(Source!AC126*Source!I126, 2)</f>
        <v>364.98</v>
      </c>
      <c r="I519" s="44" t="str">
        <f>Source!BO126</f>
        <v/>
      </c>
      <c r="J519" s="44">
        <f>IF(Source!BC126&lt;&gt; 0, Source!BC126, 1)</f>
        <v>8.7100000000000009</v>
      </c>
      <c r="K519" s="43">
        <f>Source!P126</f>
        <v>3178.98</v>
      </c>
      <c r="L519" s="50"/>
      <c r="S519">
        <f>ROUND((Source!FX126/100)*((ROUND(Source!AF126*Source!I126, 2)+ROUND(Source!AE126*Source!I126, 2))), 2)</f>
        <v>0</v>
      </c>
      <c r="T519">
        <f>Source!X126</f>
        <v>0</v>
      </c>
      <c r="U519">
        <f>ROUND((Source!FY126/100)*((ROUND(Source!AF126*Source!I126, 2)+ROUND(Source!AE126*Source!I126, 2))), 2)</f>
        <v>0</v>
      </c>
      <c r="V519">
        <f>Source!Y126</f>
        <v>0</v>
      </c>
    </row>
    <row r="520" spans="1:26" ht="15" x14ac:dyDescent="0.25">
      <c r="G520" s="62">
        <f>H519</f>
        <v>364.98</v>
      </c>
      <c r="H520" s="62"/>
      <c r="J520" s="62">
        <f>K519</f>
        <v>3178.98</v>
      </c>
      <c r="K520" s="62"/>
      <c r="L520" s="46">
        <f>Source!U126</f>
        <v>0</v>
      </c>
      <c r="O520" s="30">
        <f>G520</f>
        <v>364.98</v>
      </c>
      <c r="P520" s="30">
        <f>J520</f>
        <v>3178.98</v>
      </c>
      <c r="Q520" s="30">
        <f>L520</f>
        <v>0</v>
      </c>
      <c r="W520">
        <f>IF(Source!BI126&lt;=1,H519, 0)</f>
        <v>364.98</v>
      </c>
      <c r="X520">
        <f>IF(Source!BI126=2,H519, 0)</f>
        <v>0</v>
      </c>
      <c r="Y520">
        <f>IF(Source!BI126=3,H519, 0)</f>
        <v>0</v>
      </c>
      <c r="Z520">
        <f>IF(Source!BI126=4,H519, 0)</f>
        <v>0</v>
      </c>
    </row>
    <row r="521" spans="1:26" ht="71.25" x14ac:dyDescent="0.2">
      <c r="A521" s="53">
        <v>85</v>
      </c>
      <c r="B521" s="53" t="str">
        <f>Source!F127</f>
        <v>м38-01-001-01</v>
      </c>
      <c r="C521" s="53" t="str">
        <f>Source!G127</f>
        <v>Листовые конструкции массой свыше 0,5 т (бункеры, сборники, отстойники, мерники без внутренних устройств и др.), сборка с помощью: крана на автомобильном ходу</v>
      </c>
      <c r="D521" s="36" t="str">
        <f>Source!H127</f>
        <v>т</v>
      </c>
      <c r="E521" s="10">
        <f>Source!I127</f>
        <v>1.0738000000000001</v>
      </c>
      <c r="F521" s="37">
        <f>Source!AL127+Source!AM127+Source!AO127</f>
        <v>2626.21</v>
      </c>
      <c r="G521" s="38"/>
      <c r="H521" s="37"/>
      <c r="I521" s="38" t="str">
        <f>Source!BO127</f>
        <v/>
      </c>
      <c r="J521" s="38"/>
      <c r="K521" s="37"/>
      <c r="L521" s="39"/>
      <c r="S521">
        <f>ROUND((Source!FX127/100)*((ROUND(Source!AF127*Source!I127, 2)+ROUND(Source!AE127*Source!I127, 2))), 2)</f>
        <v>976.48</v>
      </c>
      <c r="T521">
        <f>Source!X127</f>
        <v>29822.01</v>
      </c>
      <c r="U521">
        <f>ROUND((Source!FY127/100)*((ROUND(Source!AF127*Source!I127, 2)+ROUND(Source!AE127*Source!I127, 2))), 2)</f>
        <v>488.24</v>
      </c>
      <c r="V521">
        <f>Source!Y127</f>
        <v>14911.01</v>
      </c>
    </row>
    <row r="522" spans="1:26" ht="14.25" x14ac:dyDescent="0.2">
      <c r="A522" s="53"/>
      <c r="B522" s="53"/>
      <c r="C522" s="53" t="s">
        <v>1132</v>
      </c>
      <c r="D522" s="36"/>
      <c r="E522" s="10"/>
      <c r="F522" s="37">
        <f>Source!AO127</f>
        <v>883.12</v>
      </c>
      <c r="G522" s="38" t="str">
        <f>Source!DG127</f>
        <v/>
      </c>
      <c r="H522" s="37">
        <f>ROUND(Source!AF127*Source!I127, 2)</f>
        <v>948.29</v>
      </c>
      <c r="I522" s="38"/>
      <c r="J522" s="38">
        <f>IF(Source!BA127&lt;&gt; 0, Source!BA127, 1)</f>
        <v>30.54</v>
      </c>
      <c r="K522" s="37">
        <f>Source!S127</f>
        <v>28960.91</v>
      </c>
      <c r="L522" s="39"/>
      <c r="R522">
        <f>H522</f>
        <v>948.29</v>
      </c>
    </row>
    <row r="523" spans="1:26" ht="14.25" x14ac:dyDescent="0.2">
      <c r="A523" s="53"/>
      <c r="B523" s="53"/>
      <c r="C523" s="53" t="s">
        <v>616</v>
      </c>
      <c r="D523" s="36"/>
      <c r="E523" s="10"/>
      <c r="F523" s="37">
        <f>Source!AM127</f>
        <v>1496.8</v>
      </c>
      <c r="G523" s="38" t="str">
        <f>Source!DE127</f>
        <v/>
      </c>
      <c r="H523" s="37">
        <f>ROUND((((Source!ET127)-(Source!EU127))+Source!AE127)*Source!I127, 2)</f>
        <v>1607.26</v>
      </c>
      <c r="I523" s="38"/>
      <c r="J523" s="38">
        <f>IF(Source!BB127&lt;&gt; 0, Source!BB127, 1)</f>
        <v>12.13</v>
      </c>
      <c r="K523" s="37">
        <f>Source!Q127</f>
        <v>19496.11</v>
      </c>
      <c r="L523" s="39"/>
    </row>
    <row r="524" spans="1:26" ht="14.25" x14ac:dyDescent="0.2">
      <c r="A524" s="53"/>
      <c r="B524" s="53"/>
      <c r="C524" s="53" t="s">
        <v>1138</v>
      </c>
      <c r="D524" s="36"/>
      <c r="E524" s="10"/>
      <c r="F524" s="37">
        <f>Source!AN127</f>
        <v>127.3</v>
      </c>
      <c r="G524" s="38" t="str">
        <f>Source!DF127</f>
        <v/>
      </c>
      <c r="H524" s="47">
        <f>ROUND(Source!AE127*Source!I127, 2)</f>
        <v>136.69</v>
      </c>
      <c r="I524" s="38"/>
      <c r="J524" s="38">
        <f>IF(Source!BS127&lt;&gt; 0, Source!BS127, 1)</f>
        <v>30.54</v>
      </c>
      <c r="K524" s="47">
        <f>Source!R127</f>
        <v>4174.66</v>
      </c>
      <c r="L524" s="39"/>
      <c r="R524">
        <f>H524</f>
        <v>136.69</v>
      </c>
    </row>
    <row r="525" spans="1:26" ht="14.25" x14ac:dyDescent="0.2">
      <c r="A525" s="53"/>
      <c r="B525" s="53"/>
      <c r="C525" s="53" t="s">
        <v>1139</v>
      </c>
      <c r="D525" s="36"/>
      <c r="E525" s="10"/>
      <c r="F525" s="37">
        <f>Source!AL127</f>
        <v>246.29</v>
      </c>
      <c r="G525" s="38" t="str">
        <f>Source!DD127</f>
        <v/>
      </c>
      <c r="H525" s="37">
        <f>ROUND(Source!AC127*Source!I127, 2)</f>
        <v>264.47000000000003</v>
      </c>
      <c r="I525" s="38"/>
      <c r="J525" s="38">
        <f>IF(Source!BC127&lt;&gt; 0, Source!BC127, 1)</f>
        <v>8.7100000000000009</v>
      </c>
      <c r="K525" s="37">
        <f>Source!P127</f>
        <v>2303.5</v>
      </c>
      <c r="L525" s="39"/>
    </row>
    <row r="526" spans="1:26" ht="14.25" x14ac:dyDescent="0.2">
      <c r="A526" s="53"/>
      <c r="B526" s="53"/>
      <c r="C526" s="53" t="s">
        <v>1133</v>
      </c>
      <c r="D526" s="36" t="s">
        <v>1134</v>
      </c>
      <c r="E526" s="10">
        <f>Source!BZ127</f>
        <v>90</v>
      </c>
      <c r="F526" s="55"/>
      <c r="G526" s="38"/>
      <c r="H526" s="37">
        <f>SUM(S521:S528)</f>
        <v>976.48</v>
      </c>
      <c r="I526" s="40"/>
      <c r="J526" s="35">
        <f>Source!AT127</f>
        <v>90</v>
      </c>
      <c r="K526" s="37">
        <f>SUM(T521:T528)</f>
        <v>29822.01</v>
      </c>
      <c r="L526" s="39"/>
    </row>
    <row r="527" spans="1:26" ht="14.25" x14ac:dyDescent="0.2">
      <c r="A527" s="53"/>
      <c r="B527" s="53"/>
      <c r="C527" s="53" t="s">
        <v>1135</v>
      </c>
      <c r="D527" s="36" t="s">
        <v>1134</v>
      </c>
      <c r="E527" s="10">
        <f>Source!CA127</f>
        <v>45</v>
      </c>
      <c r="F527" s="55"/>
      <c r="G527" s="38"/>
      <c r="H527" s="37">
        <f>SUM(U521:U528)</f>
        <v>488.24</v>
      </c>
      <c r="I527" s="40"/>
      <c r="J527" s="35">
        <f>Source!AU127</f>
        <v>45</v>
      </c>
      <c r="K527" s="37">
        <f>SUM(V521:V528)</f>
        <v>14911.01</v>
      </c>
      <c r="L527" s="39"/>
    </row>
    <row r="528" spans="1:26" ht="14.25" x14ac:dyDescent="0.2">
      <c r="A528" s="54"/>
      <c r="B528" s="54"/>
      <c r="C528" s="54" t="s">
        <v>1136</v>
      </c>
      <c r="D528" s="41" t="s">
        <v>1137</v>
      </c>
      <c r="E528" s="42">
        <f>Source!AQ127</f>
        <v>91.8</v>
      </c>
      <c r="F528" s="43"/>
      <c r="G528" s="44" t="str">
        <f>Source!DI127</f>
        <v/>
      </c>
      <c r="H528" s="43"/>
      <c r="I528" s="44"/>
      <c r="J528" s="44"/>
      <c r="K528" s="43"/>
      <c r="L528" s="45">
        <f>Source!U127</f>
        <v>98.574840000000009</v>
      </c>
    </row>
    <row r="529" spans="1:26" ht="15" x14ac:dyDescent="0.25">
      <c r="G529" s="62">
        <f>H522+H523+H525+H526+H527</f>
        <v>4284.7400000000007</v>
      </c>
      <c r="H529" s="62"/>
      <c r="J529" s="62">
        <f>K522+K523+K525+K526+K527</f>
        <v>95493.54</v>
      </c>
      <c r="K529" s="62"/>
      <c r="L529" s="46">
        <f>Source!U127</f>
        <v>98.574840000000009</v>
      </c>
      <c r="O529" s="30">
        <f>G529</f>
        <v>4284.7400000000007</v>
      </c>
      <c r="P529" s="30">
        <f>J529</f>
        <v>95493.54</v>
      </c>
      <c r="Q529" s="30">
        <f>L529</f>
        <v>98.574840000000009</v>
      </c>
      <c r="W529">
        <f>IF(Source!BI127&lt;=1,H522+H523+H525+H526+H527, 0)</f>
        <v>0</v>
      </c>
      <c r="X529">
        <f>IF(Source!BI127=2,H522+H523+H525+H526+H527, 0)</f>
        <v>4284.7400000000007</v>
      </c>
      <c r="Y529">
        <f>IF(Source!BI127=3,H522+H523+H525+H526+H527, 0)</f>
        <v>0</v>
      </c>
      <c r="Z529">
        <f>IF(Source!BI127=4,H522+H523+H525+H526+H527, 0)</f>
        <v>0</v>
      </c>
    </row>
    <row r="530" spans="1:26" ht="54" x14ac:dyDescent="0.2">
      <c r="A530" s="54">
        <v>86</v>
      </c>
      <c r="B530" s="54" t="str">
        <f>Source!F128</f>
        <v>Цена Поставщика</v>
      </c>
      <c r="C530" s="54" t="s">
        <v>1168</v>
      </c>
      <c r="D530" s="41" t="str">
        <f>Source!H128</f>
        <v>т</v>
      </c>
      <c r="E530" s="42">
        <f>Source!I128</f>
        <v>0.46129999999999999</v>
      </c>
      <c r="F530" s="43">
        <f>Source!AL128</f>
        <v>7590.95</v>
      </c>
      <c r="G530" s="44" t="str">
        <f>Source!DD128</f>
        <v/>
      </c>
      <c r="H530" s="43">
        <f>ROUND(Source!AC128*Source!I128, 2)</f>
        <v>3501.71</v>
      </c>
      <c r="I530" s="44" t="str">
        <f>Source!BO128</f>
        <v/>
      </c>
      <c r="J530" s="44">
        <f>IF(Source!BC128&lt;&gt; 0, Source!BC128, 1)</f>
        <v>8.7100000000000009</v>
      </c>
      <c r="K530" s="43">
        <f>Source!P128</f>
        <v>30499.85</v>
      </c>
      <c r="L530" s="50"/>
      <c r="S530">
        <f>ROUND((Source!FX128/100)*((ROUND(Source!AF128*Source!I128, 2)+ROUND(Source!AE128*Source!I128, 2))), 2)</f>
        <v>0</v>
      </c>
      <c r="T530">
        <f>Source!X128</f>
        <v>0</v>
      </c>
      <c r="U530">
        <f>ROUND((Source!FY128/100)*((ROUND(Source!AF128*Source!I128, 2)+ROUND(Source!AE128*Source!I128, 2))), 2)</f>
        <v>0</v>
      </c>
      <c r="V530">
        <f>Source!Y128</f>
        <v>0</v>
      </c>
    </row>
    <row r="531" spans="1:26" ht="15" x14ac:dyDescent="0.25">
      <c r="G531" s="62">
        <f>H530</f>
        <v>3501.71</v>
      </c>
      <c r="H531" s="62"/>
      <c r="J531" s="62">
        <f>K530</f>
        <v>30499.85</v>
      </c>
      <c r="K531" s="62"/>
      <c r="L531" s="46">
        <f>Source!U128</f>
        <v>0</v>
      </c>
      <c r="O531" s="30">
        <f>G531</f>
        <v>3501.71</v>
      </c>
      <c r="P531" s="30">
        <f>J531</f>
        <v>30499.85</v>
      </c>
      <c r="Q531" s="30">
        <f>L531</f>
        <v>0</v>
      </c>
      <c r="W531">
        <f>IF(Source!BI128&lt;=1,H530, 0)</f>
        <v>3501.71</v>
      </c>
      <c r="X531">
        <f>IF(Source!BI128=2,H530, 0)</f>
        <v>0</v>
      </c>
      <c r="Y531">
        <f>IF(Source!BI128=3,H530, 0)</f>
        <v>0</v>
      </c>
      <c r="Z531">
        <f>IF(Source!BI128=4,H530, 0)</f>
        <v>0</v>
      </c>
    </row>
    <row r="532" spans="1:26" ht="42.75" x14ac:dyDescent="0.2">
      <c r="A532" s="54">
        <v>87</v>
      </c>
      <c r="B532" s="54" t="str">
        <f>Source!F129</f>
        <v>Цена Поставщика</v>
      </c>
      <c r="C532" s="54" t="s">
        <v>1169</v>
      </c>
      <c r="D532" s="41" t="str">
        <f>Source!H129</f>
        <v>т</v>
      </c>
      <c r="E532" s="42">
        <f>Source!I129</f>
        <v>0.65749999999999997</v>
      </c>
      <c r="F532" s="43">
        <f>Source!AL129</f>
        <v>7692.17</v>
      </c>
      <c r="G532" s="44" t="str">
        <f>Source!DD129</f>
        <v/>
      </c>
      <c r="H532" s="43">
        <f>ROUND(Source!AC129*Source!I129, 2)</f>
        <v>5057.6000000000004</v>
      </c>
      <c r="I532" s="44" t="str">
        <f>Source!BO129</f>
        <v/>
      </c>
      <c r="J532" s="44">
        <f>IF(Source!BC129&lt;&gt; 0, Source!BC129, 1)</f>
        <v>8.7100000000000009</v>
      </c>
      <c r="K532" s="43">
        <f>Source!P129</f>
        <v>44051.71</v>
      </c>
      <c r="L532" s="50"/>
      <c r="S532">
        <f>ROUND((Source!FX129/100)*((ROUND(Source!AF129*Source!I129, 2)+ROUND(Source!AE129*Source!I129, 2))), 2)</f>
        <v>0</v>
      </c>
      <c r="T532">
        <f>Source!X129</f>
        <v>0</v>
      </c>
      <c r="U532">
        <f>ROUND((Source!FY129/100)*((ROUND(Source!AF129*Source!I129, 2)+ROUND(Source!AE129*Source!I129, 2))), 2)</f>
        <v>0</v>
      </c>
      <c r="V532">
        <f>Source!Y129</f>
        <v>0</v>
      </c>
    </row>
    <row r="533" spans="1:26" ht="15" x14ac:dyDescent="0.25">
      <c r="G533" s="62">
        <f>H532</f>
        <v>5057.6000000000004</v>
      </c>
      <c r="H533" s="62"/>
      <c r="J533" s="62">
        <f>K532</f>
        <v>44051.71</v>
      </c>
      <c r="K533" s="62"/>
      <c r="L533" s="46">
        <f>Source!U129</f>
        <v>0</v>
      </c>
      <c r="O533" s="30">
        <f>G533</f>
        <v>5057.6000000000004</v>
      </c>
      <c r="P533" s="30">
        <f>J533</f>
        <v>44051.71</v>
      </c>
      <c r="Q533" s="30">
        <f>L533</f>
        <v>0</v>
      </c>
      <c r="W533">
        <f>IF(Source!BI129&lt;=1,H532, 0)</f>
        <v>5057.6000000000004</v>
      </c>
      <c r="X533">
        <f>IF(Source!BI129=2,H532, 0)</f>
        <v>0</v>
      </c>
      <c r="Y533">
        <f>IF(Source!BI129=3,H532, 0)</f>
        <v>0</v>
      </c>
      <c r="Z533">
        <f>IF(Source!BI129=4,H532, 0)</f>
        <v>0</v>
      </c>
    </row>
    <row r="534" spans="1:26" ht="42.75" x14ac:dyDescent="0.2">
      <c r="A534" s="53">
        <v>88</v>
      </c>
      <c r="B534" s="53" t="str">
        <f>Source!F130</f>
        <v>09-06-001-01</v>
      </c>
      <c r="C534" s="53" t="str">
        <f>Source!G130</f>
        <v>Монтаж: конструкций дверей, люков, лазов для автокоптилок и пароварочных камер</v>
      </c>
      <c r="D534" s="36" t="str">
        <f>Source!H130</f>
        <v>т</v>
      </c>
      <c r="E534" s="10">
        <f>Source!I130</f>
        <v>1.0738000000000001</v>
      </c>
      <c r="F534" s="37">
        <f>Source!AL130+Source!AM130+Source!AO130</f>
        <v>851.58999999999992</v>
      </c>
      <c r="G534" s="38"/>
      <c r="H534" s="37"/>
      <c r="I534" s="38" t="str">
        <f>Source!BO130</f>
        <v/>
      </c>
      <c r="J534" s="38"/>
      <c r="K534" s="37"/>
      <c r="L534" s="39"/>
      <c r="S534">
        <f>ROUND((Source!FX130/100)*((ROUND(Source!AF130*Source!I130, 2)+ROUND(Source!AE130*Source!I130, 2))), 2)</f>
        <v>946.55</v>
      </c>
      <c r="T534">
        <f>Source!X130</f>
        <v>28907.79</v>
      </c>
      <c r="U534">
        <f>ROUND((Source!FY130/100)*((ROUND(Source!AF130*Source!I130, 2)+ROUND(Source!AE130*Source!I130, 2))), 2)</f>
        <v>536.38</v>
      </c>
      <c r="V534">
        <f>Source!Y130</f>
        <v>16381.08</v>
      </c>
    </row>
    <row r="535" spans="1:26" ht="14.25" x14ac:dyDescent="0.2">
      <c r="A535" s="53"/>
      <c r="B535" s="53"/>
      <c r="C535" s="53" t="s">
        <v>1132</v>
      </c>
      <c r="D535" s="36"/>
      <c r="E535" s="10"/>
      <c r="F535" s="37">
        <f>Source!AO130</f>
        <v>700.31</v>
      </c>
      <c r="G535" s="38" t="str">
        <f>Source!DG130</f>
        <v>)*1,15)*1,15</v>
      </c>
      <c r="H535" s="37">
        <f>ROUND(Source!AF130*Source!I130, 2)</f>
        <v>994.51</v>
      </c>
      <c r="I535" s="38"/>
      <c r="J535" s="38">
        <f>IF(Source!BA130&lt;&gt; 0, Source!BA130, 1)</f>
        <v>30.54</v>
      </c>
      <c r="K535" s="37">
        <f>Source!S130</f>
        <v>30372.35</v>
      </c>
      <c r="L535" s="39"/>
      <c r="R535">
        <f>H535</f>
        <v>994.51</v>
      </c>
    </row>
    <row r="536" spans="1:26" ht="14.25" x14ac:dyDescent="0.2">
      <c r="A536" s="53"/>
      <c r="B536" s="53"/>
      <c r="C536" s="53" t="s">
        <v>616</v>
      </c>
      <c r="D536" s="36"/>
      <c r="E536" s="10"/>
      <c r="F536" s="37">
        <f>Source!AM130</f>
        <v>114.72</v>
      </c>
      <c r="G536" s="38" t="str">
        <f>Source!DE130</f>
        <v>)*1,25)*1,15</v>
      </c>
      <c r="H536" s="37">
        <f>ROUND((((((Source!ET130*1.25)*1.15))-(((Source!EU130*1.25)*1.15)))+Source!AE130)*Source!I130, 2)</f>
        <v>177.08</v>
      </c>
      <c r="I536" s="38"/>
      <c r="J536" s="38">
        <f>IF(Source!BB130&lt;&gt; 0, Source!BB130, 1)</f>
        <v>12.13</v>
      </c>
      <c r="K536" s="37">
        <f>Source!Q130</f>
        <v>2147.92</v>
      </c>
      <c r="L536" s="39"/>
    </row>
    <row r="537" spans="1:26" ht="14.25" x14ac:dyDescent="0.2">
      <c r="A537" s="53"/>
      <c r="B537" s="53"/>
      <c r="C537" s="53" t="s">
        <v>1138</v>
      </c>
      <c r="D537" s="36"/>
      <c r="E537" s="10"/>
      <c r="F537" s="37">
        <f>Source!AN130</f>
        <v>15.09</v>
      </c>
      <c r="G537" s="38" t="str">
        <f>Source!DF130</f>
        <v>)*1,25)*1,15</v>
      </c>
      <c r="H537" s="47">
        <f>ROUND(Source!AE130*Source!I130, 2)</f>
        <v>23.29</v>
      </c>
      <c r="I537" s="38"/>
      <c r="J537" s="38">
        <f>IF(Source!BS130&lt;&gt; 0, Source!BS130, 1)</f>
        <v>30.54</v>
      </c>
      <c r="K537" s="47">
        <f>Source!R130</f>
        <v>711.3</v>
      </c>
      <c r="L537" s="39"/>
      <c r="R537">
        <f>H537</f>
        <v>23.29</v>
      </c>
    </row>
    <row r="538" spans="1:26" ht="14.25" x14ac:dyDescent="0.2">
      <c r="A538" s="53"/>
      <c r="B538" s="53"/>
      <c r="C538" s="53" t="s">
        <v>1139</v>
      </c>
      <c r="D538" s="36"/>
      <c r="E538" s="10"/>
      <c r="F538" s="37">
        <f>Source!AL130</f>
        <v>36.56</v>
      </c>
      <c r="G538" s="38" t="str">
        <f>Source!DD130</f>
        <v/>
      </c>
      <c r="H538" s="37">
        <f>ROUND(Source!AC130*Source!I130, 2)</f>
        <v>39.26</v>
      </c>
      <c r="I538" s="38"/>
      <c r="J538" s="38">
        <f>IF(Source!BC130&lt;&gt; 0, Source!BC130, 1)</f>
        <v>8.7100000000000009</v>
      </c>
      <c r="K538" s="37">
        <f>Source!P130</f>
        <v>341.94</v>
      </c>
      <c r="L538" s="39"/>
    </row>
    <row r="539" spans="1:26" ht="14.25" x14ac:dyDescent="0.2">
      <c r="A539" s="53"/>
      <c r="B539" s="53"/>
      <c r="C539" s="53" t="s">
        <v>1133</v>
      </c>
      <c r="D539" s="36" t="s">
        <v>1134</v>
      </c>
      <c r="E539" s="10">
        <f>Source!BZ130</f>
        <v>93</v>
      </c>
      <c r="F539" s="55"/>
      <c r="G539" s="38"/>
      <c r="H539" s="37">
        <f>SUM(S534:S541)</f>
        <v>946.55</v>
      </c>
      <c r="I539" s="40"/>
      <c r="J539" s="35">
        <f>Source!AT130</f>
        <v>93</v>
      </c>
      <c r="K539" s="37">
        <f>SUM(T534:T541)</f>
        <v>28907.79</v>
      </c>
      <c r="L539" s="39"/>
    </row>
    <row r="540" spans="1:26" ht="14.25" x14ac:dyDescent="0.2">
      <c r="A540" s="53"/>
      <c r="B540" s="53"/>
      <c r="C540" s="53" t="s">
        <v>1135</v>
      </c>
      <c r="D540" s="36" t="s">
        <v>1134</v>
      </c>
      <c r="E540" s="10">
        <f>Source!CA130</f>
        <v>62</v>
      </c>
      <c r="F540" s="65" t="str">
        <f>CONCATENATE(" )", Source!DM130, Source!FU130, "=", Source!FY130)</f>
        <v xml:space="preserve"> ))*0,85=52,7</v>
      </c>
      <c r="G540" s="66"/>
      <c r="H540" s="37">
        <f>SUM(U534:U541)</f>
        <v>536.38</v>
      </c>
      <c r="I540" s="40"/>
      <c r="J540" s="35">
        <f>Source!AU130</f>
        <v>52.7</v>
      </c>
      <c r="K540" s="37">
        <f>SUM(V534:V541)</f>
        <v>16381.08</v>
      </c>
      <c r="L540" s="39"/>
    </row>
    <row r="541" spans="1:26" ht="14.25" x14ac:dyDescent="0.2">
      <c r="A541" s="54"/>
      <c r="B541" s="54"/>
      <c r="C541" s="54" t="s">
        <v>1136</v>
      </c>
      <c r="D541" s="41" t="s">
        <v>1137</v>
      </c>
      <c r="E541" s="42">
        <f>Source!AQ130</f>
        <v>82.1</v>
      </c>
      <c r="F541" s="43"/>
      <c r="G541" s="44" t="str">
        <f>Source!DI130</f>
        <v>)*1,15)*1,15</v>
      </c>
      <c r="H541" s="43"/>
      <c r="I541" s="44"/>
      <c r="J541" s="44"/>
      <c r="K541" s="43"/>
      <c r="L541" s="45">
        <f>Source!U130</f>
        <v>116.59025104999999</v>
      </c>
    </row>
    <row r="542" spans="1:26" ht="15" x14ac:dyDescent="0.25">
      <c r="G542" s="62">
        <f>H535+H536+H538+H539+H540</f>
        <v>2693.7799999999997</v>
      </c>
      <c r="H542" s="62"/>
      <c r="J542" s="62">
        <f>K535+K536+K538+K539+K540</f>
        <v>78151.08</v>
      </c>
      <c r="K542" s="62"/>
      <c r="L542" s="46">
        <f>Source!U130</f>
        <v>116.59025104999999</v>
      </c>
      <c r="O542" s="30">
        <f>G542</f>
        <v>2693.7799999999997</v>
      </c>
      <c r="P542" s="30">
        <f>J542</f>
        <v>78151.08</v>
      </c>
      <c r="Q542" s="30">
        <f>L542</f>
        <v>116.59025104999999</v>
      </c>
      <c r="W542">
        <f>IF(Source!BI130&lt;=1,H535+H536+H538+H539+H540, 0)</f>
        <v>2693.7799999999997</v>
      </c>
      <c r="X542">
        <f>IF(Source!BI130=2,H535+H536+H538+H539+H540, 0)</f>
        <v>0</v>
      </c>
      <c r="Y542">
        <f>IF(Source!BI130=3,H535+H536+H538+H539+H540, 0)</f>
        <v>0</v>
      </c>
      <c r="Z542">
        <f>IF(Source!BI130=4,H535+H536+H538+H539+H540, 0)</f>
        <v>0</v>
      </c>
    </row>
    <row r="544" spans="1:26" ht="15" x14ac:dyDescent="0.25">
      <c r="B544" s="64" t="str">
        <f>Source!G131</f>
        <v>Выравнивание склона</v>
      </c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1:26" ht="57" x14ac:dyDescent="0.2">
      <c r="A545" s="53">
        <v>89</v>
      </c>
      <c r="B545" s="53" t="str">
        <f>Source!F132</f>
        <v>01-01-013-08</v>
      </c>
      <c r="C545" s="53" t="str">
        <f>Source!G132</f>
        <v>Разработка грунта с погрузкой на автомобили-самосвалы экскаваторами с ковшом вместимостью: 0,65 (0,5-1) м3, группа грунтов 2</v>
      </c>
      <c r="D545" s="36" t="str">
        <f>Source!H132</f>
        <v>1000 м3</v>
      </c>
      <c r="E545" s="10">
        <f>Source!I132</f>
        <v>1.7999999999999999E-2</v>
      </c>
      <c r="F545" s="37">
        <f>Source!AL132+Source!AM132+Source!AO132</f>
        <v>3111.6400000000003</v>
      </c>
      <c r="G545" s="38"/>
      <c r="H545" s="37"/>
      <c r="I545" s="38" t="str">
        <f>Source!BO132</f>
        <v/>
      </c>
      <c r="J545" s="38"/>
      <c r="K545" s="37"/>
      <c r="L545" s="39"/>
      <c r="S545">
        <f>ROUND((Source!FX132/100)*((ROUND(Source!AF132*Source!I132, 2)+ROUND(Source!AE132*Source!I132, 2))), 2)</f>
        <v>10.86</v>
      </c>
      <c r="T545">
        <f>Source!X132</f>
        <v>331.35</v>
      </c>
      <c r="U545">
        <f>ROUND((Source!FY132/100)*((ROUND(Source!AF132*Source!I132, 2)+ROUND(Source!AE132*Source!I132, 2))), 2)</f>
        <v>4.6100000000000003</v>
      </c>
      <c r="V545">
        <f>Source!Y132</f>
        <v>140.82</v>
      </c>
    </row>
    <row r="546" spans="1:26" x14ac:dyDescent="0.2">
      <c r="C546" s="31" t="str">
        <f>"Объем: "&amp;Source!I132&amp;"=18/"&amp;"1000"</f>
        <v>Объем: 0,018=18/1000</v>
      </c>
    </row>
    <row r="547" spans="1:26" ht="14.25" x14ac:dyDescent="0.2">
      <c r="A547" s="53"/>
      <c r="B547" s="53"/>
      <c r="C547" s="53" t="s">
        <v>1132</v>
      </c>
      <c r="D547" s="36"/>
      <c r="E547" s="10"/>
      <c r="F547" s="37">
        <f>Source!AO132</f>
        <v>76.75</v>
      </c>
      <c r="G547" s="38" t="str">
        <f>Source!DG132</f>
        <v>)*1,15)*1,15</v>
      </c>
      <c r="H547" s="37">
        <f>ROUND(Source!AF132*Source!I132, 2)</f>
        <v>1.83</v>
      </c>
      <c r="I547" s="38"/>
      <c r="J547" s="38">
        <f>IF(Source!BA132&lt;&gt; 0, Source!BA132, 1)</f>
        <v>30.54</v>
      </c>
      <c r="K547" s="37">
        <f>Source!S132</f>
        <v>55.8</v>
      </c>
      <c r="L547" s="39"/>
      <c r="R547">
        <f>H547</f>
        <v>1.83</v>
      </c>
    </row>
    <row r="548" spans="1:26" ht="14.25" x14ac:dyDescent="0.2">
      <c r="A548" s="53"/>
      <c r="B548" s="53"/>
      <c r="C548" s="53" t="s">
        <v>616</v>
      </c>
      <c r="D548" s="36"/>
      <c r="E548" s="10"/>
      <c r="F548" s="37">
        <f>Source!AM132</f>
        <v>3030.55</v>
      </c>
      <c r="G548" s="38" t="str">
        <f>Source!DE132</f>
        <v>)*1,15)*1,25</v>
      </c>
      <c r="H548" s="37">
        <f>ROUND((((((Source!ET132*1.15)*1.25))-(((Source!EU132*1.15)*1.25)))+Source!AE132)*Source!I132, 2)</f>
        <v>78.42</v>
      </c>
      <c r="I548" s="38"/>
      <c r="J548" s="38">
        <f>IF(Source!BB132&lt;&gt; 0, Source!BB132, 1)</f>
        <v>12.13</v>
      </c>
      <c r="K548" s="37">
        <f>Source!Q132</f>
        <v>951.18</v>
      </c>
      <c r="L548" s="39"/>
    </row>
    <row r="549" spans="1:26" ht="14.25" x14ac:dyDescent="0.2">
      <c r="A549" s="53"/>
      <c r="B549" s="53"/>
      <c r="C549" s="53" t="s">
        <v>1138</v>
      </c>
      <c r="D549" s="36"/>
      <c r="E549" s="10"/>
      <c r="F549" s="37">
        <f>Source!AN132</f>
        <v>385.16</v>
      </c>
      <c r="G549" s="38" t="str">
        <f>Source!DF132</f>
        <v>)*1,15)*1,25</v>
      </c>
      <c r="H549" s="47">
        <f>ROUND(Source!AE132*Source!I132, 2)</f>
        <v>9.9700000000000006</v>
      </c>
      <c r="I549" s="38"/>
      <c r="J549" s="38">
        <f>IF(Source!BS132&lt;&gt; 0, Source!BS132, 1)</f>
        <v>30.54</v>
      </c>
      <c r="K549" s="47">
        <f>Source!R132</f>
        <v>304.36</v>
      </c>
      <c r="L549" s="39"/>
      <c r="R549">
        <f>H549</f>
        <v>9.9700000000000006</v>
      </c>
    </row>
    <row r="550" spans="1:26" ht="14.25" x14ac:dyDescent="0.2">
      <c r="A550" s="53"/>
      <c r="B550" s="53"/>
      <c r="C550" s="53" t="s">
        <v>1139</v>
      </c>
      <c r="D550" s="36"/>
      <c r="E550" s="10"/>
      <c r="F550" s="37">
        <f>Source!AL132</f>
        <v>4.34</v>
      </c>
      <c r="G550" s="38" t="str">
        <f>Source!DD132</f>
        <v/>
      </c>
      <c r="H550" s="37">
        <f>ROUND(Source!AC132*Source!I132, 2)</f>
        <v>0.08</v>
      </c>
      <c r="I550" s="38"/>
      <c r="J550" s="38">
        <f>IF(Source!BC132&lt;&gt; 0, Source!BC132, 1)</f>
        <v>8.7100000000000009</v>
      </c>
      <c r="K550" s="37">
        <f>Source!P132</f>
        <v>0.68</v>
      </c>
      <c r="L550" s="39"/>
    </row>
    <row r="551" spans="1:26" ht="14.25" x14ac:dyDescent="0.2">
      <c r="A551" s="53"/>
      <c r="B551" s="53"/>
      <c r="C551" s="53" t="s">
        <v>1133</v>
      </c>
      <c r="D551" s="36" t="s">
        <v>1134</v>
      </c>
      <c r="E551" s="10">
        <f>Source!BZ132</f>
        <v>92</v>
      </c>
      <c r="F551" s="55"/>
      <c r="G551" s="38"/>
      <c r="H551" s="37">
        <f>SUM(S545:S553)</f>
        <v>10.86</v>
      </c>
      <c r="I551" s="40"/>
      <c r="J551" s="35">
        <f>Source!AT132</f>
        <v>92</v>
      </c>
      <c r="K551" s="37">
        <f>SUM(T545:T553)</f>
        <v>331.35</v>
      </c>
      <c r="L551" s="39"/>
    </row>
    <row r="552" spans="1:26" ht="14.25" x14ac:dyDescent="0.2">
      <c r="A552" s="53"/>
      <c r="B552" s="53"/>
      <c r="C552" s="53" t="s">
        <v>1135</v>
      </c>
      <c r="D552" s="36" t="s">
        <v>1134</v>
      </c>
      <c r="E552" s="10">
        <f>Source!CA132</f>
        <v>46</v>
      </c>
      <c r="F552" s="65" t="str">
        <f>CONCATENATE(" )", Source!DM132, Source!FU132, "=", Source!FY132)</f>
        <v xml:space="preserve"> ))*0,85=39,1</v>
      </c>
      <c r="G552" s="66"/>
      <c r="H552" s="37">
        <f>SUM(U545:U553)</f>
        <v>4.6100000000000003</v>
      </c>
      <c r="I552" s="40"/>
      <c r="J552" s="35">
        <f>Source!AU132</f>
        <v>39.1</v>
      </c>
      <c r="K552" s="37">
        <f>SUM(V545:V553)</f>
        <v>140.82</v>
      </c>
      <c r="L552" s="39"/>
    </row>
    <row r="553" spans="1:26" ht="14.25" x14ac:dyDescent="0.2">
      <c r="A553" s="54"/>
      <c r="B553" s="54"/>
      <c r="C553" s="54" t="s">
        <v>1136</v>
      </c>
      <c r="D553" s="41" t="s">
        <v>1137</v>
      </c>
      <c r="E553" s="42">
        <f>Source!AQ132</f>
        <v>9.84</v>
      </c>
      <c r="F553" s="43"/>
      <c r="G553" s="44" t="str">
        <f>Source!DI132</f>
        <v>)*1,15)*1,15</v>
      </c>
      <c r="H553" s="43"/>
      <c r="I553" s="44"/>
      <c r="J553" s="44"/>
      <c r="K553" s="43"/>
      <c r="L553" s="45">
        <f>Source!U132</f>
        <v>0.23424119999999993</v>
      </c>
    </row>
    <row r="554" spans="1:26" ht="15" x14ac:dyDescent="0.25">
      <c r="G554" s="62">
        <f>H547+H548+H550+H551+H552</f>
        <v>95.8</v>
      </c>
      <c r="H554" s="62"/>
      <c r="J554" s="62">
        <f>K547+K548+K550+K551+K552</f>
        <v>1479.8299999999997</v>
      </c>
      <c r="K554" s="62"/>
      <c r="L554" s="46">
        <f>Source!U132</f>
        <v>0.23424119999999993</v>
      </c>
      <c r="O554" s="30">
        <f>G554</f>
        <v>95.8</v>
      </c>
      <c r="P554" s="30">
        <f>J554</f>
        <v>1479.8299999999997</v>
      </c>
      <c r="Q554" s="30">
        <f>L554</f>
        <v>0.23424119999999993</v>
      </c>
      <c r="W554">
        <f>IF(Source!BI132&lt;=1,H547+H548+H550+H551+H552, 0)</f>
        <v>95.8</v>
      </c>
      <c r="X554">
        <f>IF(Source!BI132=2,H547+H548+H550+H551+H552, 0)</f>
        <v>0</v>
      </c>
      <c r="Y554">
        <f>IF(Source!BI132=3,H547+H548+H550+H551+H552, 0)</f>
        <v>0</v>
      </c>
      <c r="Z554">
        <f>IF(Source!BI132=4,H547+H548+H550+H551+H552, 0)</f>
        <v>0</v>
      </c>
    </row>
    <row r="555" spans="1:26" ht="57" x14ac:dyDescent="0.2">
      <c r="A555" s="54">
        <v>90</v>
      </c>
      <c r="B555" s="54" t="str">
        <f>Source!F133</f>
        <v>т03-21-01-002</v>
      </c>
      <c r="C555" s="54" t="str">
        <f>Source!G133</f>
        <v>Перевозка грузов I класса автомобилями-самосвалами грузоподъемностью 10 т работающих вне карьера на расстояние до 2 км</v>
      </c>
      <c r="D555" s="41" t="str">
        <f>Source!H133</f>
        <v>1 т груза</v>
      </c>
      <c r="E555" s="42">
        <f>Source!I133</f>
        <v>31.5</v>
      </c>
      <c r="F555" s="43">
        <f>Source!AK133</f>
        <v>3.86</v>
      </c>
      <c r="G555" s="44" t="str">
        <f>Source!DC133</f>
        <v/>
      </c>
      <c r="H555" s="43">
        <f>ROUND(Source!AB133*Source!I133, 2)</f>
        <v>121.59</v>
      </c>
      <c r="I555" s="44" t="str">
        <f>Source!BO133</f>
        <v/>
      </c>
      <c r="J555" s="44">
        <f>Source!AZ133</f>
        <v>12.02</v>
      </c>
      <c r="K555" s="43">
        <f>Source!GM133</f>
        <v>1461.51</v>
      </c>
      <c r="L555" s="50"/>
      <c r="S555">
        <f>ROUND((Source!FX133/100)*((ROUND(0*Source!I133, 2)+ROUND(0*Source!I133, 2))), 2)</f>
        <v>0</v>
      </c>
      <c r="T555">
        <f>Source!X133</f>
        <v>0</v>
      </c>
      <c r="U555">
        <f>ROUND((Source!FY133/100)*((ROUND(0*Source!I133, 2)+ROUND(0*Source!I133, 2))), 2)</f>
        <v>0</v>
      </c>
      <c r="V555">
        <f>Source!Y133</f>
        <v>0</v>
      </c>
    </row>
    <row r="556" spans="1:26" ht="15" x14ac:dyDescent="0.25">
      <c r="G556" s="62">
        <f>H555</f>
        <v>121.59</v>
      </c>
      <c r="H556" s="62"/>
      <c r="J556" s="62">
        <f>K555</f>
        <v>1461.51</v>
      </c>
      <c r="K556" s="62"/>
      <c r="L556" s="46">
        <f>Source!U133</f>
        <v>0</v>
      </c>
      <c r="O556" s="30">
        <f>G556</f>
        <v>121.59</v>
      </c>
      <c r="P556" s="30">
        <f>J556</f>
        <v>1461.51</v>
      </c>
      <c r="Q556" s="30">
        <f>L556</f>
        <v>0</v>
      </c>
      <c r="W556">
        <f>IF(Source!BI133&lt;=1,H555, 0)</f>
        <v>121.59</v>
      </c>
      <c r="X556">
        <f>IF(Source!BI133=2,H555, 0)</f>
        <v>0</v>
      </c>
      <c r="Y556">
        <f>IF(Source!BI133=3,H555, 0)</f>
        <v>0</v>
      </c>
      <c r="Z556">
        <f>IF(Source!BI133=4,H555, 0)</f>
        <v>0</v>
      </c>
    </row>
    <row r="557" spans="1:26" ht="28.5" x14ac:dyDescent="0.2">
      <c r="A557" s="53">
        <v>91</v>
      </c>
      <c r="B557" s="53" t="str">
        <f>Source!F134</f>
        <v>01-01-016-02</v>
      </c>
      <c r="C557" s="53" t="str">
        <f>Source!G134</f>
        <v>Работа на отвале, группа грунтов: 2-3</v>
      </c>
      <c r="D557" s="36" t="str">
        <f>Source!H134</f>
        <v>1000 м3</v>
      </c>
      <c r="E557" s="10">
        <f>Source!I134</f>
        <v>1.7999999999999999E-2</v>
      </c>
      <c r="F557" s="37">
        <f>Source!AL134+Source!AM134+Source!AO134</f>
        <v>322.83999999999997</v>
      </c>
      <c r="G557" s="38"/>
      <c r="H557" s="37"/>
      <c r="I557" s="38" t="str">
        <f>Source!BO134</f>
        <v/>
      </c>
      <c r="J557" s="38"/>
      <c r="K557" s="37"/>
      <c r="L557" s="39"/>
      <c r="S557">
        <f>ROUND((Source!FX134/100)*((ROUND(Source!AF134*Source!I134, 2)+ROUND(Source!AE134*Source!I134, 2))), 2)</f>
        <v>1.25</v>
      </c>
      <c r="T557">
        <f>Source!X134</f>
        <v>38.22</v>
      </c>
      <c r="U557">
        <f>ROUND((Source!FY134/100)*((ROUND(Source!AF134*Source!I134, 2)+ROUND(Source!AE134*Source!I134, 2))), 2)</f>
        <v>0.63</v>
      </c>
      <c r="V557">
        <f>Source!Y134</f>
        <v>19.11</v>
      </c>
    </row>
    <row r="558" spans="1:26" x14ac:dyDescent="0.2">
      <c r="C558" s="31" t="str">
        <f>"Объем: "&amp;Source!I134&amp;"=18/"&amp;"1000"</f>
        <v>Объем: 0,018=18/1000</v>
      </c>
    </row>
    <row r="559" spans="1:26" ht="14.25" x14ac:dyDescent="0.2">
      <c r="A559" s="53"/>
      <c r="B559" s="53"/>
      <c r="C559" s="53" t="s">
        <v>1132</v>
      </c>
      <c r="D559" s="36"/>
      <c r="E559" s="10"/>
      <c r="F559" s="37">
        <f>Source!AO134</f>
        <v>25.9</v>
      </c>
      <c r="G559" s="38" t="str">
        <f>Source!DG134</f>
        <v/>
      </c>
      <c r="H559" s="37">
        <f>ROUND(Source!AF134*Source!I134, 2)</f>
        <v>0.47</v>
      </c>
      <c r="I559" s="38"/>
      <c r="J559" s="38">
        <f>IF(Source!BA134&lt;&gt; 0, Source!BA134, 1)</f>
        <v>30.54</v>
      </c>
      <c r="K559" s="37">
        <f>Source!S134</f>
        <v>14.24</v>
      </c>
      <c r="L559" s="39"/>
      <c r="R559">
        <f>H559</f>
        <v>0.47</v>
      </c>
    </row>
    <row r="560" spans="1:26" ht="14.25" x14ac:dyDescent="0.2">
      <c r="A560" s="53"/>
      <c r="B560" s="53"/>
      <c r="C560" s="53" t="s">
        <v>616</v>
      </c>
      <c r="D560" s="36"/>
      <c r="E560" s="10"/>
      <c r="F560" s="37">
        <f>Source!AM134</f>
        <v>292.60000000000002</v>
      </c>
      <c r="G560" s="38" t="str">
        <f>Source!DE134</f>
        <v/>
      </c>
      <c r="H560" s="37">
        <f>ROUND((((Source!ET134)-(Source!EU134))+Source!AE134)*Source!I134, 2)</f>
        <v>5.27</v>
      </c>
      <c r="I560" s="38"/>
      <c r="J560" s="38">
        <f>IF(Source!BB134&lt;&gt; 0, Source!BB134, 1)</f>
        <v>12.13</v>
      </c>
      <c r="K560" s="37">
        <f>Source!Q134</f>
        <v>63.89</v>
      </c>
      <c r="L560" s="39"/>
    </row>
    <row r="561" spans="1:26" ht="14.25" x14ac:dyDescent="0.2">
      <c r="A561" s="53"/>
      <c r="B561" s="53"/>
      <c r="C561" s="53" t="s">
        <v>1138</v>
      </c>
      <c r="D561" s="36"/>
      <c r="E561" s="10"/>
      <c r="F561" s="37">
        <f>Source!AN134</f>
        <v>49.67</v>
      </c>
      <c r="G561" s="38" t="str">
        <f>Source!DF134</f>
        <v/>
      </c>
      <c r="H561" s="47">
        <f>ROUND(Source!AE134*Source!I134, 2)</f>
        <v>0.89</v>
      </c>
      <c r="I561" s="38"/>
      <c r="J561" s="38">
        <f>IF(Source!BS134&lt;&gt; 0, Source!BS134, 1)</f>
        <v>30.54</v>
      </c>
      <c r="K561" s="47">
        <f>Source!R134</f>
        <v>27.3</v>
      </c>
      <c r="L561" s="39"/>
      <c r="R561">
        <f>H561</f>
        <v>0.89</v>
      </c>
    </row>
    <row r="562" spans="1:26" ht="14.25" x14ac:dyDescent="0.2">
      <c r="A562" s="53"/>
      <c r="B562" s="53"/>
      <c r="C562" s="53" t="s">
        <v>1139</v>
      </c>
      <c r="D562" s="36"/>
      <c r="E562" s="10"/>
      <c r="F562" s="37">
        <f>Source!AL134</f>
        <v>4.34</v>
      </c>
      <c r="G562" s="38" t="str">
        <f>Source!DD134</f>
        <v/>
      </c>
      <c r="H562" s="37">
        <f>ROUND(Source!AC134*Source!I134, 2)</f>
        <v>0.08</v>
      </c>
      <c r="I562" s="38"/>
      <c r="J562" s="38">
        <f>IF(Source!BC134&lt;&gt; 0, Source!BC134, 1)</f>
        <v>8.7100000000000009</v>
      </c>
      <c r="K562" s="37">
        <f>Source!P134</f>
        <v>0.68</v>
      </c>
      <c r="L562" s="39"/>
    </row>
    <row r="563" spans="1:26" ht="14.25" x14ac:dyDescent="0.2">
      <c r="A563" s="53"/>
      <c r="B563" s="53"/>
      <c r="C563" s="53" t="s">
        <v>1133</v>
      </c>
      <c r="D563" s="36" t="s">
        <v>1134</v>
      </c>
      <c r="E563" s="10">
        <f>Source!BZ134</f>
        <v>92</v>
      </c>
      <c r="F563" s="55"/>
      <c r="G563" s="38"/>
      <c r="H563" s="37">
        <f>SUM(S557:S565)</f>
        <v>1.25</v>
      </c>
      <c r="I563" s="40"/>
      <c r="J563" s="35">
        <f>Source!AT134</f>
        <v>92</v>
      </c>
      <c r="K563" s="37">
        <f>SUM(T557:T565)</f>
        <v>38.22</v>
      </c>
      <c r="L563" s="39"/>
    </row>
    <row r="564" spans="1:26" ht="14.25" x14ac:dyDescent="0.2">
      <c r="A564" s="53"/>
      <c r="B564" s="53"/>
      <c r="C564" s="53" t="s">
        <v>1135</v>
      </c>
      <c r="D564" s="36" t="s">
        <v>1134</v>
      </c>
      <c r="E564" s="10">
        <f>Source!CA134</f>
        <v>46</v>
      </c>
      <c r="F564" s="55"/>
      <c r="G564" s="38"/>
      <c r="H564" s="37">
        <f>SUM(U557:U565)</f>
        <v>0.63</v>
      </c>
      <c r="I564" s="40"/>
      <c r="J564" s="35">
        <f>Source!AU134</f>
        <v>46</v>
      </c>
      <c r="K564" s="37">
        <f>SUM(V557:V565)</f>
        <v>19.11</v>
      </c>
      <c r="L564" s="39"/>
    </row>
    <row r="565" spans="1:26" ht="14.25" x14ac:dyDescent="0.2">
      <c r="A565" s="54"/>
      <c r="B565" s="54"/>
      <c r="C565" s="54" t="s">
        <v>1136</v>
      </c>
      <c r="D565" s="41" t="s">
        <v>1137</v>
      </c>
      <c r="E565" s="42">
        <f>Source!AQ134</f>
        <v>3.32</v>
      </c>
      <c r="F565" s="43"/>
      <c r="G565" s="44" t="str">
        <f>Source!DI134</f>
        <v/>
      </c>
      <c r="H565" s="43"/>
      <c r="I565" s="44"/>
      <c r="J565" s="44"/>
      <c r="K565" s="43"/>
      <c r="L565" s="45">
        <f>Source!U134</f>
        <v>5.9759999999999994E-2</v>
      </c>
    </row>
    <row r="566" spans="1:26" ht="15" x14ac:dyDescent="0.25">
      <c r="G566" s="62">
        <f>H559+H560+H562+H563+H564</f>
        <v>7.6999999999999993</v>
      </c>
      <c r="H566" s="62"/>
      <c r="J566" s="62">
        <f>K559+K560+K562+K563+K564</f>
        <v>136.13999999999999</v>
      </c>
      <c r="K566" s="62"/>
      <c r="L566" s="46">
        <f>Source!U134</f>
        <v>5.9759999999999994E-2</v>
      </c>
      <c r="O566" s="30">
        <f>G566</f>
        <v>7.6999999999999993</v>
      </c>
      <c r="P566" s="30">
        <f>J566</f>
        <v>136.13999999999999</v>
      </c>
      <c r="Q566" s="30">
        <f>L566</f>
        <v>5.9759999999999994E-2</v>
      </c>
      <c r="W566">
        <f>IF(Source!BI134&lt;=1,H559+H560+H562+H563+H564, 0)</f>
        <v>7.6999999999999993</v>
      </c>
      <c r="X566">
        <f>IF(Source!BI134=2,H559+H560+H562+H563+H564, 0)</f>
        <v>0</v>
      </c>
      <c r="Y566">
        <f>IF(Source!BI134=3,H559+H560+H562+H563+H564, 0)</f>
        <v>0</v>
      </c>
      <c r="Z566">
        <f>IF(Source!BI134=4,H559+H560+H562+H563+H564, 0)</f>
        <v>0</v>
      </c>
    </row>
    <row r="568" spans="1:26" ht="15" x14ac:dyDescent="0.25">
      <c r="B568" s="64" t="str">
        <f>Source!G135</f>
        <v>Устройство отмостки</v>
      </c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1:26" ht="57" x14ac:dyDescent="0.2">
      <c r="A569" s="53">
        <v>92</v>
      </c>
      <c r="B569" s="53" t="str">
        <f>Source!F136</f>
        <v>01-01-013-08</v>
      </c>
      <c r="C569" s="53" t="str">
        <f>Source!G136</f>
        <v>Разработка грунта с погрузкой на автомобили-самосвалы экскаваторами с ковшом вместимостью: 0,65 (0,5-1) м3, группа грунтов 2</v>
      </c>
      <c r="D569" s="36" t="str">
        <f>Source!H136</f>
        <v>1000 м3</v>
      </c>
      <c r="E569" s="10">
        <f>Source!I136</f>
        <v>4.147E-2</v>
      </c>
      <c r="F569" s="37">
        <f>Source!AL136+Source!AM136+Source!AO136</f>
        <v>3111.6400000000003</v>
      </c>
      <c r="G569" s="38"/>
      <c r="H569" s="37"/>
      <c r="I569" s="38" t="str">
        <f>Source!BO136</f>
        <v/>
      </c>
      <c r="J569" s="38"/>
      <c r="K569" s="37"/>
      <c r="L569" s="39"/>
      <c r="S569">
        <f>ROUND((Source!FX136/100)*((ROUND(Source!AF136*Source!I136, 2)+ROUND(Source!AE136*Source!I136, 2))), 2)</f>
        <v>25</v>
      </c>
      <c r="T569">
        <f>Source!X136</f>
        <v>763.39</v>
      </c>
      <c r="U569">
        <f>ROUND((Source!FY136/100)*((ROUND(Source!AF136*Source!I136, 2)+ROUND(Source!AE136*Source!I136, 2))), 2)</f>
        <v>10.62</v>
      </c>
      <c r="V569">
        <f>Source!Y136</f>
        <v>324.44</v>
      </c>
    </row>
    <row r="570" spans="1:26" ht="14.25" x14ac:dyDescent="0.2">
      <c r="A570" s="53"/>
      <c r="B570" s="53"/>
      <c r="C570" s="53" t="s">
        <v>1132</v>
      </c>
      <c r="D570" s="36"/>
      <c r="E570" s="10"/>
      <c r="F570" s="37">
        <f>Source!AO136</f>
        <v>76.75</v>
      </c>
      <c r="G570" s="38" t="str">
        <f>Source!DG136</f>
        <v>)*1,15)*1,15</v>
      </c>
      <c r="H570" s="37">
        <f>ROUND(Source!AF136*Source!I136, 2)</f>
        <v>4.21</v>
      </c>
      <c r="I570" s="38"/>
      <c r="J570" s="38">
        <f>IF(Source!BA136&lt;&gt; 0, Source!BA136, 1)</f>
        <v>30.54</v>
      </c>
      <c r="K570" s="37">
        <f>Source!S136</f>
        <v>128.55000000000001</v>
      </c>
      <c r="L570" s="39"/>
      <c r="R570">
        <f>H570</f>
        <v>4.21</v>
      </c>
    </row>
    <row r="571" spans="1:26" ht="14.25" x14ac:dyDescent="0.2">
      <c r="A571" s="53"/>
      <c r="B571" s="53"/>
      <c r="C571" s="53" t="s">
        <v>616</v>
      </c>
      <c r="D571" s="36"/>
      <c r="E571" s="10"/>
      <c r="F571" s="37">
        <f>Source!AM136</f>
        <v>3030.55</v>
      </c>
      <c r="G571" s="38" t="str">
        <f>Source!DE136</f>
        <v>)*1,15)*1,25</v>
      </c>
      <c r="H571" s="37">
        <f>ROUND((((((Source!ET136*1.15)*1.25))-(((Source!EU136*1.15)*1.25)))+Source!AE136)*Source!I136, 2)</f>
        <v>180.66</v>
      </c>
      <c r="I571" s="38"/>
      <c r="J571" s="38">
        <f>IF(Source!BB136&lt;&gt; 0, Source!BB136, 1)</f>
        <v>12.13</v>
      </c>
      <c r="K571" s="37">
        <f>Source!Q136</f>
        <v>2191.42</v>
      </c>
      <c r="L571" s="39"/>
    </row>
    <row r="572" spans="1:26" ht="14.25" x14ac:dyDescent="0.2">
      <c r="A572" s="53"/>
      <c r="B572" s="53"/>
      <c r="C572" s="53" t="s">
        <v>1138</v>
      </c>
      <c r="D572" s="36"/>
      <c r="E572" s="10"/>
      <c r="F572" s="37">
        <f>Source!AN136</f>
        <v>385.16</v>
      </c>
      <c r="G572" s="38" t="str">
        <f>Source!DF136</f>
        <v>)*1,15)*1,25</v>
      </c>
      <c r="H572" s="47">
        <f>ROUND(Source!AE136*Source!I136, 2)</f>
        <v>22.96</v>
      </c>
      <c r="I572" s="38"/>
      <c r="J572" s="38">
        <f>IF(Source!BS136&lt;&gt; 0, Source!BS136, 1)</f>
        <v>30.54</v>
      </c>
      <c r="K572" s="47">
        <f>Source!R136</f>
        <v>701.22</v>
      </c>
      <c r="L572" s="39"/>
      <c r="R572">
        <f>H572</f>
        <v>22.96</v>
      </c>
    </row>
    <row r="573" spans="1:26" ht="14.25" x14ac:dyDescent="0.2">
      <c r="A573" s="53"/>
      <c r="B573" s="53"/>
      <c r="C573" s="53" t="s">
        <v>1139</v>
      </c>
      <c r="D573" s="36"/>
      <c r="E573" s="10"/>
      <c r="F573" s="37">
        <f>Source!AL136</f>
        <v>4.34</v>
      </c>
      <c r="G573" s="38" t="str">
        <f>Source!DD136</f>
        <v/>
      </c>
      <c r="H573" s="37">
        <f>ROUND(Source!AC136*Source!I136, 2)</f>
        <v>0.18</v>
      </c>
      <c r="I573" s="38"/>
      <c r="J573" s="38">
        <f>IF(Source!BC136&lt;&gt; 0, Source!BC136, 1)</f>
        <v>8.7100000000000009</v>
      </c>
      <c r="K573" s="37">
        <f>Source!P136</f>
        <v>1.57</v>
      </c>
      <c r="L573" s="39"/>
    </row>
    <row r="574" spans="1:26" ht="14.25" x14ac:dyDescent="0.2">
      <c r="A574" s="53"/>
      <c r="B574" s="53"/>
      <c r="C574" s="53" t="s">
        <v>1133</v>
      </c>
      <c r="D574" s="36" t="s">
        <v>1134</v>
      </c>
      <c r="E574" s="10">
        <f>Source!BZ136</f>
        <v>92</v>
      </c>
      <c r="F574" s="55"/>
      <c r="G574" s="38"/>
      <c r="H574" s="37">
        <f>SUM(S569:S576)</f>
        <v>25</v>
      </c>
      <c r="I574" s="40"/>
      <c r="J574" s="35">
        <f>Source!AT136</f>
        <v>92</v>
      </c>
      <c r="K574" s="37">
        <f>SUM(T569:T576)</f>
        <v>763.39</v>
      </c>
      <c r="L574" s="39"/>
    </row>
    <row r="575" spans="1:26" ht="14.25" x14ac:dyDescent="0.2">
      <c r="A575" s="53"/>
      <c r="B575" s="53"/>
      <c r="C575" s="53" t="s">
        <v>1135</v>
      </c>
      <c r="D575" s="36" t="s">
        <v>1134</v>
      </c>
      <c r="E575" s="10">
        <f>Source!CA136</f>
        <v>46</v>
      </c>
      <c r="F575" s="65" t="str">
        <f>CONCATENATE(" )", Source!DM136, Source!FU136, "=", Source!FY136)</f>
        <v xml:space="preserve"> ))*0,85=39,1</v>
      </c>
      <c r="G575" s="66"/>
      <c r="H575" s="37">
        <f>SUM(U569:U576)</f>
        <v>10.62</v>
      </c>
      <c r="I575" s="40"/>
      <c r="J575" s="35">
        <f>Source!AU136</f>
        <v>39.1</v>
      </c>
      <c r="K575" s="37">
        <f>SUM(V569:V576)</f>
        <v>324.44</v>
      </c>
      <c r="L575" s="39"/>
    </row>
    <row r="576" spans="1:26" ht="14.25" x14ac:dyDescent="0.2">
      <c r="A576" s="54"/>
      <c r="B576" s="54"/>
      <c r="C576" s="54" t="s">
        <v>1136</v>
      </c>
      <c r="D576" s="41" t="s">
        <v>1137</v>
      </c>
      <c r="E576" s="42">
        <f>Source!AQ136</f>
        <v>9.84</v>
      </c>
      <c r="F576" s="43"/>
      <c r="G576" s="44" t="str">
        <f>Source!DI136</f>
        <v>)*1,15)*1,15</v>
      </c>
      <c r="H576" s="43"/>
      <c r="I576" s="44"/>
      <c r="J576" s="44"/>
      <c r="K576" s="43"/>
      <c r="L576" s="45">
        <f>Source!U136</f>
        <v>0.53966569799999986</v>
      </c>
    </row>
    <row r="577" spans="1:26" ht="15" x14ac:dyDescent="0.25">
      <c r="G577" s="62">
        <f>H570+H571+H573+H574+H575</f>
        <v>220.67000000000002</v>
      </c>
      <c r="H577" s="62"/>
      <c r="J577" s="62">
        <f>K570+K571+K573+K574+K575</f>
        <v>3409.3700000000003</v>
      </c>
      <c r="K577" s="62"/>
      <c r="L577" s="46">
        <f>Source!U136</f>
        <v>0.53966569799999986</v>
      </c>
      <c r="O577" s="30">
        <f>G577</f>
        <v>220.67000000000002</v>
      </c>
      <c r="P577" s="30">
        <f>J577</f>
        <v>3409.3700000000003</v>
      </c>
      <c r="Q577" s="30">
        <f>L577</f>
        <v>0.53966569799999986</v>
      </c>
      <c r="W577">
        <f>IF(Source!BI136&lt;=1,H570+H571+H573+H574+H575, 0)</f>
        <v>220.67000000000002</v>
      </c>
      <c r="X577">
        <f>IF(Source!BI136=2,H570+H571+H573+H574+H575, 0)</f>
        <v>0</v>
      </c>
      <c r="Y577">
        <f>IF(Source!BI136=3,H570+H571+H573+H574+H575, 0)</f>
        <v>0</v>
      </c>
      <c r="Z577">
        <f>IF(Source!BI136=4,H570+H571+H573+H574+H575, 0)</f>
        <v>0</v>
      </c>
    </row>
    <row r="578" spans="1:26" ht="42.75" x14ac:dyDescent="0.2">
      <c r="A578" s="53">
        <v>93</v>
      </c>
      <c r="B578" s="53" t="str">
        <f>Source!F137</f>
        <v>01-02-057-02</v>
      </c>
      <c r="C578" s="53" t="str">
        <f>Source!G137</f>
        <v>Разработка грунта вручную в траншеях глубиной до 2 м без креплений с откосами, группа грунтов: 2</v>
      </c>
      <c r="D578" s="36" t="str">
        <f>Source!H137</f>
        <v>100 м3</v>
      </c>
      <c r="E578" s="10">
        <f>Source!I137</f>
        <v>4.6100000000000002E-2</v>
      </c>
      <c r="F578" s="37">
        <f>Source!AL137+Source!AM137+Source!AO137</f>
        <v>1201.2</v>
      </c>
      <c r="G578" s="38"/>
      <c r="H578" s="37"/>
      <c r="I578" s="38" t="str">
        <f>Source!BO137</f>
        <v/>
      </c>
      <c r="J578" s="38"/>
      <c r="K578" s="37"/>
      <c r="L578" s="39"/>
      <c r="S578">
        <f>ROUND((Source!FX137/100)*((ROUND(Source!AF137*Source!I137, 2)+ROUND(Source!AE137*Source!I137, 2))), 2)</f>
        <v>78.209999999999994</v>
      </c>
      <c r="T578">
        <f>Source!X137</f>
        <v>2388.64</v>
      </c>
      <c r="U578">
        <f>ROUND((Source!FY137/100)*((ROUND(Source!AF137*Source!I137, 2)+ROUND(Source!AE137*Source!I137, 2))), 2)</f>
        <v>29.88</v>
      </c>
      <c r="V578">
        <f>Source!Y137</f>
        <v>912.52</v>
      </c>
    </row>
    <row r="579" spans="1:26" ht="28.5" x14ac:dyDescent="0.2">
      <c r="A579" s="53"/>
      <c r="B579" s="53"/>
      <c r="C579" s="53" t="s">
        <v>1132</v>
      </c>
      <c r="D579" s="36"/>
      <c r="E579" s="10"/>
      <c r="F579" s="37">
        <f>Source!AO137</f>
        <v>1201.2</v>
      </c>
      <c r="G579" s="38" t="str">
        <f>Source!DG137</f>
        <v>)*1,15)*1,15)*1,2</v>
      </c>
      <c r="H579" s="37">
        <f>ROUND(Source!AF137*Source!I137, 2)</f>
        <v>87.88</v>
      </c>
      <c r="I579" s="38"/>
      <c r="J579" s="38">
        <f>IF(Source!BA137&lt;&gt; 0, Source!BA137, 1)</f>
        <v>30.54</v>
      </c>
      <c r="K579" s="37">
        <f>Source!S137</f>
        <v>2683.87</v>
      </c>
      <c r="L579" s="39"/>
      <c r="R579">
        <f>H579</f>
        <v>87.88</v>
      </c>
    </row>
    <row r="580" spans="1:26" ht="14.25" x14ac:dyDescent="0.2">
      <c r="A580" s="53"/>
      <c r="B580" s="53"/>
      <c r="C580" s="53" t="s">
        <v>1133</v>
      </c>
      <c r="D580" s="36" t="s">
        <v>1134</v>
      </c>
      <c r="E580" s="10">
        <f>Source!BZ137</f>
        <v>89</v>
      </c>
      <c r="F580" s="55"/>
      <c r="G580" s="38"/>
      <c r="H580" s="37">
        <f>SUM(S578:S582)</f>
        <v>78.209999999999994</v>
      </c>
      <c r="I580" s="40"/>
      <c r="J580" s="35">
        <f>Source!AT137</f>
        <v>89</v>
      </c>
      <c r="K580" s="37">
        <f>SUM(T578:T582)</f>
        <v>2388.64</v>
      </c>
      <c r="L580" s="39"/>
    </row>
    <row r="581" spans="1:26" ht="14.25" x14ac:dyDescent="0.2">
      <c r="A581" s="53"/>
      <c r="B581" s="53"/>
      <c r="C581" s="53" t="s">
        <v>1135</v>
      </c>
      <c r="D581" s="36" t="s">
        <v>1134</v>
      </c>
      <c r="E581" s="10">
        <f>Source!CA137</f>
        <v>40</v>
      </c>
      <c r="F581" s="65" t="str">
        <f>CONCATENATE(" )", Source!DM137, Source!FU137, "=", Source!FY137)</f>
        <v xml:space="preserve"> ))*0,85=34</v>
      </c>
      <c r="G581" s="66"/>
      <c r="H581" s="37">
        <f>SUM(U578:U582)</f>
        <v>29.88</v>
      </c>
      <c r="I581" s="40"/>
      <c r="J581" s="35">
        <f>Source!AU137</f>
        <v>34</v>
      </c>
      <c r="K581" s="37">
        <f>SUM(V578:V582)</f>
        <v>912.52</v>
      </c>
      <c r="L581" s="39"/>
    </row>
    <row r="582" spans="1:26" ht="28.5" x14ac:dyDescent="0.2">
      <c r="A582" s="54"/>
      <c r="B582" s="54"/>
      <c r="C582" s="54" t="s">
        <v>1136</v>
      </c>
      <c r="D582" s="41" t="s">
        <v>1137</v>
      </c>
      <c r="E582" s="42">
        <f>Source!AQ137</f>
        <v>154</v>
      </c>
      <c r="F582" s="43"/>
      <c r="G582" s="44" t="str">
        <f>Source!DI137</f>
        <v>)*1,15)*1,15)*1,2</v>
      </c>
      <c r="H582" s="43"/>
      <c r="I582" s="44"/>
      <c r="J582" s="44"/>
      <c r="K582" s="43"/>
      <c r="L582" s="45">
        <f>Source!U137</f>
        <v>11.266747799999997</v>
      </c>
    </row>
    <row r="583" spans="1:26" ht="15" x14ac:dyDescent="0.25">
      <c r="G583" s="62">
        <f>H579+H580+H581</f>
        <v>195.96999999999997</v>
      </c>
      <c r="H583" s="62"/>
      <c r="J583" s="62">
        <f>K579+K580+K581</f>
        <v>5985.0300000000007</v>
      </c>
      <c r="K583" s="62"/>
      <c r="L583" s="46">
        <f>Source!U137</f>
        <v>11.266747799999997</v>
      </c>
      <c r="O583" s="30">
        <f>G583</f>
        <v>195.96999999999997</v>
      </c>
      <c r="P583" s="30">
        <f>J583</f>
        <v>5985.0300000000007</v>
      </c>
      <c r="Q583" s="30">
        <f>L583</f>
        <v>11.266747799999997</v>
      </c>
      <c r="W583">
        <f>IF(Source!BI137&lt;=1,H579+H580+H581, 0)</f>
        <v>195.96999999999997</v>
      </c>
      <c r="X583">
        <f>IF(Source!BI137=2,H579+H580+H581, 0)</f>
        <v>0</v>
      </c>
      <c r="Y583">
        <f>IF(Source!BI137=3,H579+H580+H581, 0)</f>
        <v>0</v>
      </c>
      <c r="Z583">
        <f>IF(Source!BI137=4,H579+H580+H581, 0)</f>
        <v>0</v>
      </c>
    </row>
    <row r="584" spans="1:26" ht="57" x14ac:dyDescent="0.2">
      <c r="A584" s="53">
        <v>94</v>
      </c>
      <c r="B584" s="53" t="str">
        <f>Source!F138</f>
        <v>01-02-060-02</v>
      </c>
      <c r="C584" s="53" t="str">
        <f>Source!G138</f>
        <v>Погрузка вручную неуплотненного грунта из штабелей и отвалов в транспортные средства, группа грунтов: 2</v>
      </c>
      <c r="D584" s="36" t="str">
        <f>Source!H138</f>
        <v>100 м3</v>
      </c>
      <c r="E584" s="10">
        <f>Source!I138</f>
        <v>4.6100000000000002E-2</v>
      </c>
      <c r="F584" s="37">
        <f>Source!AL138+Source!AM138+Source!AO138</f>
        <v>463.5</v>
      </c>
      <c r="G584" s="38"/>
      <c r="H584" s="37"/>
      <c r="I584" s="38" t="str">
        <f>Source!BO138</f>
        <v/>
      </c>
      <c r="J584" s="38"/>
      <c r="K584" s="37"/>
      <c r="L584" s="39"/>
      <c r="S584">
        <f>ROUND((Source!FX138/100)*((ROUND(Source!AF138*Source!I138, 2)+ROUND(Source!AE138*Source!I138, 2))), 2)</f>
        <v>19.02</v>
      </c>
      <c r="T584">
        <f>Source!X138</f>
        <v>580.78</v>
      </c>
      <c r="U584">
        <f>ROUND((Source!FY138/100)*((ROUND(Source!AF138*Source!I138, 2)+ROUND(Source!AE138*Source!I138, 2))), 2)</f>
        <v>8.5500000000000007</v>
      </c>
      <c r="V584">
        <f>Source!Y138</f>
        <v>261.02</v>
      </c>
    </row>
    <row r="585" spans="1:26" ht="14.25" x14ac:dyDescent="0.2">
      <c r="A585" s="53"/>
      <c r="B585" s="53"/>
      <c r="C585" s="53" t="s">
        <v>1132</v>
      </c>
      <c r="D585" s="36"/>
      <c r="E585" s="10"/>
      <c r="F585" s="37">
        <f>Source!AO138</f>
        <v>463.5</v>
      </c>
      <c r="G585" s="38" t="str">
        <f>Source!DG138</f>
        <v/>
      </c>
      <c r="H585" s="37">
        <f>ROUND(Source!AF138*Source!I138, 2)</f>
        <v>21.37</v>
      </c>
      <c r="I585" s="38"/>
      <c r="J585" s="38">
        <f>IF(Source!BA138&lt;&gt; 0, Source!BA138, 1)</f>
        <v>30.54</v>
      </c>
      <c r="K585" s="37">
        <f>Source!S138</f>
        <v>652.55999999999995</v>
      </c>
      <c r="L585" s="39"/>
      <c r="R585">
        <f>H585</f>
        <v>21.37</v>
      </c>
    </row>
    <row r="586" spans="1:26" ht="14.25" x14ac:dyDescent="0.2">
      <c r="A586" s="53"/>
      <c r="B586" s="53"/>
      <c r="C586" s="53" t="s">
        <v>1133</v>
      </c>
      <c r="D586" s="36" t="s">
        <v>1134</v>
      </c>
      <c r="E586" s="10">
        <f>Source!BZ138</f>
        <v>89</v>
      </c>
      <c r="F586" s="55"/>
      <c r="G586" s="38"/>
      <c r="H586" s="37">
        <f>SUM(S584:S588)</f>
        <v>19.02</v>
      </c>
      <c r="I586" s="40"/>
      <c r="J586" s="35">
        <f>Source!AT138</f>
        <v>89</v>
      </c>
      <c r="K586" s="37">
        <f>SUM(T584:T588)</f>
        <v>580.78</v>
      </c>
      <c r="L586" s="39"/>
    </row>
    <row r="587" spans="1:26" ht="14.25" x14ac:dyDescent="0.2">
      <c r="A587" s="53"/>
      <c r="B587" s="53"/>
      <c r="C587" s="53" t="s">
        <v>1135</v>
      </c>
      <c r="D587" s="36" t="s">
        <v>1134</v>
      </c>
      <c r="E587" s="10">
        <f>Source!CA138</f>
        <v>40</v>
      </c>
      <c r="F587" s="55"/>
      <c r="G587" s="38"/>
      <c r="H587" s="37">
        <f>SUM(U584:U588)</f>
        <v>8.5500000000000007</v>
      </c>
      <c r="I587" s="40"/>
      <c r="J587" s="35">
        <f>Source!AU138</f>
        <v>40</v>
      </c>
      <c r="K587" s="37">
        <f>SUM(V584:V588)</f>
        <v>261.02</v>
      </c>
      <c r="L587" s="39"/>
    </row>
    <row r="588" spans="1:26" ht="14.25" x14ac:dyDescent="0.2">
      <c r="A588" s="54"/>
      <c r="B588" s="54"/>
      <c r="C588" s="54" t="s">
        <v>1136</v>
      </c>
      <c r="D588" s="41" t="s">
        <v>1137</v>
      </c>
      <c r="E588" s="42">
        <f>Source!AQ138</f>
        <v>61.8</v>
      </c>
      <c r="F588" s="43"/>
      <c r="G588" s="44" t="str">
        <f>Source!DI138</f>
        <v/>
      </c>
      <c r="H588" s="43"/>
      <c r="I588" s="44"/>
      <c r="J588" s="44"/>
      <c r="K588" s="43"/>
      <c r="L588" s="45">
        <f>Source!U138</f>
        <v>2.8489800000000001</v>
      </c>
    </row>
    <row r="589" spans="1:26" ht="15" x14ac:dyDescent="0.25">
      <c r="G589" s="62">
        <f>H585+H586+H587</f>
        <v>48.94</v>
      </c>
      <c r="H589" s="62"/>
      <c r="J589" s="62">
        <f>K585+K586+K587</f>
        <v>1494.36</v>
      </c>
      <c r="K589" s="62"/>
      <c r="L589" s="46">
        <f>Source!U138</f>
        <v>2.8489800000000001</v>
      </c>
      <c r="O589" s="30">
        <f>G589</f>
        <v>48.94</v>
      </c>
      <c r="P589" s="30">
        <f>J589</f>
        <v>1494.36</v>
      </c>
      <c r="Q589" s="30">
        <f>L589</f>
        <v>2.8489800000000001</v>
      </c>
      <c r="W589">
        <f>IF(Source!BI138&lt;=1,H585+H586+H587, 0)</f>
        <v>48.94</v>
      </c>
      <c r="X589">
        <f>IF(Source!BI138=2,H585+H586+H587, 0)</f>
        <v>0</v>
      </c>
      <c r="Y589">
        <f>IF(Source!BI138=3,H585+H586+H587, 0)</f>
        <v>0</v>
      </c>
      <c r="Z589">
        <f>IF(Source!BI138=4,H585+H586+H587, 0)</f>
        <v>0</v>
      </c>
    </row>
    <row r="590" spans="1:26" ht="57" x14ac:dyDescent="0.2">
      <c r="A590" s="54">
        <v>95</v>
      </c>
      <c r="B590" s="54" t="str">
        <f>Source!F139</f>
        <v>т03-21-01-002</v>
      </c>
      <c r="C590" s="54" t="str">
        <f>Source!G139</f>
        <v>Перевозка грузов I класса автомобилями-самосвалами грузоподъемностью 10 т работающих вне карьера на расстояние до 2 км</v>
      </c>
      <c r="D590" s="41" t="str">
        <f>Source!H139</f>
        <v>1 т груза</v>
      </c>
      <c r="E590" s="42">
        <f>Source!I139</f>
        <v>80.64</v>
      </c>
      <c r="F590" s="43">
        <f>Source!AK139</f>
        <v>3.86</v>
      </c>
      <c r="G590" s="44" t="str">
        <f>Source!DC139</f>
        <v/>
      </c>
      <c r="H590" s="43">
        <f>ROUND(Source!AB139*Source!I139, 2)</f>
        <v>311.27</v>
      </c>
      <c r="I590" s="44" t="str">
        <f>Source!BO139</f>
        <v/>
      </c>
      <c r="J590" s="44">
        <f>Source!AZ139</f>
        <v>12.02</v>
      </c>
      <c r="K590" s="43">
        <f>Source!GM139</f>
        <v>3741.47</v>
      </c>
      <c r="L590" s="50"/>
      <c r="S590">
        <f>ROUND((Source!FX139/100)*((ROUND(0*Source!I139, 2)+ROUND(0*Source!I139, 2))), 2)</f>
        <v>0</v>
      </c>
      <c r="T590">
        <f>Source!X139</f>
        <v>0</v>
      </c>
      <c r="U590">
        <f>ROUND((Source!FY139/100)*((ROUND(0*Source!I139, 2)+ROUND(0*Source!I139, 2))), 2)</f>
        <v>0</v>
      </c>
      <c r="V590">
        <f>Source!Y139</f>
        <v>0</v>
      </c>
    </row>
    <row r="591" spans="1:26" ht="15" x14ac:dyDescent="0.25">
      <c r="G591" s="62">
        <f>H590</f>
        <v>311.27</v>
      </c>
      <c r="H591" s="62"/>
      <c r="J591" s="62">
        <f>K590</f>
        <v>3741.47</v>
      </c>
      <c r="K591" s="62"/>
      <c r="L591" s="46">
        <f>Source!U139</f>
        <v>0</v>
      </c>
      <c r="O591" s="30">
        <f>G591</f>
        <v>311.27</v>
      </c>
      <c r="P591" s="30">
        <f>J591</f>
        <v>3741.47</v>
      </c>
      <c r="Q591" s="30">
        <f>L591</f>
        <v>0</v>
      </c>
      <c r="W591">
        <f>IF(Source!BI139&lt;=1,H590, 0)</f>
        <v>311.27</v>
      </c>
      <c r="X591">
        <f>IF(Source!BI139=2,H590, 0)</f>
        <v>0</v>
      </c>
      <c r="Y591">
        <f>IF(Source!BI139=3,H590, 0)</f>
        <v>0</v>
      </c>
      <c r="Z591">
        <f>IF(Source!BI139=4,H590, 0)</f>
        <v>0</v>
      </c>
    </row>
    <row r="592" spans="1:26" ht="28.5" x14ac:dyDescent="0.2">
      <c r="A592" s="53">
        <v>96</v>
      </c>
      <c r="B592" s="53" t="str">
        <f>Source!F140</f>
        <v>01-01-016-02</v>
      </c>
      <c r="C592" s="53" t="str">
        <f>Source!G140</f>
        <v>Работа на отвале, группа грунтов: 2-3</v>
      </c>
      <c r="D592" s="36" t="str">
        <f>Source!H140</f>
        <v>1000 м3</v>
      </c>
      <c r="E592" s="10">
        <f>Source!I140</f>
        <v>4.6080000000000003E-2</v>
      </c>
      <c r="F592" s="37">
        <f>Source!AL140+Source!AM140+Source!AO140</f>
        <v>322.83999999999997</v>
      </c>
      <c r="G592" s="38"/>
      <c r="H592" s="37"/>
      <c r="I592" s="38" t="str">
        <f>Source!BO140</f>
        <v/>
      </c>
      <c r="J592" s="38"/>
      <c r="K592" s="37"/>
      <c r="L592" s="39"/>
      <c r="S592">
        <f>ROUND((Source!FX140/100)*((ROUND(Source!AF140*Source!I140, 2)+ROUND(Source!AE140*Source!I140, 2))), 2)</f>
        <v>3.2</v>
      </c>
      <c r="T592">
        <f>Source!X140</f>
        <v>97.84</v>
      </c>
      <c r="U592">
        <f>ROUND((Source!FY140/100)*((ROUND(Source!AF140*Source!I140, 2)+ROUND(Source!AE140*Source!I140, 2))), 2)</f>
        <v>1.6</v>
      </c>
      <c r="V592">
        <f>Source!Y140</f>
        <v>48.92</v>
      </c>
    </row>
    <row r="593" spans="1:26" ht="14.25" x14ac:dyDescent="0.2">
      <c r="A593" s="53"/>
      <c r="B593" s="53"/>
      <c r="C593" s="53" t="s">
        <v>1132</v>
      </c>
      <c r="D593" s="36"/>
      <c r="E593" s="10"/>
      <c r="F593" s="37">
        <f>Source!AO140</f>
        <v>25.9</v>
      </c>
      <c r="G593" s="38" t="str">
        <f>Source!DG140</f>
        <v/>
      </c>
      <c r="H593" s="37">
        <f>ROUND(Source!AF140*Source!I140, 2)</f>
        <v>1.19</v>
      </c>
      <c r="I593" s="38"/>
      <c r="J593" s="38">
        <f>IF(Source!BA140&lt;&gt; 0, Source!BA140, 1)</f>
        <v>30.54</v>
      </c>
      <c r="K593" s="37">
        <f>Source!S140</f>
        <v>36.450000000000003</v>
      </c>
      <c r="L593" s="39"/>
      <c r="R593">
        <f>H593</f>
        <v>1.19</v>
      </c>
    </row>
    <row r="594" spans="1:26" ht="14.25" x14ac:dyDescent="0.2">
      <c r="A594" s="53"/>
      <c r="B594" s="53"/>
      <c r="C594" s="53" t="s">
        <v>616</v>
      </c>
      <c r="D594" s="36"/>
      <c r="E594" s="10"/>
      <c r="F594" s="37">
        <f>Source!AM140</f>
        <v>292.60000000000002</v>
      </c>
      <c r="G594" s="38" t="str">
        <f>Source!DE140</f>
        <v/>
      </c>
      <c r="H594" s="37">
        <f>ROUND((((Source!ET140)-(Source!EU140))+Source!AE140)*Source!I140, 2)</f>
        <v>13.48</v>
      </c>
      <c r="I594" s="38"/>
      <c r="J594" s="38">
        <f>IF(Source!BB140&lt;&gt; 0, Source!BB140, 1)</f>
        <v>12.13</v>
      </c>
      <c r="K594" s="37">
        <f>Source!Q140</f>
        <v>163.55000000000001</v>
      </c>
      <c r="L594" s="39"/>
    </row>
    <row r="595" spans="1:26" ht="14.25" x14ac:dyDescent="0.2">
      <c r="A595" s="53"/>
      <c r="B595" s="53"/>
      <c r="C595" s="53" t="s">
        <v>1138</v>
      </c>
      <c r="D595" s="36"/>
      <c r="E595" s="10"/>
      <c r="F595" s="37">
        <f>Source!AN140</f>
        <v>49.67</v>
      </c>
      <c r="G595" s="38" t="str">
        <f>Source!DF140</f>
        <v/>
      </c>
      <c r="H595" s="47">
        <f>ROUND(Source!AE140*Source!I140, 2)</f>
        <v>2.29</v>
      </c>
      <c r="I595" s="38"/>
      <c r="J595" s="38">
        <f>IF(Source!BS140&lt;&gt; 0, Source!BS140, 1)</f>
        <v>30.54</v>
      </c>
      <c r="K595" s="47">
        <f>Source!R140</f>
        <v>69.900000000000006</v>
      </c>
      <c r="L595" s="39"/>
      <c r="R595">
        <f>H595</f>
        <v>2.29</v>
      </c>
    </row>
    <row r="596" spans="1:26" ht="14.25" x14ac:dyDescent="0.2">
      <c r="A596" s="53"/>
      <c r="B596" s="53"/>
      <c r="C596" s="53" t="s">
        <v>1139</v>
      </c>
      <c r="D596" s="36"/>
      <c r="E596" s="10"/>
      <c r="F596" s="37">
        <f>Source!AL140</f>
        <v>4.34</v>
      </c>
      <c r="G596" s="38" t="str">
        <f>Source!DD140</f>
        <v/>
      </c>
      <c r="H596" s="37">
        <f>ROUND(Source!AC140*Source!I140, 2)</f>
        <v>0.2</v>
      </c>
      <c r="I596" s="38"/>
      <c r="J596" s="38">
        <f>IF(Source!BC140&lt;&gt; 0, Source!BC140, 1)</f>
        <v>8.7100000000000009</v>
      </c>
      <c r="K596" s="37">
        <f>Source!P140</f>
        <v>1.74</v>
      </c>
      <c r="L596" s="39"/>
    </row>
    <row r="597" spans="1:26" ht="14.25" x14ac:dyDescent="0.2">
      <c r="A597" s="53"/>
      <c r="B597" s="53"/>
      <c r="C597" s="53" t="s">
        <v>1133</v>
      </c>
      <c r="D597" s="36" t="s">
        <v>1134</v>
      </c>
      <c r="E597" s="10">
        <f>Source!BZ140</f>
        <v>92</v>
      </c>
      <c r="F597" s="55"/>
      <c r="G597" s="38"/>
      <c r="H597" s="37">
        <f>SUM(S592:S599)</f>
        <v>3.2</v>
      </c>
      <c r="I597" s="40"/>
      <c r="J597" s="35">
        <f>Source!AT140</f>
        <v>92</v>
      </c>
      <c r="K597" s="37">
        <f>SUM(T592:T599)</f>
        <v>97.84</v>
      </c>
      <c r="L597" s="39"/>
    </row>
    <row r="598" spans="1:26" ht="14.25" x14ac:dyDescent="0.2">
      <c r="A598" s="53"/>
      <c r="B598" s="53"/>
      <c r="C598" s="53" t="s">
        <v>1135</v>
      </c>
      <c r="D598" s="36" t="s">
        <v>1134</v>
      </c>
      <c r="E598" s="10">
        <f>Source!CA140</f>
        <v>46</v>
      </c>
      <c r="F598" s="55"/>
      <c r="G598" s="38"/>
      <c r="H598" s="37">
        <f>SUM(U592:U599)</f>
        <v>1.6</v>
      </c>
      <c r="I598" s="40"/>
      <c r="J598" s="35">
        <f>Source!AU140</f>
        <v>46</v>
      </c>
      <c r="K598" s="37">
        <f>SUM(V592:V599)</f>
        <v>48.92</v>
      </c>
      <c r="L598" s="39"/>
    </row>
    <row r="599" spans="1:26" ht="14.25" x14ac:dyDescent="0.2">
      <c r="A599" s="54"/>
      <c r="B599" s="54"/>
      <c r="C599" s="54" t="s">
        <v>1136</v>
      </c>
      <c r="D599" s="41" t="s">
        <v>1137</v>
      </c>
      <c r="E599" s="42">
        <f>Source!AQ140</f>
        <v>3.32</v>
      </c>
      <c r="F599" s="43"/>
      <c r="G599" s="44" t="str">
        <f>Source!DI140</f>
        <v/>
      </c>
      <c r="H599" s="43"/>
      <c r="I599" s="44"/>
      <c r="J599" s="44"/>
      <c r="K599" s="43"/>
      <c r="L599" s="45">
        <f>Source!U140</f>
        <v>0.1529856</v>
      </c>
    </row>
    <row r="600" spans="1:26" ht="15" x14ac:dyDescent="0.25">
      <c r="G600" s="62">
        <f>H593+H594+H596+H597+H598</f>
        <v>19.670000000000002</v>
      </c>
      <c r="H600" s="62"/>
      <c r="J600" s="62">
        <f>K593+K594+K596+K597+K598</f>
        <v>348.50000000000006</v>
      </c>
      <c r="K600" s="62"/>
      <c r="L600" s="46">
        <f>Source!U140</f>
        <v>0.1529856</v>
      </c>
      <c r="O600" s="30">
        <f>G600</f>
        <v>19.670000000000002</v>
      </c>
      <c r="P600" s="30">
        <f>J600</f>
        <v>348.50000000000006</v>
      </c>
      <c r="Q600" s="30">
        <f>L600</f>
        <v>0.1529856</v>
      </c>
      <c r="W600">
        <f>IF(Source!BI140&lt;=1,H593+H594+H596+H597+H598, 0)</f>
        <v>19.670000000000002</v>
      </c>
      <c r="X600">
        <f>IF(Source!BI140=2,H593+H594+H596+H597+H598, 0)</f>
        <v>0</v>
      </c>
      <c r="Y600">
        <f>IF(Source!BI140=3,H593+H594+H596+H597+H598, 0)</f>
        <v>0</v>
      </c>
      <c r="Z600">
        <f>IF(Source!BI140=4,H593+H594+H596+H597+H598, 0)</f>
        <v>0</v>
      </c>
    </row>
    <row r="601" spans="1:26" ht="28.5" x14ac:dyDescent="0.2">
      <c r="A601" s="53">
        <v>97</v>
      </c>
      <c r="B601" s="53" t="str">
        <f>Source!F141</f>
        <v>08-01-002-01</v>
      </c>
      <c r="C601" s="53" t="str">
        <f>Source!G141</f>
        <v>Устройство основания под фундаменты: песчаного</v>
      </c>
      <c r="D601" s="36" t="str">
        <f>Source!H141</f>
        <v>м3</v>
      </c>
      <c r="E601" s="10">
        <f>Source!I141</f>
        <v>17.28</v>
      </c>
      <c r="F601" s="37">
        <f>Source!AL141+Source!AM141+Source!AO141</f>
        <v>14.66</v>
      </c>
      <c r="G601" s="38"/>
      <c r="H601" s="37"/>
      <c r="I601" s="38" t="str">
        <f>Source!BO141</f>
        <v/>
      </c>
      <c r="J601" s="38"/>
      <c r="K601" s="37"/>
      <c r="L601" s="39"/>
      <c r="S601">
        <f>ROUND((Source!FX141/100)*((ROUND(Source!AF141*Source!I141, 2)+ROUND(Source!AE141*Source!I141, 2))), 2)</f>
        <v>177.72</v>
      </c>
      <c r="T601">
        <f>Source!X141</f>
        <v>5427.72</v>
      </c>
      <c r="U601">
        <f>ROUND((Source!FY141/100)*((ROUND(Source!AF141*Source!I141, 2)+ROUND(Source!AE141*Source!I141, 2))), 2)</f>
        <v>94.75</v>
      </c>
      <c r="V601">
        <f>Source!Y141</f>
        <v>2893.96</v>
      </c>
    </row>
    <row r="602" spans="1:26" ht="14.25" x14ac:dyDescent="0.2">
      <c r="A602" s="53"/>
      <c r="B602" s="53"/>
      <c r="C602" s="53" t="s">
        <v>1132</v>
      </c>
      <c r="D602" s="36"/>
      <c r="E602" s="10"/>
      <c r="F602" s="37">
        <f>Source!AO141</f>
        <v>6.19</v>
      </c>
      <c r="G602" s="38" t="str">
        <f>Source!DG141</f>
        <v>)*1,15)*1,15</v>
      </c>
      <c r="H602" s="37">
        <f>ROUND(Source!AF141*Source!I141, 2)</f>
        <v>141.52000000000001</v>
      </c>
      <c r="I602" s="38"/>
      <c r="J602" s="38">
        <f>IF(Source!BA141&lt;&gt; 0, Source!BA141, 1)</f>
        <v>30.54</v>
      </c>
      <c r="K602" s="37">
        <f>Source!S141</f>
        <v>4322.12</v>
      </c>
      <c r="L602" s="39"/>
      <c r="R602">
        <f>H602</f>
        <v>141.52000000000001</v>
      </c>
    </row>
    <row r="603" spans="1:26" ht="14.25" x14ac:dyDescent="0.2">
      <c r="A603" s="53"/>
      <c r="B603" s="53"/>
      <c r="C603" s="53" t="s">
        <v>616</v>
      </c>
      <c r="D603" s="36"/>
      <c r="E603" s="10"/>
      <c r="F603" s="37">
        <f>Source!AM141</f>
        <v>8.1</v>
      </c>
      <c r="G603" s="38" t="str">
        <f>Source!DE141</f>
        <v>)*1,25)*1,15</v>
      </c>
      <c r="H603" s="37">
        <f>ROUND((((((Source!ET141*1.25)*1.15))-(((Source!EU141*1.25)*1.15)))+Source!AE141)*Source!I141, 2)</f>
        <v>201.13</v>
      </c>
      <c r="I603" s="38"/>
      <c r="J603" s="38">
        <f>IF(Source!BB141&lt;&gt; 0, Source!BB141, 1)</f>
        <v>12.13</v>
      </c>
      <c r="K603" s="37">
        <f>Source!Q141</f>
        <v>2438.3000000000002</v>
      </c>
      <c r="L603" s="39"/>
    </row>
    <row r="604" spans="1:26" ht="14.25" x14ac:dyDescent="0.2">
      <c r="A604" s="53"/>
      <c r="B604" s="53"/>
      <c r="C604" s="53" t="s">
        <v>1138</v>
      </c>
      <c r="D604" s="36"/>
      <c r="E604" s="10"/>
      <c r="F604" s="37">
        <f>Source!AN141</f>
        <v>0.81</v>
      </c>
      <c r="G604" s="38" t="str">
        <f>Source!DF141</f>
        <v>)*1,25)*1,15</v>
      </c>
      <c r="H604" s="47">
        <f>ROUND(Source!AE141*Source!I141, 2)</f>
        <v>20.04</v>
      </c>
      <c r="I604" s="38"/>
      <c r="J604" s="38">
        <f>IF(Source!BS141&lt;&gt; 0, Source!BS141, 1)</f>
        <v>30.54</v>
      </c>
      <c r="K604" s="47">
        <f>Source!R141</f>
        <v>612.16999999999996</v>
      </c>
      <c r="L604" s="39"/>
      <c r="R604">
        <f>H604</f>
        <v>20.04</v>
      </c>
    </row>
    <row r="605" spans="1:26" ht="14.25" x14ac:dyDescent="0.2">
      <c r="A605" s="53"/>
      <c r="B605" s="53"/>
      <c r="C605" s="53" t="s">
        <v>1139</v>
      </c>
      <c r="D605" s="36"/>
      <c r="E605" s="10"/>
      <c r="F605" s="37">
        <f>Source!AL141</f>
        <v>0.37</v>
      </c>
      <c r="G605" s="38" t="str">
        <f>Source!DD141</f>
        <v/>
      </c>
      <c r="H605" s="37">
        <f>ROUND(Source!AC141*Source!I141, 2)</f>
        <v>6.39</v>
      </c>
      <c r="I605" s="38"/>
      <c r="J605" s="38">
        <f>IF(Source!BC141&lt;&gt; 0, Source!BC141, 1)</f>
        <v>8.7100000000000009</v>
      </c>
      <c r="K605" s="37">
        <f>Source!P141</f>
        <v>55.69</v>
      </c>
      <c r="L605" s="39"/>
    </row>
    <row r="606" spans="1:26" ht="14.25" x14ac:dyDescent="0.2">
      <c r="A606" s="53"/>
      <c r="B606" s="53"/>
      <c r="C606" s="53" t="s">
        <v>1133</v>
      </c>
      <c r="D606" s="36" t="s">
        <v>1134</v>
      </c>
      <c r="E606" s="10">
        <f>Source!BZ141</f>
        <v>110</v>
      </c>
      <c r="F606" s="55"/>
      <c r="G606" s="38"/>
      <c r="H606" s="37">
        <f>SUM(S601:S608)</f>
        <v>177.72</v>
      </c>
      <c r="I606" s="40"/>
      <c r="J606" s="35">
        <f>Source!AT141</f>
        <v>110</v>
      </c>
      <c r="K606" s="37">
        <f>SUM(T601:T608)</f>
        <v>5427.72</v>
      </c>
      <c r="L606" s="39"/>
    </row>
    <row r="607" spans="1:26" ht="14.25" x14ac:dyDescent="0.2">
      <c r="A607" s="53"/>
      <c r="B607" s="53"/>
      <c r="C607" s="53" t="s">
        <v>1135</v>
      </c>
      <c r="D607" s="36" t="s">
        <v>1134</v>
      </c>
      <c r="E607" s="10">
        <f>Source!CA141</f>
        <v>69</v>
      </c>
      <c r="F607" s="65" t="str">
        <f>CONCATENATE(" )", Source!DM141, Source!FU141, "=", Source!FY141)</f>
        <v xml:space="preserve"> ))*0,85=58,65</v>
      </c>
      <c r="G607" s="66"/>
      <c r="H607" s="37">
        <f>SUM(U601:U608)</f>
        <v>94.75</v>
      </c>
      <c r="I607" s="40"/>
      <c r="J607" s="35">
        <f>Source!AU141</f>
        <v>58.65</v>
      </c>
      <c r="K607" s="37">
        <f>SUM(V601:V608)</f>
        <v>2893.96</v>
      </c>
      <c r="L607" s="39"/>
    </row>
    <row r="608" spans="1:26" ht="14.25" x14ac:dyDescent="0.2">
      <c r="A608" s="54"/>
      <c r="B608" s="54"/>
      <c r="C608" s="54" t="s">
        <v>1136</v>
      </c>
      <c r="D608" s="41" t="s">
        <v>1137</v>
      </c>
      <c r="E608" s="42">
        <f>Source!AQ141</f>
        <v>0.78</v>
      </c>
      <c r="F608" s="43"/>
      <c r="G608" s="44" t="str">
        <f>Source!DI141</f>
        <v>)*1,15)*1,15</v>
      </c>
      <c r="H608" s="43"/>
      <c r="I608" s="44"/>
      <c r="J608" s="44"/>
      <c r="K608" s="43"/>
      <c r="L608" s="45">
        <f>Source!U141</f>
        <v>17.825183999999997</v>
      </c>
    </row>
    <row r="609" spans="1:26" ht="15" x14ac:dyDescent="0.25">
      <c r="G609" s="62">
        <f>H602+H603+H605+H606+H607</f>
        <v>621.51</v>
      </c>
      <c r="H609" s="62"/>
      <c r="J609" s="62">
        <f>K602+K603+K605+K606+K607</f>
        <v>15137.79</v>
      </c>
      <c r="K609" s="62"/>
      <c r="L609" s="46">
        <f>Source!U141</f>
        <v>17.825183999999997</v>
      </c>
      <c r="O609" s="30">
        <f>G609</f>
        <v>621.51</v>
      </c>
      <c r="P609" s="30">
        <f>J609</f>
        <v>15137.79</v>
      </c>
      <c r="Q609" s="30">
        <f>L609</f>
        <v>17.825183999999997</v>
      </c>
      <c r="W609">
        <f>IF(Source!BI141&lt;=1,H602+H603+H605+H606+H607, 0)</f>
        <v>621.51</v>
      </c>
      <c r="X609">
        <f>IF(Source!BI141=2,H602+H603+H605+H606+H607, 0)</f>
        <v>0</v>
      </c>
      <c r="Y609">
        <f>IF(Source!BI141=3,H602+H603+H605+H606+H607, 0)</f>
        <v>0</v>
      </c>
      <c r="Z609">
        <f>IF(Source!BI141=4,H602+H603+H605+H606+H607, 0)</f>
        <v>0</v>
      </c>
    </row>
    <row r="610" spans="1:26" ht="42.75" x14ac:dyDescent="0.2">
      <c r="A610" s="54">
        <v>98</v>
      </c>
      <c r="B610" s="54" t="str">
        <f>Source!F142</f>
        <v>Цена Поставщика</v>
      </c>
      <c r="C610" s="54" t="s">
        <v>1170</v>
      </c>
      <c r="D610" s="41" t="str">
        <f>Source!H142</f>
        <v>м3</v>
      </c>
      <c r="E610" s="42">
        <f>Source!I142</f>
        <v>19.007999999999999</v>
      </c>
      <c r="F610" s="43">
        <f>Source!AL142</f>
        <v>35.860000000000007</v>
      </c>
      <c r="G610" s="44" t="str">
        <f>Source!DD142</f>
        <v/>
      </c>
      <c r="H610" s="43">
        <f>ROUND(Source!AC142*Source!I142, 2)</f>
        <v>681.63</v>
      </c>
      <c r="I610" s="44" t="str">
        <f>Source!BO142</f>
        <v/>
      </c>
      <c r="J610" s="44">
        <f>IF(Source!BC142&lt;&gt; 0, Source!BC142, 1)</f>
        <v>8.7100000000000009</v>
      </c>
      <c r="K610" s="43">
        <f>Source!P142</f>
        <v>5936.97</v>
      </c>
      <c r="L610" s="50"/>
      <c r="S610">
        <f>ROUND((Source!FX142/100)*((ROUND(Source!AF142*Source!I142, 2)+ROUND(Source!AE142*Source!I142, 2))), 2)</f>
        <v>0</v>
      </c>
      <c r="T610">
        <f>Source!X142</f>
        <v>0</v>
      </c>
      <c r="U610">
        <f>ROUND((Source!FY142/100)*((ROUND(Source!AF142*Source!I142, 2)+ROUND(Source!AE142*Source!I142, 2))), 2)</f>
        <v>0</v>
      </c>
      <c r="V610">
        <f>Source!Y142</f>
        <v>0</v>
      </c>
    </row>
    <row r="611" spans="1:26" ht="15" x14ac:dyDescent="0.25">
      <c r="G611" s="62">
        <f>H610</f>
        <v>681.63</v>
      </c>
      <c r="H611" s="62"/>
      <c r="J611" s="62">
        <f>K610</f>
        <v>5936.97</v>
      </c>
      <c r="K611" s="62"/>
      <c r="L611" s="46">
        <f>Source!U142</f>
        <v>0</v>
      </c>
      <c r="O611" s="30">
        <f>G611</f>
        <v>681.63</v>
      </c>
      <c r="P611" s="30">
        <f>J611</f>
        <v>5936.97</v>
      </c>
      <c r="Q611" s="30">
        <f>L611</f>
        <v>0</v>
      </c>
      <c r="W611">
        <f>IF(Source!BI142&lt;=1,H610, 0)</f>
        <v>681.63</v>
      </c>
      <c r="X611">
        <f>IF(Source!BI142=2,H610, 0)</f>
        <v>0</v>
      </c>
      <c r="Y611">
        <f>IF(Source!BI142=3,H610, 0)</f>
        <v>0</v>
      </c>
      <c r="Z611">
        <f>IF(Source!BI142=4,H610, 0)</f>
        <v>0</v>
      </c>
    </row>
    <row r="612" spans="1:26" ht="28.5" x14ac:dyDescent="0.2">
      <c r="A612" s="53">
        <v>99</v>
      </c>
      <c r="B612" s="53" t="str">
        <f>Source!F143</f>
        <v>08-01-002-02</v>
      </c>
      <c r="C612" s="53" t="str">
        <f>Source!G143</f>
        <v>Устройство основания под фундаменты: щебеночного</v>
      </c>
      <c r="D612" s="36" t="str">
        <f>Source!H143</f>
        <v>м3</v>
      </c>
      <c r="E612" s="10">
        <f>Source!I143</f>
        <v>11.52</v>
      </c>
      <c r="F612" s="37">
        <f>Source!AL143+Source!AM143+Source!AO143</f>
        <v>15.409999999999998</v>
      </c>
      <c r="G612" s="38"/>
      <c r="H612" s="37"/>
      <c r="I612" s="38" t="str">
        <f>Source!BO143</f>
        <v/>
      </c>
      <c r="J612" s="38"/>
      <c r="K612" s="37"/>
      <c r="L612" s="39"/>
      <c r="S612">
        <f>ROUND((Source!FX143/100)*((ROUND(Source!AF143*Source!I143, 2)+ROUND(Source!AE143*Source!I143, 2))), 2)</f>
        <v>127.85</v>
      </c>
      <c r="T612">
        <f>Source!X143</f>
        <v>3904.86</v>
      </c>
      <c r="U612">
        <f>ROUND((Source!FY143/100)*((ROUND(Source!AF143*Source!I143, 2)+ROUND(Source!AE143*Source!I143, 2))), 2)</f>
        <v>68.17</v>
      </c>
      <c r="V612">
        <f>Source!Y143</f>
        <v>2082</v>
      </c>
    </row>
    <row r="613" spans="1:26" ht="14.25" x14ac:dyDescent="0.2">
      <c r="A613" s="53"/>
      <c r="B613" s="53"/>
      <c r="C613" s="53" t="s">
        <v>1132</v>
      </c>
      <c r="D613" s="36"/>
      <c r="E613" s="10"/>
      <c r="F613" s="37">
        <f>Source!AO143</f>
        <v>6.75</v>
      </c>
      <c r="G613" s="38" t="str">
        <f>Source!DG143</f>
        <v>)*1,15)*1,15</v>
      </c>
      <c r="H613" s="37">
        <f>ROUND(Source!AF143*Source!I143, 2)</f>
        <v>102.87</v>
      </c>
      <c r="I613" s="38"/>
      <c r="J613" s="38">
        <f>IF(Source!BA143&lt;&gt; 0, Source!BA143, 1)</f>
        <v>30.54</v>
      </c>
      <c r="K613" s="37">
        <f>Source!S143</f>
        <v>3141.76</v>
      </c>
      <c r="L613" s="39"/>
      <c r="R613">
        <f>H613</f>
        <v>102.87</v>
      </c>
    </row>
    <row r="614" spans="1:26" ht="14.25" x14ac:dyDescent="0.2">
      <c r="A614" s="53"/>
      <c r="B614" s="53"/>
      <c r="C614" s="53" t="s">
        <v>616</v>
      </c>
      <c r="D614" s="36"/>
      <c r="E614" s="10"/>
      <c r="F614" s="37">
        <f>Source!AM143</f>
        <v>8.2899999999999991</v>
      </c>
      <c r="G614" s="38" t="str">
        <f>Source!DE143</f>
        <v>)*1,25)*1,15</v>
      </c>
      <c r="H614" s="37">
        <f>ROUND((((((Source!ET143*1.25)*1.15))-(((Source!EU143*1.25)*1.15)))+Source!AE143)*Source!I143, 2)</f>
        <v>137.22999999999999</v>
      </c>
      <c r="I614" s="38"/>
      <c r="J614" s="38">
        <f>IF(Source!BB143&lt;&gt; 0, Source!BB143, 1)</f>
        <v>12.13</v>
      </c>
      <c r="K614" s="37">
        <f>Source!Q143</f>
        <v>1663.7</v>
      </c>
      <c r="L614" s="39"/>
    </row>
    <row r="615" spans="1:26" ht="14.25" x14ac:dyDescent="0.2">
      <c r="A615" s="53"/>
      <c r="B615" s="53"/>
      <c r="C615" s="53" t="s">
        <v>1138</v>
      </c>
      <c r="D615" s="36"/>
      <c r="E615" s="10"/>
      <c r="F615" s="37">
        <f>Source!AN143</f>
        <v>0.81</v>
      </c>
      <c r="G615" s="38" t="str">
        <f>Source!DF143</f>
        <v>)*1,25)*1,15</v>
      </c>
      <c r="H615" s="47">
        <f>ROUND(Source!AE143*Source!I143, 2)</f>
        <v>13.36</v>
      </c>
      <c r="I615" s="38"/>
      <c r="J615" s="38">
        <f>IF(Source!BS143&lt;&gt; 0, Source!BS143, 1)</f>
        <v>30.54</v>
      </c>
      <c r="K615" s="47">
        <f>Source!R143</f>
        <v>408.11</v>
      </c>
      <c r="L615" s="39"/>
      <c r="R615">
        <f>H615</f>
        <v>13.36</v>
      </c>
    </row>
    <row r="616" spans="1:26" ht="14.25" x14ac:dyDescent="0.2">
      <c r="A616" s="53"/>
      <c r="B616" s="53"/>
      <c r="C616" s="53" t="s">
        <v>1139</v>
      </c>
      <c r="D616" s="36"/>
      <c r="E616" s="10"/>
      <c r="F616" s="37">
        <f>Source!AL143</f>
        <v>0.37</v>
      </c>
      <c r="G616" s="38" t="str">
        <f>Source!DD143</f>
        <v/>
      </c>
      <c r="H616" s="37">
        <f>ROUND(Source!AC143*Source!I143, 2)</f>
        <v>4.26</v>
      </c>
      <c r="I616" s="38"/>
      <c r="J616" s="38">
        <f>IF(Source!BC143&lt;&gt; 0, Source!BC143, 1)</f>
        <v>8.7100000000000009</v>
      </c>
      <c r="K616" s="37">
        <f>Source!P143</f>
        <v>37.130000000000003</v>
      </c>
      <c r="L616" s="39"/>
    </row>
    <row r="617" spans="1:26" ht="14.25" x14ac:dyDescent="0.2">
      <c r="A617" s="53"/>
      <c r="B617" s="53"/>
      <c r="C617" s="53" t="s">
        <v>1133</v>
      </c>
      <c r="D617" s="36" t="s">
        <v>1134</v>
      </c>
      <c r="E617" s="10">
        <f>Source!BZ143</f>
        <v>110</v>
      </c>
      <c r="F617" s="55"/>
      <c r="G617" s="38"/>
      <c r="H617" s="37">
        <f>SUM(S612:S619)</f>
        <v>127.85</v>
      </c>
      <c r="I617" s="40"/>
      <c r="J617" s="35">
        <f>Source!AT143</f>
        <v>110</v>
      </c>
      <c r="K617" s="37">
        <f>SUM(T612:T619)</f>
        <v>3904.86</v>
      </c>
      <c r="L617" s="39"/>
    </row>
    <row r="618" spans="1:26" ht="14.25" x14ac:dyDescent="0.2">
      <c r="A618" s="53"/>
      <c r="B618" s="53"/>
      <c r="C618" s="53" t="s">
        <v>1135</v>
      </c>
      <c r="D618" s="36" t="s">
        <v>1134</v>
      </c>
      <c r="E618" s="10">
        <f>Source!CA143</f>
        <v>69</v>
      </c>
      <c r="F618" s="65" t="str">
        <f>CONCATENATE(" )", Source!DM143, Source!FU143, "=", Source!FY143)</f>
        <v xml:space="preserve"> ))*0,85=58,65</v>
      </c>
      <c r="G618" s="66"/>
      <c r="H618" s="37">
        <f>SUM(U612:U619)</f>
        <v>68.17</v>
      </c>
      <c r="I618" s="40"/>
      <c r="J618" s="35">
        <f>Source!AU143</f>
        <v>58.65</v>
      </c>
      <c r="K618" s="37">
        <f>SUM(V612:V619)</f>
        <v>2082</v>
      </c>
      <c r="L618" s="39"/>
    </row>
    <row r="619" spans="1:26" ht="14.25" x14ac:dyDescent="0.2">
      <c r="A619" s="54"/>
      <c r="B619" s="54"/>
      <c r="C619" s="54" t="s">
        <v>1136</v>
      </c>
      <c r="D619" s="41" t="s">
        <v>1137</v>
      </c>
      <c r="E619" s="42">
        <f>Source!AQ143</f>
        <v>0.85</v>
      </c>
      <c r="F619" s="43"/>
      <c r="G619" s="44" t="str">
        <f>Source!DI143</f>
        <v>)*1,15)*1,15</v>
      </c>
      <c r="H619" s="43"/>
      <c r="I619" s="44"/>
      <c r="J619" s="44"/>
      <c r="K619" s="43"/>
      <c r="L619" s="45">
        <f>Source!U143</f>
        <v>12.949919999999997</v>
      </c>
    </row>
    <row r="620" spans="1:26" ht="15" x14ac:dyDescent="0.25">
      <c r="G620" s="62">
        <f>H613+H614+H616+H617+H618</f>
        <v>440.38</v>
      </c>
      <c r="H620" s="62"/>
      <c r="J620" s="62">
        <f>K613+K614+K616+K617+K618</f>
        <v>10829.45</v>
      </c>
      <c r="K620" s="62"/>
      <c r="L620" s="46">
        <f>Source!U143</f>
        <v>12.949919999999997</v>
      </c>
      <c r="O620" s="30">
        <f>G620</f>
        <v>440.38</v>
      </c>
      <c r="P620" s="30">
        <f>J620</f>
        <v>10829.45</v>
      </c>
      <c r="Q620" s="30">
        <f>L620</f>
        <v>12.949919999999997</v>
      </c>
      <c r="W620">
        <f>IF(Source!BI143&lt;=1,H613+H614+H616+H617+H618, 0)</f>
        <v>440.38</v>
      </c>
      <c r="X620">
        <f>IF(Source!BI143=2,H613+H614+H616+H617+H618, 0)</f>
        <v>0</v>
      </c>
      <c r="Y620">
        <f>IF(Source!BI143=3,H613+H614+H616+H617+H618, 0)</f>
        <v>0</v>
      </c>
      <c r="Z620">
        <f>IF(Source!BI143=4,H613+H614+H616+H617+H618, 0)</f>
        <v>0</v>
      </c>
    </row>
    <row r="621" spans="1:26" ht="42.75" x14ac:dyDescent="0.2">
      <c r="A621" s="54">
        <v>100</v>
      </c>
      <c r="B621" s="54" t="str">
        <f>Source!F144</f>
        <v>Цена Поставщика</v>
      </c>
      <c r="C621" s="54" t="s">
        <v>1171</v>
      </c>
      <c r="D621" s="41" t="str">
        <f>Source!H144</f>
        <v>м3</v>
      </c>
      <c r="E621" s="42">
        <f>Source!I144</f>
        <v>13.247999999999999</v>
      </c>
      <c r="F621" s="43">
        <f>Source!AL144</f>
        <v>93.53</v>
      </c>
      <c r="G621" s="44" t="str">
        <f>Source!DD144</f>
        <v/>
      </c>
      <c r="H621" s="43">
        <f>ROUND(Source!AC144*Source!I144, 2)</f>
        <v>1239.0899999999999</v>
      </c>
      <c r="I621" s="44" t="str">
        <f>Source!BO144</f>
        <v/>
      </c>
      <c r="J621" s="44">
        <f>IF(Source!BC144&lt;&gt; 0, Source!BC144, 1)</f>
        <v>8.7100000000000009</v>
      </c>
      <c r="K621" s="43">
        <f>Source!P144</f>
        <v>10792.43</v>
      </c>
      <c r="L621" s="50"/>
      <c r="S621">
        <f>ROUND((Source!FX144/100)*((ROUND(Source!AF144*Source!I144, 2)+ROUND(Source!AE144*Source!I144, 2))), 2)</f>
        <v>0</v>
      </c>
      <c r="T621">
        <f>Source!X144</f>
        <v>0</v>
      </c>
      <c r="U621">
        <f>ROUND((Source!FY144/100)*((ROUND(Source!AF144*Source!I144, 2)+ROUND(Source!AE144*Source!I144, 2))), 2)</f>
        <v>0</v>
      </c>
      <c r="V621">
        <f>Source!Y144</f>
        <v>0</v>
      </c>
    </row>
    <row r="622" spans="1:26" ht="15" x14ac:dyDescent="0.25">
      <c r="G622" s="62">
        <f>H621</f>
        <v>1239.0899999999999</v>
      </c>
      <c r="H622" s="62"/>
      <c r="J622" s="62">
        <f>K621</f>
        <v>10792.43</v>
      </c>
      <c r="K622" s="62"/>
      <c r="L622" s="46">
        <f>Source!U144</f>
        <v>0</v>
      </c>
      <c r="O622" s="30">
        <f>G622</f>
        <v>1239.0899999999999</v>
      </c>
      <c r="P622" s="30">
        <f>J622</f>
        <v>10792.43</v>
      </c>
      <c r="Q622" s="30">
        <f>L622</f>
        <v>0</v>
      </c>
      <c r="W622">
        <f>IF(Source!BI144&lt;=1,H621, 0)</f>
        <v>1239.0899999999999</v>
      </c>
      <c r="X622">
        <f>IF(Source!BI144=2,H621, 0)</f>
        <v>0</v>
      </c>
      <c r="Y622">
        <f>IF(Source!BI144=3,H621, 0)</f>
        <v>0</v>
      </c>
      <c r="Z622">
        <f>IF(Source!BI144=4,H621, 0)</f>
        <v>0</v>
      </c>
    </row>
    <row r="623" spans="1:26" ht="28.5" x14ac:dyDescent="0.2">
      <c r="A623" s="53">
        <v>101</v>
      </c>
      <c r="B623" s="53" t="str">
        <f>Source!F145</f>
        <v>06-03-004-12</v>
      </c>
      <c r="C623" s="53" t="str">
        <f>Source!G145</f>
        <v>Армирование подстилающих слоев и набетонок</v>
      </c>
      <c r="D623" s="36" t="str">
        <f>Source!H145</f>
        <v>т</v>
      </c>
      <c r="E623" s="10">
        <f>Source!I145</f>
        <v>0.21199999999999999</v>
      </c>
      <c r="F623" s="37">
        <f>Source!AL145+Source!AM145+Source!AO145</f>
        <v>418.83000000000004</v>
      </c>
      <c r="G623" s="38"/>
      <c r="H623" s="37"/>
      <c r="I623" s="38" t="str">
        <f>Source!BO145</f>
        <v/>
      </c>
      <c r="J623" s="38"/>
      <c r="K623" s="37"/>
      <c r="L623" s="39"/>
      <c r="S623">
        <f>ROUND((Source!FX145/100)*((ROUND(Source!AF145*Source!I145, 2)+ROUND(Source!AE145*Source!I145, 2))), 2)</f>
        <v>30.75</v>
      </c>
      <c r="T623">
        <f>Source!X145</f>
        <v>938.96</v>
      </c>
      <c r="U623">
        <f>ROUND((Source!FY145/100)*((ROUND(Source!AF145*Source!I145, 2)+ROUND(Source!AE145*Source!I145, 2))), 2)</f>
        <v>14.86</v>
      </c>
      <c r="V623">
        <f>Source!Y145</f>
        <v>453.83</v>
      </c>
    </row>
    <row r="624" spans="1:26" ht="14.25" x14ac:dyDescent="0.2">
      <c r="A624" s="53"/>
      <c r="B624" s="53"/>
      <c r="C624" s="53" t="s">
        <v>1132</v>
      </c>
      <c r="D624" s="36"/>
      <c r="E624" s="10"/>
      <c r="F624" s="37">
        <f>Source!AO145</f>
        <v>102.78</v>
      </c>
      <c r="G624" s="38" t="str">
        <f>Source!DG145</f>
        <v>)*1,15)*1,15</v>
      </c>
      <c r="H624" s="37">
        <f>ROUND(Source!AF145*Source!I145, 2)</f>
        <v>28.82</v>
      </c>
      <c r="I624" s="38"/>
      <c r="J624" s="38">
        <f>IF(Source!BA145&lt;&gt; 0, Source!BA145, 1)</f>
        <v>30.54</v>
      </c>
      <c r="K624" s="37">
        <f>Source!S145</f>
        <v>880.08</v>
      </c>
      <c r="L624" s="39"/>
      <c r="R624">
        <f>H624</f>
        <v>28.82</v>
      </c>
    </row>
    <row r="625" spans="1:26" ht="14.25" x14ac:dyDescent="0.2">
      <c r="A625" s="53"/>
      <c r="B625" s="53"/>
      <c r="C625" s="53" t="s">
        <v>616</v>
      </c>
      <c r="D625" s="36"/>
      <c r="E625" s="10"/>
      <c r="F625" s="37">
        <f>Source!AM145</f>
        <v>30.45</v>
      </c>
      <c r="G625" s="38" t="str">
        <f>Source!DE145</f>
        <v>)*1,25)*1,15</v>
      </c>
      <c r="H625" s="37">
        <f>ROUND((((((Source!ET145*1.25)*1.15))-(((Source!EU145*1.25)*1.15)))+Source!AE145)*Source!I145, 2)</f>
        <v>9.2799999999999994</v>
      </c>
      <c r="I625" s="38"/>
      <c r="J625" s="38">
        <f>IF(Source!BB145&lt;&gt; 0, Source!BB145, 1)</f>
        <v>12.13</v>
      </c>
      <c r="K625" s="37">
        <f>Source!Q145</f>
        <v>112.54</v>
      </c>
      <c r="L625" s="39"/>
    </row>
    <row r="626" spans="1:26" ht="14.25" x14ac:dyDescent="0.2">
      <c r="A626" s="53"/>
      <c r="B626" s="53"/>
      <c r="C626" s="53" t="s">
        <v>1138</v>
      </c>
      <c r="D626" s="36"/>
      <c r="E626" s="10"/>
      <c r="F626" s="37">
        <f>Source!AN145</f>
        <v>4.3499999999999996</v>
      </c>
      <c r="G626" s="38" t="str">
        <f>Source!DF145</f>
        <v>)*1,25)*1,15</v>
      </c>
      <c r="H626" s="47">
        <f>ROUND(Source!AE145*Source!I145, 2)</f>
        <v>1.33</v>
      </c>
      <c r="I626" s="38"/>
      <c r="J626" s="38">
        <f>IF(Source!BS145&lt;&gt; 0, Source!BS145, 1)</f>
        <v>30.54</v>
      </c>
      <c r="K626" s="47">
        <f>Source!R145</f>
        <v>40.47</v>
      </c>
      <c r="L626" s="39"/>
      <c r="R626">
        <f>H626</f>
        <v>1.33</v>
      </c>
    </row>
    <row r="627" spans="1:26" ht="14.25" x14ac:dyDescent="0.2">
      <c r="A627" s="53"/>
      <c r="B627" s="53"/>
      <c r="C627" s="53" t="s">
        <v>1139</v>
      </c>
      <c r="D627" s="36"/>
      <c r="E627" s="10"/>
      <c r="F627" s="37">
        <f>Source!AL145</f>
        <v>285.60000000000002</v>
      </c>
      <c r="G627" s="38" t="str">
        <f>Source!DD145</f>
        <v/>
      </c>
      <c r="H627" s="37">
        <f>ROUND(Source!AC145*Source!I145, 2)</f>
        <v>60.55</v>
      </c>
      <c r="I627" s="38"/>
      <c r="J627" s="38">
        <f>IF(Source!BC145&lt;&gt; 0, Source!BC145, 1)</f>
        <v>8.7100000000000009</v>
      </c>
      <c r="K627" s="37">
        <f>Source!P145</f>
        <v>527.37</v>
      </c>
      <c r="L627" s="39"/>
    </row>
    <row r="628" spans="1:26" ht="14.25" x14ac:dyDescent="0.2">
      <c r="A628" s="53"/>
      <c r="B628" s="53"/>
      <c r="C628" s="53" t="s">
        <v>1133</v>
      </c>
      <c r="D628" s="36" t="s">
        <v>1134</v>
      </c>
      <c r="E628" s="10">
        <f>Source!BZ145</f>
        <v>102</v>
      </c>
      <c r="F628" s="55"/>
      <c r="G628" s="38"/>
      <c r="H628" s="37">
        <f>SUM(S623:S630)</f>
        <v>30.75</v>
      </c>
      <c r="I628" s="40"/>
      <c r="J628" s="35">
        <f>Source!AT145</f>
        <v>102</v>
      </c>
      <c r="K628" s="37">
        <f>SUM(T623:T630)</f>
        <v>938.96</v>
      </c>
      <c r="L628" s="39"/>
    </row>
    <row r="629" spans="1:26" ht="14.25" x14ac:dyDescent="0.2">
      <c r="A629" s="53"/>
      <c r="B629" s="53"/>
      <c r="C629" s="53" t="s">
        <v>1135</v>
      </c>
      <c r="D629" s="36" t="s">
        <v>1134</v>
      </c>
      <c r="E629" s="10">
        <f>Source!CA145</f>
        <v>58</v>
      </c>
      <c r="F629" s="65" t="str">
        <f>CONCATENATE(" )", Source!DM145, Source!FU145, "=", Source!FY145)</f>
        <v xml:space="preserve"> ))*0,85=49,3</v>
      </c>
      <c r="G629" s="66"/>
      <c r="H629" s="37">
        <f>SUM(U623:U630)</f>
        <v>14.86</v>
      </c>
      <c r="I629" s="40"/>
      <c r="J629" s="35">
        <f>Source!AU145</f>
        <v>49.3</v>
      </c>
      <c r="K629" s="37">
        <f>SUM(V623:V630)</f>
        <v>453.83</v>
      </c>
      <c r="L629" s="39"/>
    </row>
    <row r="630" spans="1:26" ht="14.25" x14ac:dyDescent="0.2">
      <c r="A630" s="54"/>
      <c r="B630" s="54"/>
      <c r="C630" s="54" t="s">
        <v>1136</v>
      </c>
      <c r="D630" s="41" t="s">
        <v>1137</v>
      </c>
      <c r="E630" s="42">
        <f>Source!AQ145</f>
        <v>11.6</v>
      </c>
      <c r="F630" s="43"/>
      <c r="G630" s="44" t="str">
        <f>Source!DI145</f>
        <v>)*1,15)*1,15</v>
      </c>
      <c r="H630" s="43"/>
      <c r="I630" s="44"/>
      <c r="J630" s="44"/>
      <c r="K630" s="43"/>
      <c r="L630" s="45">
        <f>Source!U145</f>
        <v>3.2522919999999989</v>
      </c>
    </row>
    <row r="631" spans="1:26" ht="15" x14ac:dyDescent="0.25">
      <c r="G631" s="62">
        <f>H624+H625+H627+H628+H629</f>
        <v>144.26</v>
      </c>
      <c r="H631" s="62"/>
      <c r="J631" s="62">
        <f>K624+K625+K627+K628+K629</f>
        <v>2912.7799999999997</v>
      </c>
      <c r="K631" s="62"/>
      <c r="L631" s="46">
        <f>Source!U145</f>
        <v>3.2522919999999989</v>
      </c>
      <c r="O631" s="30">
        <f>G631</f>
        <v>144.26</v>
      </c>
      <c r="P631" s="30">
        <f>J631</f>
        <v>2912.7799999999997</v>
      </c>
      <c r="Q631" s="30">
        <f>L631</f>
        <v>3.2522919999999989</v>
      </c>
      <c r="W631">
        <f>IF(Source!BI145&lt;=1,H624+H625+H627+H628+H629, 0)</f>
        <v>144.26</v>
      </c>
      <c r="X631">
        <f>IF(Source!BI145=2,H624+H625+H627+H628+H629, 0)</f>
        <v>0</v>
      </c>
      <c r="Y631">
        <f>IF(Source!BI145=3,H624+H625+H627+H628+H629, 0)</f>
        <v>0</v>
      </c>
      <c r="Z631">
        <f>IF(Source!BI145=4,H624+H625+H627+H628+H629, 0)</f>
        <v>0</v>
      </c>
    </row>
    <row r="632" spans="1:26" ht="42.75" x14ac:dyDescent="0.2">
      <c r="A632" s="54">
        <v>102</v>
      </c>
      <c r="B632" s="54" t="str">
        <f>Source!F146</f>
        <v>Цена Поставщика</v>
      </c>
      <c r="C632" s="54" t="s">
        <v>1172</v>
      </c>
      <c r="D632" s="41" t="str">
        <f>Source!H146</f>
        <v>м2</v>
      </c>
      <c r="E632" s="42">
        <f>Source!I146</f>
        <v>126.72</v>
      </c>
      <c r="F632" s="43">
        <f>Source!AL146</f>
        <v>13.319999999999999</v>
      </c>
      <c r="G632" s="44" t="str">
        <f>Source!DD146</f>
        <v/>
      </c>
      <c r="H632" s="43">
        <f>ROUND(Source!AC146*Source!I146, 2)</f>
        <v>1687.91</v>
      </c>
      <c r="I632" s="44" t="str">
        <f>Source!BO146</f>
        <v/>
      </c>
      <c r="J632" s="44">
        <f>IF(Source!BC146&lt;&gt; 0, Source!BC146, 1)</f>
        <v>8.7100000000000009</v>
      </c>
      <c r="K632" s="43">
        <f>Source!P146</f>
        <v>14701.7</v>
      </c>
      <c r="L632" s="50"/>
      <c r="S632">
        <f>ROUND((Source!FX146/100)*((ROUND(Source!AF146*Source!I146, 2)+ROUND(Source!AE146*Source!I146, 2))), 2)</f>
        <v>0</v>
      </c>
      <c r="T632">
        <f>Source!X146</f>
        <v>0</v>
      </c>
      <c r="U632">
        <f>ROUND((Source!FY146/100)*((ROUND(Source!AF146*Source!I146, 2)+ROUND(Source!AE146*Source!I146, 2))), 2)</f>
        <v>0</v>
      </c>
      <c r="V632">
        <f>Source!Y146</f>
        <v>0</v>
      </c>
    </row>
    <row r="633" spans="1:26" ht="15" x14ac:dyDescent="0.25">
      <c r="G633" s="62">
        <f>H632</f>
        <v>1687.91</v>
      </c>
      <c r="H633" s="62"/>
      <c r="J633" s="62">
        <f>K632</f>
        <v>14701.7</v>
      </c>
      <c r="K633" s="62"/>
      <c r="L633" s="46">
        <f>Source!U146</f>
        <v>0</v>
      </c>
      <c r="O633" s="30">
        <f>G633</f>
        <v>1687.91</v>
      </c>
      <c r="P633" s="30">
        <f>J633</f>
        <v>14701.7</v>
      </c>
      <c r="Q633" s="30">
        <f>L633</f>
        <v>0</v>
      </c>
      <c r="W633">
        <f>IF(Source!BI146&lt;=1,H632, 0)</f>
        <v>1687.91</v>
      </c>
      <c r="X633">
        <f>IF(Source!BI146=2,H632, 0)</f>
        <v>0</v>
      </c>
      <c r="Y633">
        <f>IF(Source!BI146=3,H632, 0)</f>
        <v>0</v>
      </c>
      <c r="Z633">
        <f>IF(Source!BI146=4,H632, 0)</f>
        <v>0</v>
      </c>
    </row>
    <row r="634" spans="1:26" ht="28.5" x14ac:dyDescent="0.2">
      <c r="A634" s="53">
        <v>103</v>
      </c>
      <c r="B634" s="53" t="str">
        <f>Source!F147</f>
        <v>06-01-001-01</v>
      </c>
      <c r="C634" s="53" t="str">
        <f>Source!G147</f>
        <v>Устройство бетонной подготовки</v>
      </c>
      <c r="D634" s="36" t="str">
        <f>Source!H147</f>
        <v>100 м3</v>
      </c>
      <c r="E634" s="10">
        <f>Source!I147</f>
        <v>0.13824</v>
      </c>
      <c r="F634" s="37">
        <f>Source!AL147+Source!AM147+Source!AO147</f>
        <v>3528.33</v>
      </c>
      <c r="G634" s="38"/>
      <c r="H634" s="37"/>
      <c r="I634" s="38" t="str">
        <f>Source!BO147</f>
        <v/>
      </c>
      <c r="J634" s="38"/>
      <c r="K634" s="37"/>
      <c r="L634" s="39"/>
      <c r="S634">
        <f>ROUND((Source!FX147/100)*((ROUND(Source!AF147*Source!I147, 2)+ROUND(Source!AE147*Source!I147, 2))), 2)</f>
        <v>245.9</v>
      </c>
      <c r="T634">
        <f>Source!X147</f>
        <v>7509.74</v>
      </c>
      <c r="U634">
        <f>ROUND((Source!FY147/100)*((ROUND(Source!AF147*Source!I147, 2)+ROUND(Source!AE147*Source!I147, 2))), 2)</f>
        <v>118.85</v>
      </c>
      <c r="V634">
        <f>Source!Y147</f>
        <v>3629.71</v>
      </c>
    </row>
    <row r="635" spans="1:26" ht="14.25" x14ac:dyDescent="0.2">
      <c r="A635" s="53"/>
      <c r="B635" s="53"/>
      <c r="C635" s="53" t="s">
        <v>1132</v>
      </c>
      <c r="D635" s="36"/>
      <c r="E635" s="10"/>
      <c r="F635" s="37">
        <f>Source!AO147</f>
        <v>1053</v>
      </c>
      <c r="G635" s="38" t="str">
        <f>Source!DG147</f>
        <v>)*1,15)*1,15</v>
      </c>
      <c r="H635" s="37">
        <f>ROUND(Source!AF147*Source!I147, 2)</f>
        <v>192.51</v>
      </c>
      <c r="I635" s="38"/>
      <c r="J635" s="38">
        <f>IF(Source!BA147&lt;&gt; 0, Source!BA147, 1)</f>
        <v>30.54</v>
      </c>
      <c r="K635" s="37">
        <f>Source!S147</f>
        <v>5879.31</v>
      </c>
      <c r="L635" s="39"/>
      <c r="R635">
        <f>H635</f>
        <v>192.51</v>
      </c>
    </row>
    <row r="636" spans="1:26" ht="14.25" x14ac:dyDescent="0.2">
      <c r="A636" s="53"/>
      <c r="B636" s="53"/>
      <c r="C636" s="53" t="s">
        <v>616</v>
      </c>
      <c r="D636" s="36"/>
      <c r="E636" s="10"/>
      <c r="F636" s="37">
        <f>Source!AM147</f>
        <v>1566.06</v>
      </c>
      <c r="G636" s="38" t="str">
        <f>Source!DE147</f>
        <v>)*1,25)*1,15</v>
      </c>
      <c r="H636" s="37">
        <f>ROUND((((((Source!ET147*1.25)*1.15))-(((Source!EU147*1.25)*1.15)))+Source!AE147)*Source!I147, 2)</f>
        <v>311.20999999999998</v>
      </c>
      <c r="I636" s="38"/>
      <c r="J636" s="38">
        <f>IF(Source!BB147&lt;&gt; 0, Source!BB147, 1)</f>
        <v>12.13</v>
      </c>
      <c r="K636" s="37">
        <f>Source!Q147</f>
        <v>3774.94</v>
      </c>
      <c r="L636" s="39"/>
    </row>
    <row r="637" spans="1:26" ht="14.25" x14ac:dyDescent="0.2">
      <c r="A637" s="53"/>
      <c r="B637" s="53"/>
      <c r="C637" s="53" t="s">
        <v>1138</v>
      </c>
      <c r="D637" s="36"/>
      <c r="E637" s="10"/>
      <c r="F637" s="37">
        <f>Source!AN147</f>
        <v>244.39</v>
      </c>
      <c r="G637" s="38" t="str">
        <f>Source!DF147</f>
        <v>)*1,25)*1,15</v>
      </c>
      <c r="H637" s="47">
        <f>ROUND(Source!AE147*Source!I147, 2)</f>
        <v>48.57</v>
      </c>
      <c r="I637" s="38"/>
      <c r="J637" s="38">
        <f>IF(Source!BS147&lt;&gt; 0, Source!BS147, 1)</f>
        <v>30.54</v>
      </c>
      <c r="K637" s="47">
        <f>Source!R147</f>
        <v>1483.18</v>
      </c>
      <c r="L637" s="39"/>
      <c r="R637">
        <f>H637</f>
        <v>48.57</v>
      </c>
    </row>
    <row r="638" spans="1:26" ht="14.25" x14ac:dyDescent="0.2">
      <c r="A638" s="53"/>
      <c r="B638" s="53"/>
      <c r="C638" s="53" t="s">
        <v>1139</v>
      </c>
      <c r="D638" s="36"/>
      <c r="E638" s="10"/>
      <c r="F638" s="37">
        <f>Source!AL147</f>
        <v>909.27</v>
      </c>
      <c r="G638" s="38" t="str">
        <f>Source!DD147</f>
        <v/>
      </c>
      <c r="H638" s="37">
        <f>ROUND(Source!AC147*Source!I147, 2)</f>
        <v>125.7</v>
      </c>
      <c r="I638" s="38"/>
      <c r="J638" s="38">
        <f>IF(Source!BC147&lt;&gt; 0, Source!BC147, 1)</f>
        <v>8.7100000000000009</v>
      </c>
      <c r="K638" s="37">
        <f>Source!P147</f>
        <v>1094.83</v>
      </c>
      <c r="L638" s="39"/>
    </row>
    <row r="639" spans="1:26" ht="14.25" x14ac:dyDescent="0.2">
      <c r="A639" s="53"/>
      <c r="B639" s="53"/>
      <c r="C639" s="53" t="s">
        <v>1133</v>
      </c>
      <c r="D639" s="36" t="s">
        <v>1134</v>
      </c>
      <c r="E639" s="10">
        <f>Source!BZ147</f>
        <v>102</v>
      </c>
      <c r="F639" s="55"/>
      <c r="G639" s="38"/>
      <c r="H639" s="37">
        <f>SUM(S634:S641)</f>
        <v>245.9</v>
      </c>
      <c r="I639" s="40"/>
      <c r="J639" s="35">
        <f>Source!AT147</f>
        <v>102</v>
      </c>
      <c r="K639" s="37">
        <f>SUM(T634:T641)</f>
        <v>7509.74</v>
      </c>
      <c r="L639" s="39"/>
    </row>
    <row r="640" spans="1:26" ht="14.25" x14ac:dyDescent="0.2">
      <c r="A640" s="53"/>
      <c r="B640" s="53"/>
      <c r="C640" s="53" t="s">
        <v>1135</v>
      </c>
      <c r="D640" s="36" t="s">
        <v>1134</v>
      </c>
      <c r="E640" s="10">
        <f>Source!CA147</f>
        <v>58</v>
      </c>
      <c r="F640" s="65" t="str">
        <f>CONCATENATE(" )", Source!DM147, Source!FU147, "=", Source!FY147)</f>
        <v xml:space="preserve"> ))*0,85=49,3</v>
      </c>
      <c r="G640" s="66"/>
      <c r="H640" s="37">
        <f>SUM(U634:U641)</f>
        <v>118.85</v>
      </c>
      <c r="I640" s="40"/>
      <c r="J640" s="35">
        <f>Source!AU147</f>
        <v>49.3</v>
      </c>
      <c r="K640" s="37">
        <f>SUM(V634:V641)</f>
        <v>3629.71</v>
      </c>
      <c r="L640" s="39"/>
    </row>
    <row r="641" spans="1:29" ht="14.25" x14ac:dyDescent="0.2">
      <c r="A641" s="54"/>
      <c r="B641" s="54"/>
      <c r="C641" s="54" t="s">
        <v>1136</v>
      </c>
      <c r="D641" s="41" t="s">
        <v>1137</v>
      </c>
      <c r="E641" s="42">
        <f>Source!AQ147</f>
        <v>135</v>
      </c>
      <c r="F641" s="43"/>
      <c r="G641" s="44" t="str">
        <f>Source!DI147</f>
        <v>)*1,15)*1,15</v>
      </c>
      <c r="H641" s="43"/>
      <c r="I641" s="44"/>
      <c r="J641" s="44"/>
      <c r="K641" s="43"/>
      <c r="L641" s="45">
        <f>Source!U147</f>
        <v>24.681024000000001</v>
      </c>
    </row>
    <row r="642" spans="1:29" ht="15" x14ac:dyDescent="0.25">
      <c r="G642" s="62">
        <f>H635+H636+H638+H639+H640</f>
        <v>994.17</v>
      </c>
      <c r="H642" s="62"/>
      <c r="J642" s="62">
        <f>K635+K636+K638+K639+K640</f>
        <v>21888.53</v>
      </c>
      <c r="K642" s="62"/>
      <c r="L642" s="46">
        <f>Source!U147</f>
        <v>24.681024000000001</v>
      </c>
      <c r="O642" s="30">
        <f>G642</f>
        <v>994.17</v>
      </c>
      <c r="P642" s="30">
        <f>J642</f>
        <v>21888.53</v>
      </c>
      <c r="Q642" s="30">
        <f>L642</f>
        <v>24.681024000000001</v>
      </c>
      <c r="W642">
        <f>IF(Source!BI147&lt;=1,H635+H636+H638+H639+H640, 0)</f>
        <v>994.17</v>
      </c>
      <c r="X642">
        <f>IF(Source!BI147=2,H635+H636+H638+H639+H640, 0)</f>
        <v>0</v>
      </c>
      <c r="Y642">
        <f>IF(Source!BI147=3,H635+H636+H638+H639+H640, 0)</f>
        <v>0</v>
      </c>
      <c r="Z642">
        <f>IF(Source!BI147=4,H635+H636+H638+H639+H640, 0)</f>
        <v>0</v>
      </c>
    </row>
    <row r="643" spans="1:29" ht="42.75" x14ac:dyDescent="0.2">
      <c r="A643" s="53">
        <v>104</v>
      </c>
      <c r="B643" s="53" t="str">
        <f>Source!F148</f>
        <v>Цена Поставщика</v>
      </c>
      <c r="C643" s="53" t="s">
        <v>1173</v>
      </c>
      <c r="D643" s="36" t="str">
        <f>Source!H148</f>
        <v>м3</v>
      </c>
      <c r="E643" s="10">
        <f>Source!I148</f>
        <v>14.100479999999999</v>
      </c>
      <c r="F643" s="37">
        <f>Source!AL148</f>
        <v>416.19</v>
      </c>
      <c r="G643" s="38" t="str">
        <f>Source!DD148</f>
        <v/>
      </c>
      <c r="H643" s="37">
        <f>ROUND(Source!AC148*Source!I148, 2)</f>
        <v>5868.48</v>
      </c>
      <c r="I643" s="38" t="str">
        <f>Source!BO148</f>
        <v/>
      </c>
      <c r="J643" s="38">
        <f>IF(Source!BC148&lt;&gt; 0, Source!BC148, 1)</f>
        <v>8.7100000000000009</v>
      </c>
      <c r="K643" s="37">
        <f>Source!P148</f>
        <v>51114.45</v>
      </c>
      <c r="L643" s="39"/>
      <c r="S643">
        <f>ROUND((Source!FX148/100)*((ROUND(Source!AF148*Source!I148, 2)+ROUND(Source!AE148*Source!I148, 2))), 2)</f>
        <v>0</v>
      </c>
      <c r="T643">
        <f>Source!X148</f>
        <v>0</v>
      </c>
      <c r="U643">
        <f>ROUND((Source!FY148/100)*((ROUND(Source!AF148*Source!I148, 2)+ROUND(Source!AE148*Source!I148, 2))), 2)</f>
        <v>0</v>
      </c>
      <c r="V643">
        <f>Source!Y148</f>
        <v>0</v>
      </c>
    </row>
    <row r="644" spans="1:29" x14ac:dyDescent="0.2">
      <c r="A644" s="32"/>
      <c r="B644" s="32"/>
      <c r="C644" s="33" t="str">
        <f>"Объем: "&amp;Source!I148&amp;"="&amp;Source!I147&amp;"*"&amp;"102"</f>
        <v>Объем: 14,10048=0,13824*102</v>
      </c>
      <c r="D644" s="32"/>
      <c r="E644" s="32"/>
      <c r="F644" s="32"/>
      <c r="G644" s="32"/>
      <c r="H644" s="32"/>
      <c r="I644" s="32"/>
      <c r="J644" s="32"/>
      <c r="K644" s="32"/>
      <c r="L644" s="32"/>
    </row>
    <row r="645" spans="1:29" ht="15" x14ac:dyDescent="0.25">
      <c r="G645" s="62">
        <f>H643</f>
        <v>5868.48</v>
      </c>
      <c r="H645" s="62"/>
      <c r="J645" s="62">
        <f>K643</f>
        <v>51114.45</v>
      </c>
      <c r="K645" s="62"/>
      <c r="L645" s="46">
        <f>Source!U148</f>
        <v>0</v>
      </c>
      <c r="O645" s="30">
        <f>G645</f>
        <v>5868.48</v>
      </c>
      <c r="P645" s="30">
        <f>J645</f>
        <v>51114.45</v>
      </c>
      <c r="Q645" s="30">
        <f>L645</f>
        <v>0</v>
      </c>
      <c r="W645">
        <f>IF(Source!BI148&lt;=1,H643, 0)</f>
        <v>5868.48</v>
      </c>
      <c r="X645">
        <f>IF(Source!BI148=2,H643, 0)</f>
        <v>0</v>
      </c>
      <c r="Y645">
        <f>IF(Source!BI148=3,H643, 0)</f>
        <v>0</v>
      </c>
      <c r="Z645">
        <f>IF(Source!BI148=4,H643, 0)</f>
        <v>0</v>
      </c>
    </row>
    <row r="646" spans="1:29" ht="42.75" x14ac:dyDescent="0.2">
      <c r="A646" s="54">
        <v>105</v>
      </c>
      <c r="B646" s="54" t="str">
        <f>Source!F149</f>
        <v>Цена Поставщика</v>
      </c>
      <c r="C646" s="54" t="s">
        <v>1174</v>
      </c>
      <c r="D646" s="41" t="str">
        <f>Source!H149</f>
        <v>м3</v>
      </c>
      <c r="E646" s="42">
        <f>Source!I149</f>
        <v>0.1128</v>
      </c>
      <c r="F646" s="43">
        <f>Source!AL149</f>
        <v>1639.5</v>
      </c>
      <c r="G646" s="44" t="str">
        <f>Source!DD149</f>
        <v/>
      </c>
      <c r="H646" s="43">
        <f>ROUND(Source!AC149*Source!I149, 2)</f>
        <v>184.94</v>
      </c>
      <c r="I646" s="44" t="str">
        <f>Source!BO149</f>
        <v/>
      </c>
      <c r="J646" s="44">
        <f>IF(Source!BC149&lt;&gt; 0, Source!BC149, 1)</f>
        <v>8.7100000000000009</v>
      </c>
      <c r="K646" s="43">
        <f>Source!P149</f>
        <v>1610.79</v>
      </c>
      <c r="L646" s="50"/>
      <c r="S646">
        <f>ROUND((Source!FX149/100)*((ROUND(Source!AF149*Source!I149, 2)+ROUND(Source!AE149*Source!I149, 2))), 2)</f>
        <v>0</v>
      </c>
      <c r="T646">
        <f>Source!X149</f>
        <v>0</v>
      </c>
      <c r="U646">
        <f>ROUND((Source!FY149/100)*((ROUND(Source!AF149*Source!I149, 2)+ROUND(Source!AE149*Source!I149, 2))), 2)</f>
        <v>0</v>
      </c>
      <c r="V646">
        <f>Source!Y149</f>
        <v>0</v>
      </c>
    </row>
    <row r="647" spans="1:29" ht="15" x14ac:dyDescent="0.25">
      <c r="G647" s="62">
        <f>H646</f>
        <v>184.94</v>
      </c>
      <c r="H647" s="62"/>
      <c r="J647" s="62">
        <f>K646</f>
        <v>1610.79</v>
      </c>
      <c r="K647" s="62"/>
      <c r="L647" s="46">
        <f>Source!U149</f>
        <v>0</v>
      </c>
      <c r="O647" s="30">
        <f>G647</f>
        <v>184.94</v>
      </c>
      <c r="P647" s="30">
        <f>J647</f>
        <v>1610.79</v>
      </c>
      <c r="Q647" s="30">
        <f>L647</f>
        <v>0</v>
      </c>
      <c r="W647">
        <f>IF(Source!BI149&lt;=1,H646, 0)</f>
        <v>184.94</v>
      </c>
      <c r="X647">
        <f>IF(Source!BI149=2,H646, 0)</f>
        <v>0</v>
      </c>
      <c r="Y647">
        <f>IF(Source!BI149=3,H646, 0)</f>
        <v>0</v>
      </c>
      <c r="Z647">
        <f>IF(Source!BI149=4,H646, 0)</f>
        <v>0</v>
      </c>
    </row>
    <row r="648" spans="1:29" ht="42.75" x14ac:dyDescent="0.2">
      <c r="A648" s="54">
        <v>106</v>
      </c>
      <c r="B648" s="54" t="str">
        <f>Source!F150</f>
        <v>Цена Поставщика</v>
      </c>
      <c r="C648" s="54" t="s">
        <v>1175</v>
      </c>
      <c r="D648" s="41" t="str">
        <f>Source!H150</f>
        <v>кг</v>
      </c>
      <c r="E648" s="42">
        <f>Source!I150</f>
        <v>0.28199999999999997</v>
      </c>
      <c r="F648" s="43">
        <f>Source!AL150</f>
        <v>10.35</v>
      </c>
      <c r="G648" s="44" t="str">
        <f>Source!DD150</f>
        <v/>
      </c>
      <c r="H648" s="43">
        <f>ROUND(Source!AC150*Source!I150, 2)</f>
        <v>2.92</v>
      </c>
      <c r="I648" s="44" t="str">
        <f>Source!BO150</f>
        <v/>
      </c>
      <c r="J648" s="44">
        <f>IF(Source!BC150&lt;&gt; 0, Source!BC150, 1)</f>
        <v>8.7100000000000009</v>
      </c>
      <c r="K648" s="43">
        <f>Source!P150</f>
        <v>25.42</v>
      </c>
      <c r="L648" s="50"/>
      <c r="S648">
        <f>ROUND((Source!FX150/100)*((ROUND(Source!AF150*Source!I150, 2)+ROUND(Source!AE150*Source!I150, 2))), 2)</f>
        <v>0</v>
      </c>
      <c r="T648">
        <f>Source!X150</f>
        <v>0</v>
      </c>
      <c r="U648">
        <f>ROUND((Source!FY150/100)*((ROUND(Source!AF150*Source!I150, 2)+ROUND(Source!AE150*Source!I150, 2))), 2)</f>
        <v>0</v>
      </c>
      <c r="V648">
        <f>Source!Y150</f>
        <v>0</v>
      </c>
    </row>
    <row r="649" spans="1:29" ht="15" x14ac:dyDescent="0.25">
      <c r="G649" s="62">
        <f>H648</f>
        <v>2.92</v>
      </c>
      <c r="H649" s="62"/>
      <c r="J649" s="62">
        <f>K648</f>
        <v>25.42</v>
      </c>
      <c r="K649" s="62"/>
      <c r="L649" s="46">
        <f>Source!U150</f>
        <v>0</v>
      </c>
      <c r="O649" s="30">
        <f>G649</f>
        <v>2.92</v>
      </c>
      <c r="P649" s="30">
        <f>J649</f>
        <v>25.42</v>
      </c>
      <c r="Q649" s="30">
        <f>L649</f>
        <v>0</v>
      </c>
      <c r="W649">
        <f>IF(Source!BI150&lt;=1,H648, 0)</f>
        <v>2.92</v>
      </c>
      <c r="X649">
        <f>IF(Source!BI150=2,H648, 0)</f>
        <v>0</v>
      </c>
      <c r="Y649">
        <f>IF(Source!BI150=3,H648, 0)</f>
        <v>0</v>
      </c>
      <c r="Z649">
        <f>IF(Source!BI150=4,H648, 0)</f>
        <v>0</v>
      </c>
    </row>
    <row r="651" spans="1:29" ht="15" x14ac:dyDescent="0.25">
      <c r="B651" s="64" t="str">
        <f>Source!G151</f>
        <v>АКЗ консольных площадок, лестничного марша и ограждения межэтажного перехода</v>
      </c>
      <c r="C651" s="64"/>
      <c r="D651" s="64"/>
      <c r="E651" s="64"/>
      <c r="F651" s="64"/>
      <c r="G651" s="64"/>
      <c r="H651" s="64"/>
      <c r="I651" s="64"/>
      <c r="J651" s="64"/>
      <c r="K651" s="64"/>
      <c r="AC651" s="56" t="str">
        <f>Source!G151</f>
        <v>АКЗ консольных площадок, лестничного марша и ограждения межэтажного перехода</v>
      </c>
    </row>
    <row r="652" spans="1:29" ht="28.5" x14ac:dyDescent="0.2">
      <c r="A652" s="53">
        <v>107</v>
      </c>
      <c r="B652" s="53" t="str">
        <f>Source!F152</f>
        <v>62-47-1</v>
      </c>
      <c r="C652" s="53" t="str">
        <f>Source!G152</f>
        <v>Расчистка поверхностей шпателем, щетками от старых покрасок</v>
      </c>
      <c r="D652" s="36" t="str">
        <f>Source!H152</f>
        <v>м2</v>
      </c>
      <c r="E652" s="10">
        <f>Source!I152</f>
        <v>20</v>
      </c>
      <c r="F652" s="37">
        <f>Source!AL152+Source!AM152+Source!AO152</f>
        <v>4.38</v>
      </c>
      <c r="G652" s="38"/>
      <c r="H652" s="37"/>
      <c r="I652" s="38" t="str">
        <f>Source!BO152</f>
        <v/>
      </c>
      <c r="J652" s="38"/>
      <c r="K652" s="37"/>
      <c r="L652" s="39"/>
      <c r="S652">
        <f>ROUND((Source!FX152/100)*((ROUND(Source!AF152*Source!I152, 2)+ROUND(Source!AE152*Source!I152, 2))), 2)</f>
        <v>90.72</v>
      </c>
      <c r="T652">
        <f>Source!X152</f>
        <v>2770.59</v>
      </c>
      <c r="U652">
        <f>ROUND((Source!FY152/100)*((ROUND(Source!AF152*Source!I152, 2)+ROUND(Source!AE152*Source!I152, 2))), 2)</f>
        <v>46.37</v>
      </c>
      <c r="V652">
        <f>Source!Y152</f>
        <v>1416.08</v>
      </c>
    </row>
    <row r="653" spans="1:29" ht="14.25" x14ac:dyDescent="0.2">
      <c r="A653" s="53"/>
      <c r="B653" s="53"/>
      <c r="C653" s="53" t="s">
        <v>1132</v>
      </c>
      <c r="D653" s="36"/>
      <c r="E653" s="10"/>
      <c r="F653" s="37">
        <f>Source!AO152</f>
        <v>4.38</v>
      </c>
      <c r="G653" s="38" t="str">
        <f>Source!DG152</f>
        <v>)*1,15</v>
      </c>
      <c r="H653" s="37">
        <f>ROUND(Source!AF152*Source!I152, 2)</f>
        <v>100.8</v>
      </c>
      <c r="I653" s="38"/>
      <c r="J653" s="38">
        <f>IF(Source!BA152&lt;&gt; 0, Source!BA152, 1)</f>
        <v>30.54</v>
      </c>
      <c r="K653" s="37">
        <f>Source!S152</f>
        <v>3078.43</v>
      </c>
      <c r="L653" s="39"/>
      <c r="R653">
        <f>H653</f>
        <v>100.8</v>
      </c>
    </row>
    <row r="654" spans="1:29" ht="14.25" x14ac:dyDescent="0.2">
      <c r="A654" s="53"/>
      <c r="B654" s="53"/>
      <c r="C654" s="53" t="s">
        <v>1133</v>
      </c>
      <c r="D654" s="36" t="s">
        <v>1134</v>
      </c>
      <c r="E654" s="10">
        <f>Source!BZ152</f>
        <v>90</v>
      </c>
      <c r="F654" s="55"/>
      <c r="G654" s="38"/>
      <c r="H654" s="37">
        <f>SUM(S652:S656)</f>
        <v>90.72</v>
      </c>
      <c r="I654" s="40"/>
      <c r="J654" s="35">
        <f>Source!AT152</f>
        <v>90</v>
      </c>
      <c r="K654" s="37">
        <f>SUM(T652:T656)</f>
        <v>2770.59</v>
      </c>
      <c r="L654" s="39"/>
    </row>
    <row r="655" spans="1:29" ht="14.25" x14ac:dyDescent="0.2">
      <c r="A655" s="53"/>
      <c r="B655" s="53"/>
      <c r="C655" s="53" t="s">
        <v>1135</v>
      </c>
      <c r="D655" s="36" t="s">
        <v>1134</v>
      </c>
      <c r="E655" s="10">
        <f>Source!CA152</f>
        <v>46</v>
      </c>
      <c r="F655" s="55"/>
      <c r="G655" s="38"/>
      <c r="H655" s="37">
        <f>SUM(U652:U656)</f>
        <v>46.37</v>
      </c>
      <c r="I655" s="40"/>
      <c r="J655" s="35">
        <f>Source!AU152</f>
        <v>46</v>
      </c>
      <c r="K655" s="37">
        <f>SUM(V652:V656)</f>
        <v>1416.08</v>
      </c>
      <c r="L655" s="39"/>
    </row>
    <row r="656" spans="1:29" ht="14.25" x14ac:dyDescent="0.2">
      <c r="A656" s="54"/>
      <c r="B656" s="54"/>
      <c r="C656" s="54" t="s">
        <v>1136</v>
      </c>
      <c r="D656" s="41" t="s">
        <v>1137</v>
      </c>
      <c r="E656" s="42">
        <f>Source!AQ152</f>
        <v>0.57999999999999996</v>
      </c>
      <c r="F656" s="43"/>
      <c r="G656" s="44" t="str">
        <f>Source!DI152</f>
        <v>)*1,15</v>
      </c>
      <c r="H656" s="43"/>
      <c r="I656" s="44"/>
      <c r="J656" s="44"/>
      <c r="K656" s="43"/>
      <c r="L656" s="45">
        <f>Source!U152</f>
        <v>13.339999999999998</v>
      </c>
    </row>
    <row r="657" spans="1:26" ht="15" x14ac:dyDescent="0.25">
      <c r="G657" s="62">
        <f>H653+H654+H655</f>
        <v>237.89</v>
      </c>
      <c r="H657" s="62"/>
      <c r="J657" s="62">
        <f>K653+K654+K655</f>
        <v>7265.1</v>
      </c>
      <c r="K657" s="62"/>
      <c r="L657" s="46">
        <f>Source!U152</f>
        <v>13.339999999999998</v>
      </c>
      <c r="O657" s="30">
        <f>G657</f>
        <v>237.89</v>
      </c>
      <c r="P657" s="30">
        <f>J657</f>
        <v>7265.1</v>
      </c>
      <c r="Q657" s="30">
        <f>L657</f>
        <v>13.339999999999998</v>
      </c>
      <c r="W657">
        <f>IF(Source!BI152&lt;=1,H653+H654+H655, 0)</f>
        <v>237.89</v>
      </c>
      <c r="X657">
        <f>IF(Source!BI152=2,H653+H654+H655, 0)</f>
        <v>0</v>
      </c>
      <c r="Y657">
        <f>IF(Source!BI152=3,H653+H654+H655, 0)</f>
        <v>0</v>
      </c>
      <c r="Z657">
        <f>IF(Source!BI152=4,H653+H654+H655, 0)</f>
        <v>0</v>
      </c>
    </row>
    <row r="658" spans="1:26" ht="28.5" x14ac:dyDescent="0.2">
      <c r="A658" s="53">
        <v>108</v>
      </c>
      <c r="B658" s="53" t="str">
        <f>Source!F153</f>
        <v>13-06-004-01</v>
      </c>
      <c r="C658" s="53" t="str">
        <f>Source!G153</f>
        <v>Обеспыливание поверхности</v>
      </c>
      <c r="D658" s="36" t="str">
        <f>Source!H153</f>
        <v>м2</v>
      </c>
      <c r="E658" s="10">
        <f>Source!I153</f>
        <v>20</v>
      </c>
      <c r="F658" s="37">
        <f>Source!AL153+Source!AM153+Source!AO153</f>
        <v>0.92999999999999994</v>
      </c>
      <c r="G658" s="38"/>
      <c r="H658" s="37"/>
      <c r="I658" s="38" t="str">
        <f>Source!BO153</f>
        <v/>
      </c>
      <c r="J658" s="38"/>
      <c r="K658" s="37"/>
      <c r="L658" s="39"/>
      <c r="S658">
        <f>ROUND((Source!FX153/100)*((ROUND(Source!AF153*Source!I153, 2)+ROUND(Source!AE153*Source!I153, 2))), 2)</f>
        <v>14.85</v>
      </c>
      <c r="T658">
        <f>Source!X153</f>
        <v>453.58</v>
      </c>
      <c r="U658">
        <f>ROUND((Source!FY153/100)*((ROUND(Source!AF153*Source!I153, 2)+ROUND(Source!AE153*Source!I153, 2))), 2)</f>
        <v>6.85</v>
      </c>
      <c r="V658">
        <f>Source!Y153</f>
        <v>209.18</v>
      </c>
    </row>
    <row r="659" spans="1:26" ht="14.25" x14ac:dyDescent="0.2">
      <c r="A659" s="53"/>
      <c r="B659" s="53"/>
      <c r="C659" s="53" t="s">
        <v>1132</v>
      </c>
      <c r="D659" s="36"/>
      <c r="E659" s="10"/>
      <c r="F659" s="37">
        <f>Source!AO153</f>
        <v>0.6</v>
      </c>
      <c r="G659" s="38" t="str">
        <f>Source!DG153</f>
        <v>)*1,15)*1,15</v>
      </c>
      <c r="H659" s="37">
        <f>ROUND(Source!AF153*Source!I153, 2)</f>
        <v>15.8</v>
      </c>
      <c r="I659" s="38"/>
      <c r="J659" s="38">
        <f>IF(Source!BA153&lt;&gt; 0, Source!BA153, 1)</f>
        <v>30.54</v>
      </c>
      <c r="K659" s="37">
        <f>Source!S153</f>
        <v>482.53</v>
      </c>
      <c r="L659" s="39"/>
      <c r="R659">
        <f>H659</f>
        <v>15.8</v>
      </c>
    </row>
    <row r="660" spans="1:26" ht="14.25" x14ac:dyDescent="0.2">
      <c r="A660" s="53"/>
      <c r="B660" s="53"/>
      <c r="C660" s="53" t="s">
        <v>616</v>
      </c>
      <c r="D660" s="36"/>
      <c r="E660" s="10"/>
      <c r="F660" s="37">
        <f>Source!AM153</f>
        <v>0.33</v>
      </c>
      <c r="G660" s="38" t="str">
        <f>Source!DE153</f>
        <v>)*1,25)*1,15</v>
      </c>
      <c r="H660" s="37">
        <f>ROUND((((((Source!ET153*1.25)*1.15))-(((Source!EU153*1.25)*1.15)))+Source!AE153)*Source!I153, 2)</f>
        <v>9.49</v>
      </c>
      <c r="I660" s="38"/>
      <c r="J660" s="38">
        <f>IF(Source!BB153&lt;&gt; 0, Source!BB153, 1)</f>
        <v>12.13</v>
      </c>
      <c r="K660" s="37">
        <f>Source!Q153</f>
        <v>115.08</v>
      </c>
      <c r="L660" s="39"/>
    </row>
    <row r="661" spans="1:26" ht="14.25" x14ac:dyDescent="0.2">
      <c r="A661" s="53"/>
      <c r="B661" s="53"/>
      <c r="C661" s="53" t="s">
        <v>1133</v>
      </c>
      <c r="D661" s="36" t="s">
        <v>1134</v>
      </c>
      <c r="E661" s="10">
        <f>Source!BZ153</f>
        <v>94</v>
      </c>
      <c r="F661" s="55"/>
      <c r="G661" s="38"/>
      <c r="H661" s="37">
        <f>SUM(S658:S663)</f>
        <v>14.85</v>
      </c>
      <c r="I661" s="40"/>
      <c r="J661" s="35">
        <f>Source!AT153</f>
        <v>94</v>
      </c>
      <c r="K661" s="37">
        <f>SUM(T658:T663)</f>
        <v>453.58</v>
      </c>
      <c r="L661" s="39"/>
    </row>
    <row r="662" spans="1:26" ht="14.25" x14ac:dyDescent="0.2">
      <c r="A662" s="53"/>
      <c r="B662" s="53"/>
      <c r="C662" s="53" t="s">
        <v>1135</v>
      </c>
      <c r="D662" s="36" t="s">
        <v>1134</v>
      </c>
      <c r="E662" s="10">
        <f>Source!CA153</f>
        <v>51</v>
      </c>
      <c r="F662" s="65" t="str">
        <f>CONCATENATE(" )", Source!DM153, Source!FU153, "=", Source!FY153)</f>
        <v xml:space="preserve"> ))*0,85=43,35</v>
      </c>
      <c r="G662" s="66"/>
      <c r="H662" s="37">
        <f>SUM(U658:U663)</f>
        <v>6.85</v>
      </c>
      <c r="I662" s="40"/>
      <c r="J662" s="35">
        <f>Source!AU153</f>
        <v>43.35</v>
      </c>
      <c r="K662" s="37">
        <f>SUM(V658:V663)</f>
        <v>209.18</v>
      </c>
      <c r="L662" s="39"/>
    </row>
    <row r="663" spans="1:26" ht="14.25" x14ac:dyDescent="0.2">
      <c r="A663" s="54"/>
      <c r="B663" s="54"/>
      <c r="C663" s="54" t="s">
        <v>1136</v>
      </c>
      <c r="D663" s="41" t="s">
        <v>1137</v>
      </c>
      <c r="E663" s="42">
        <f>Source!AQ153</f>
        <v>7.0000000000000007E-2</v>
      </c>
      <c r="F663" s="43"/>
      <c r="G663" s="44" t="str">
        <f>Source!DI153</f>
        <v>)*1,15)*1,15</v>
      </c>
      <c r="H663" s="43"/>
      <c r="I663" s="44"/>
      <c r="J663" s="44"/>
      <c r="K663" s="43"/>
      <c r="L663" s="45">
        <f>Source!U153</f>
        <v>1.8514999999999997</v>
      </c>
    </row>
    <row r="664" spans="1:26" ht="15" x14ac:dyDescent="0.25">
      <c r="G664" s="62">
        <f>H659+H660+H661+H662</f>
        <v>46.99</v>
      </c>
      <c r="H664" s="62"/>
      <c r="J664" s="62">
        <f>K659+K660+K661+K662</f>
        <v>1260.3700000000001</v>
      </c>
      <c r="K664" s="62"/>
      <c r="L664" s="46">
        <f>Source!U153</f>
        <v>1.8514999999999997</v>
      </c>
      <c r="O664" s="30">
        <f>G664</f>
        <v>46.99</v>
      </c>
      <c r="P664" s="30">
        <f>J664</f>
        <v>1260.3700000000001</v>
      </c>
      <c r="Q664" s="30">
        <f>L664</f>
        <v>1.8514999999999997</v>
      </c>
      <c r="W664">
        <f>IF(Source!BI153&lt;=1,H659+H660+H661+H662, 0)</f>
        <v>46.99</v>
      </c>
      <c r="X664">
        <f>IF(Source!BI153=2,H659+H660+H661+H662, 0)</f>
        <v>0</v>
      </c>
      <c r="Y664">
        <f>IF(Source!BI153=3,H659+H660+H661+H662, 0)</f>
        <v>0</v>
      </c>
      <c r="Z664">
        <f>IF(Source!BI153=4,H659+H660+H661+H662, 0)</f>
        <v>0</v>
      </c>
    </row>
    <row r="665" spans="1:26" ht="42.75" x14ac:dyDescent="0.2">
      <c r="A665" s="53">
        <v>109</v>
      </c>
      <c r="B665" s="53" t="str">
        <f>Source!F154</f>
        <v>13-07-001-02</v>
      </c>
      <c r="C665" s="53" t="str">
        <f>Source!G154</f>
        <v>Обезжиривание поверхностей аппаратов и трубопроводов диаметром до 500 мм: уайт-спиритом</v>
      </c>
      <c r="D665" s="36" t="str">
        <f>Source!H154</f>
        <v>100 м2</v>
      </c>
      <c r="E665" s="10">
        <f>Source!I154</f>
        <v>0.2</v>
      </c>
      <c r="F665" s="37">
        <f>Source!AL154+Source!AM154+Source!AO154</f>
        <v>304.13</v>
      </c>
      <c r="G665" s="38"/>
      <c r="H665" s="37"/>
      <c r="I665" s="38" t="str">
        <f>Source!BO154</f>
        <v/>
      </c>
      <c r="J665" s="38"/>
      <c r="K665" s="37"/>
      <c r="L665" s="39"/>
      <c r="S665">
        <f>ROUND((Source!FX154/100)*((ROUND(Source!AF154*Source!I154, 2)+ROUND(Source!AE154*Source!I154, 2))), 2)</f>
        <v>19.82</v>
      </c>
      <c r="T665">
        <f>Source!X154</f>
        <v>605.27</v>
      </c>
      <c r="U665">
        <f>ROUND((Source!FY154/100)*((ROUND(Source!AF154*Source!I154, 2)+ROUND(Source!AE154*Source!I154, 2))), 2)</f>
        <v>9.14</v>
      </c>
      <c r="V665">
        <f>Source!Y154</f>
        <v>279.13</v>
      </c>
    </row>
    <row r="666" spans="1:26" x14ac:dyDescent="0.2">
      <c r="C666" s="31" t="str">
        <f>"Объем: "&amp;Source!I154&amp;"=20/"&amp;"100"</f>
        <v>Объем: 0,2=20/100</v>
      </c>
    </row>
    <row r="667" spans="1:26" ht="14.25" x14ac:dyDescent="0.2">
      <c r="A667" s="53"/>
      <c r="B667" s="53"/>
      <c r="C667" s="53" t="s">
        <v>1132</v>
      </c>
      <c r="D667" s="36"/>
      <c r="E667" s="10"/>
      <c r="F667" s="37">
        <f>Source!AO154</f>
        <v>79.36</v>
      </c>
      <c r="G667" s="38" t="str">
        <f>Source!DG154</f>
        <v>)*1,15)*1,15</v>
      </c>
      <c r="H667" s="37">
        <f>ROUND(Source!AF154*Source!I154, 2)</f>
        <v>20.99</v>
      </c>
      <c r="I667" s="38"/>
      <c r="J667" s="38">
        <f>IF(Source!BA154&lt;&gt; 0, Source!BA154, 1)</f>
        <v>30.54</v>
      </c>
      <c r="K667" s="37">
        <f>Source!S154</f>
        <v>641.03</v>
      </c>
      <c r="L667" s="39"/>
      <c r="R667">
        <f>H667</f>
        <v>20.99</v>
      </c>
    </row>
    <row r="668" spans="1:26" ht="14.25" x14ac:dyDescent="0.2">
      <c r="A668" s="53"/>
      <c r="B668" s="53"/>
      <c r="C668" s="53" t="s">
        <v>616</v>
      </c>
      <c r="D668" s="36"/>
      <c r="E668" s="10"/>
      <c r="F668" s="37">
        <f>Source!AM154</f>
        <v>2.23</v>
      </c>
      <c r="G668" s="38" t="str">
        <f>Source!DE154</f>
        <v>)*1,25)*1,15</v>
      </c>
      <c r="H668" s="37">
        <f>ROUND((((((Source!ET154*1.25)*1.15))-(((Source!EU154*1.25)*1.15)))+Source!AE154)*Source!I154, 2)</f>
        <v>0.64</v>
      </c>
      <c r="I668" s="38"/>
      <c r="J668" s="38">
        <f>IF(Source!BB154&lt;&gt; 0, Source!BB154, 1)</f>
        <v>12.13</v>
      </c>
      <c r="K668" s="37">
        <f>Source!Q154</f>
        <v>7.75</v>
      </c>
      <c r="L668" s="39"/>
    </row>
    <row r="669" spans="1:26" ht="14.25" x14ac:dyDescent="0.2">
      <c r="A669" s="53"/>
      <c r="B669" s="53"/>
      <c r="C669" s="53" t="s">
        <v>1138</v>
      </c>
      <c r="D669" s="36"/>
      <c r="E669" s="10"/>
      <c r="F669" s="37">
        <f>Source!AN154</f>
        <v>0.33</v>
      </c>
      <c r="G669" s="38" t="str">
        <f>Source!DF154</f>
        <v>)*1,25)*1,15</v>
      </c>
      <c r="H669" s="47">
        <f>ROUND(Source!AE154*Source!I154, 2)</f>
        <v>0.09</v>
      </c>
      <c r="I669" s="38"/>
      <c r="J669" s="38">
        <f>IF(Source!BS154&lt;&gt; 0, Source!BS154, 1)</f>
        <v>30.54</v>
      </c>
      <c r="K669" s="47">
        <f>Source!R154</f>
        <v>2.87</v>
      </c>
      <c r="L669" s="39"/>
      <c r="R669">
        <f>H669</f>
        <v>0.09</v>
      </c>
    </row>
    <row r="670" spans="1:26" ht="14.25" x14ac:dyDescent="0.2">
      <c r="A670" s="53"/>
      <c r="B670" s="53"/>
      <c r="C670" s="53" t="s">
        <v>1139</v>
      </c>
      <c r="D670" s="36"/>
      <c r="E670" s="10"/>
      <c r="F670" s="37">
        <f>Source!AL154</f>
        <v>222.54</v>
      </c>
      <c r="G670" s="38" t="str">
        <f>Source!DD154</f>
        <v/>
      </c>
      <c r="H670" s="37">
        <f>ROUND(Source!AC154*Source!I154, 2)</f>
        <v>44.51</v>
      </c>
      <c r="I670" s="38"/>
      <c r="J670" s="38">
        <f>IF(Source!BC154&lt;&gt; 0, Source!BC154, 1)</f>
        <v>8.7100000000000009</v>
      </c>
      <c r="K670" s="37">
        <f>Source!P154</f>
        <v>387.66</v>
      </c>
      <c r="L670" s="39"/>
    </row>
    <row r="671" spans="1:26" ht="14.25" x14ac:dyDescent="0.2">
      <c r="A671" s="53"/>
      <c r="B671" s="53"/>
      <c r="C671" s="53" t="s">
        <v>1133</v>
      </c>
      <c r="D671" s="36" t="s">
        <v>1134</v>
      </c>
      <c r="E671" s="10">
        <f>Source!BZ154</f>
        <v>94</v>
      </c>
      <c r="F671" s="55"/>
      <c r="G671" s="38"/>
      <c r="H671" s="37">
        <f>SUM(S665:S673)</f>
        <v>19.82</v>
      </c>
      <c r="I671" s="40"/>
      <c r="J671" s="35">
        <f>Source!AT154</f>
        <v>94</v>
      </c>
      <c r="K671" s="37">
        <f>SUM(T665:T673)</f>
        <v>605.27</v>
      </c>
      <c r="L671" s="39"/>
    </row>
    <row r="672" spans="1:26" ht="14.25" x14ac:dyDescent="0.2">
      <c r="A672" s="53"/>
      <c r="B672" s="53"/>
      <c r="C672" s="53" t="s">
        <v>1135</v>
      </c>
      <c r="D672" s="36" t="s">
        <v>1134</v>
      </c>
      <c r="E672" s="10">
        <f>Source!CA154</f>
        <v>51</v>
      </c>
      <c r="F672" s="65" t="str">
        <f>CONCATENATE(" )", Source!DM154, Source!FU154, "=", Source!FY154)</f>
        <v xml:space="preserve"> ))*0,85=43,35</v>
      </c>
      <c r="G672" s="66"/>
      <c r="H672" s="37">
        <f>SUM(U665:U673)</f>
        <v>9.14</v>
      </c>
      <c r="I672" s="40"/>
      <c r="J672" s="35">
        <f>Source!AU154</f>
        <v>43.35</v>
      </c>
      <c r="K672" s="37">
        <f>SUM(V665:V673)</f>
        <v>279.13</v>
      </c>
      <c r="L672" s="39"/>
    </row>
    <row r="673" spans="1:26" ht="14.25" x14ac:dyDescent="0.2">
      <c r="A673" s="54"/>
      <c r="B673" s="54"/>
      <c r="C673" s="54" t="s">
        <v>1136</v>
      </c>
      <c r="D673" s="41" t="s">
        <v>1137</v>
      </c>
      <c r="E673" s="42">
        <f>Source!AQ154</f>
        <v>9.08</v>
      </c>
      <c r="F673" s="43"/>
      <c r="G673" s="44" t="str">
        <f>Source!DI154</f>
        <v>)*1,15)*1,15</v>
      </c>
      <c r="H673" s="43"/>
      <c r="I673" s="44"/>
      <c r="J673" s="44"/>
      <c r="K673" s="43"/>
      <c r="L673" s="45">
        <f>Source!U154</f>
        <v>2.4016599999999997</v>
      </c>
    </row>
    <row r="674" spans="1:26" ht="15" x14ac:dyDescent="0.25">
      <c r="G674" s="62">
        <f>H667+H668+H670+H671+H672</f>
        <v>95.100000000000009</v>
      </c>
      <c r="H674" s="62"/>
      <c r="J674" s="62">
        <f>K667+K668+K670+K671+K672</f>
        <v>1920.8400000000001</v>
      </c>
      <c r="K674" s="62"/>
      <c r="L674" s="46">
        <f>Source!U154</f>
        <v>2.4016599999999997</v>
      </c>
      <c r="O674" s="30">
        <f>G674</f>
        <v>95.100000000000009</v>
      </c>
      <c r="P674" s="30">
        <f>J674</f>
        <v>1920.8400000000001</v>
      </c>
      <c r="Q674" s="30">
        <f>L674</f>
        <v>2.4016599999999997</v>
      </c>
      <c r="W674">
        <f>IF(Source!BI154&lt;=1,H667+H668+H670+H671+H672, 0)</f>
        <v>95.100000000000009</v>
      </c>
      <c r="X674">
        <f>IF(Source!BI154=2,H667+H668+H670+H671+H672, 0)</f>
        <v>0</v>
      </c>
      <c r="Y674">
        <f>IF(Source!BI154=3,H667+H668+H670+H671+H672, 0)</f>
        <v>0</v>
      </c>
      <c r="Z674">
        <f>IF(Source!BI154=4,H667+H668+H670+H671+H672, 0)</f>
        <v>0</v>
      </c>
    </row>
    <row r="675" spans="1:26" ht="28.5" x14ac:dyDescent="0.2">
      <c r="A675" s="53">
        <v>110</v>
      </c>
      <c r="B675" s="53" t="str">
        <f>Source!F155</f>
        <v>13-03-004-26</v>
      </c>
      <c r="C675" s="53" t="str">
        <f>Source!G155</f>
        <v>Окраска металлических огрунтованных поверхностей: эмалью ПФ-115</v>
      </c>
      <c r="D675" s="36" t="str">
        <f>Source!H155</f>
        <v>100 м2</v>
      </c>
      <c r="E675" s="10">
        <f>Source!I155</f>
        <v>0.2</v>
      </c>
      <c r="F675" s="37">
        <f>Source!AL155+Source!AM155+Source!AO155</f>
        <v>163.48999999999998</v>
      </c>
      <c r="G675" s="38"/>
      <c r="H675" s="37"/>
      <c r="I675" s="38" t="str">
        <f>Source!BO155</f>
        <v/>
      </c>
      <c r="J675" s="38"/>
      <c r="K675" s="37"/>
      <c r="L675" s="39"/>
      <c r="S675">
        <f>ROUND((Source!FX155/100)*((ROUND(Source!AF155*Source!I155, 2)+ROUND(Source!AE155*Source!I155, 2))), 2)</f>
        <v>14.59</v>
      </c>
      <c r="T675">
        <f>Source!X155</f>
        <v>445.54</v>
      </c>
      <c r="U675">
        <f>ROUND((Source!FY155/100)*((ROUND(Source!AF155*Source!I155, 2)+ROUND(Source!AE155*Source!I155, 2))), 2)</f>
        <v>6.73</v>
      </c>
      <c r="V675">
        <f>Source!Y155</f>
        <v>205.47</v>
      </c>
    </row>
    <row r="676" spans="1:26" x14ac:dyDescent="0.2">
      <c r="C676" s="31" t="str">
        <f>"Объем: "&amp;Source!I155&amp;"=20/"&amp;"100"</f>
        <v>Объем: 0,2=20/100</v>
      </c>
    </row>
    <row r="677" spans="1:26" ht="28.5" x14ac:dyDescent="0.2">
      <c r="A677" s="53"/>
      <c r="B677" s="53"/>
      <c r="C677" s="53" t="s">
        <v>1132</v>
      </c>
      <c r="D677" s="36"/>
      <c r="E677" s="10"/>
      <c r="F677" s="37">
        <f>Source!AO155</f>
        <v>19.32</v>
      </c>
      <c r="G677" s="38" t="str">
        <f>Source!DG155</f>
        <v>)*1,15)*1,15)*3</v>
      </c>
      <c r="H677" s="37">
        <f>ROUND(Source!AF155*Source!I155, 2)</f>
        <v>15.33</v>
      </c>
      <c r="I677" s="38"/>
      <c r="J677" s="38">
        <f>IF(Source!BA155&lt;&gt; 0, Source!BA155, 1)</f>
        <v>30.54</v>
      </c>
      <c r="K677" s="37">
        <f>Source!S155</f>
        <v>468.18</v>
      </c>
      <c r="L677" s="39"/>
      <c r="R677">
        <f>H677</f>
        <v>15.33</v>
      </c>
    </row>
    <row r="678" spans="1:26" ht="28.5" x14ac:dyDescent="0.2">
      <c r="A678" s="53"/>
      <c r="B678" s="53"/>
      <c r="C678" s="53" t="s">
        <v>616</v>
      </c>
      <c r="D678" s="36"/>
      <c r="E678" s="10"/>
      <c r="F678" s="37">
        <f>Source!AM155</f>
        <v>6.01</v>
      </c>
      <c r="G678" s="38" t="str">
        <f>Source!DE155</f>
        <v>)*1,25)*1,15)*3</v>
      </c>
      <c r="H678" s="37">
        <f>ROUND(((((((Source!ET155*1.25)*1.15)*3))-((((Source!EU155*1.25)*1.15)*3)))+Source!AE155)*Source!I155, 2)</f>
        <v>5.18</v>
      </c>
      <c r="I678" s="38"/>
      <c r="J678" s="38">
        <f>IF(Source!BB155&lt;&gt; 0, Source!BB155, 1)</f>
        <v>12.13</v>
      </c>
      <c r="K678" s="37">
        <f>Source!Q155</f>
        <v>62.89</v>
      </c>
      <c r="L678" s="39"/>
    </row>
    <row r="679" spans="1:26" ht="28.5" x14ac:dyDescent="0.2">
      <c r="A679" s="53"/>
      <c r="B679" s="53"/>
      <c r="C679" s="53" t="s">
        <v>1138</v>
      </c>
      <c r="D679" s="36"/>
      <c r="E679" s="10"/>
      <c r="F679" s="37">
        <f>Source!AN155</f>
        <v>0.22</v>
      </c>
      <c r="G679" s="38" t="str">
        <f>Source!DF155</f>
        <v>)*1,25)*1,15)*3</v>
      </c>
      <c r="H679" s="47">
        <f>ROUND(Source!AE155*Source!I155, 2)</f>
        <v>0.19</v>
      </c>
      <c r="I679" s="38"/>
      <c r="J679" s="38">
        <f>IF(Source!BS155&lt;&gt; 0, Source!BS155, 1)</f>
        <v>30.54</v>
      </c>
      <c r="K679" s="47">
        <f>Source!R155</f>
        <v>5.8</v>
      </c>
      <c r="L679" s="39"/>
      <c r="R679">
        <f>H679</f>
        <v>0.19</v>
      </c>
    </row>
    <row r="680" spans="1:26" ht="14.25" x14ac:dyDescent="0.2">
      <c r="A680" s="53"/>
      <c r="B680" s="53"/>
      <c r="C680" s="53" t="s">
        <v>1139</v>
      </c>
      <c r="D680" s="36"/>
      <c r="E680" s="10"/>
      <c r="F680" s="37">
        <f>Source!AL155</f>
        <v>138.16</v>
      </c>
      <c r="G680" s="38" t="str">
        <f>Source!DD155</f>
        <v>)*3</v>
      </c>
      <c r="H680" s="37">
        <f>ROUND(Source!AC155*Source!I155, 2)</f>
        <v>82.9</v>
      </c>
      <c r="I680" s="38"/>
      <c r="J680" s="38">
        <f>IF(Source!BC155&lt;&gt; 0, Source!BC155, 1)</f>
        <v>8.7100000000000009</v>
      </c>
      <c r="K680" s="37">
        <f>Source!P155</f>
        <v>722.02</v>
      </c>
      <c r="L680" s="39"/>
    </row>
    <row r="681" spans="1:26" ht="14.25" x14ac:dyDescent="0.2">
      <c r="A681" s="53"/>
      <c r="B681" s="53"/>
      <c r="C681" s="53" t="s">
        <v>1133</v>
      </c>
      <c r="D681" s="36" t="s">
        <v>1134</v>
      </c>
      <c r="E681" s="10">
        <f>Source!BZ155</f>
        <v>94</v>
      </c>
      <c r="F681" s="55"/>
      <c r="G681" s="38"/>
      <c r="H681" s="37">
        <f>SUM(S675:S684)</f>
        <v>14.59</v>
      </c>
      <c r="I681" s="40"/>
      <c r="J681" s="35">
        <f>Source!AT155</f>
        <v>94</v>
      </c>
      <c r="K681" s="37">
        <f>SUM(T675:T684)</f>
        <v>445.54</v>
      </c>
      <c r="L681" s="39"/>
    </row>
    <row r="682" spans="1:26" ht="14.25" x14ac:dyDescent="0.2">
      <c r="A682" s="53"/>
      <c r="B682" s="53"/>
      <c r="C682" s="53" t="s">
        <v>1135</v>
      </c>
      <c r="D682" s="36" t="s">
        <v>1134</v>
      </c>
      <c r="E682" s="10">
        <f>Source!CA155</f>
        <v>51</v>
      </c>
      <c r="F682" s="65" t="str">
        <f>CONCATENATE(" )", Source!DM155, Source!FU155, "=", Source!FY155)</f>
        <v xml:space="preserve"> ))*0,85=43,35</v>
      </c>
      <c r="G682" s="66"/>
      <c r="H682" s="37">
        <f>SUM(U675:U684)</f>
        <v>6.73</v>
      </c>
      <c r="I682" s="40"/>
      <c r="J682" s="35">
        <f>Source!AU155</f>
        <v>43.35</v>
      </c>
      <c r="K682" s="37">
        <f>SUM(V675:V684)</f>
        <v>205.47</v>
      </c>
      <c r="L682" s="39"/>
    </row>
    <row r="683" spans="1:26" ht="28.5" x14ac:dyDescent="0.2">
      <c r="A683" s="53"/>
      <c r="B683" s="53"/>
      <c r="C683" s="53" t="s">
        <v>1136</v>
      </c>
      <c r="D683" s="36" t="s">
        <v>1137</v>
      </c>
      <c r="E683" s="10">
        <f>Source!AQ155</f>
        <v>2.13</v>
      </c>
      <c r="F683" s="37"/>
      <c r="G683" s="38" t="str">
        <f>Source!DI155</f>
        <v>)*1,15)*1,15)*3</v>
      </c>
      <c r="H683" s="37"/>
      <c r="I683" s="38"/>
      <c r="J683" s="38"/>
      <c r="K683" s="37"/>
      <c r="L683" s="48">
        <f>Source!U155</f>
        <v>1.6901549999999999</v>
      </c>
    </row>
    <row r="684" spans="1:26" ht="28.5" x14ac:dyDescent="0.2">
      <c r="A684" s="54">
        <v>110.1</v>
      </c>
      <c r="B684" s="54" t="str">
        <f>Source!F156</f>
        <v>14.4.04.08-0003</v>
      </c>
      <c r="C684" s="54" t="str">
        <f>Source!G156</f>
        <v>Эмаль ПФ-115, серая</v>
      </c>
      <c r="D684" s="41" t="str">
        <f>Source!H156</f>
        <v>т</v>
      </c>
      <c r="E684" s="42">
        <f>Source!I156</f>
        <v>-5.4000000000000003E-3</v>
      </c>
      <c r="F684" s="43">
        <f>Source!AL156+Source!AM156+Source!AO156</f>
        <v>14312.87</v>
      </c>
      <c r="G684" s="49" t="s">
        <v>1176</v>
      </c>
      <c r="H684" s="43">
        <f>ROUND(Source!AC156*Source!I156, 2)+ROUND((((Source!ET156)-(Source!EU156))+Source!AE156)*Source!I156, 2)+ROUND(Source!AF156*Source!I156, 2)</f>
        <v>-77.290000000000006</v>
      </c>
      <c r="I684" s="44"/>
      <c r="J684" s="44">
        <f>IF(Source!BC156&lt;&gt; 0, Source!BC156, 1)</f>
        <v>8.7100000000000009</v>
      </c>
      <c r="K684" s="43">
        <f>Source!O156</f>
        <v>-673.19</v>
      </c>
      <c r="L684" s="50"/>
      <c r="S684">
        <f>ROUND((Source!FX156/100)*((ROUND(Source!AF156*Source!I156, 2)+ROUND(Source!AE156*Source!I156, 2))), 2)</f>
        <v>0</v>
      </c>
      <c r="T684">
        <f>Source!X156</f>
        <v>0</v>
      </c>
      <c r="U684">
        <f>ROUND((Source!FY156/100)*((ROUND(Source!AF156*Source!I156, 2)+ROUND(Source!AE156*Source!I156, 2))), 2)</f>
        <v>0</v>
      </c>
      <c r="V684">
        <f>Source!Y156</f>
        <v>0</v>
      </c>
      <c r="W684">
        <f>IF(Source!BI156&lt;=1,H684, 0)</f>
        <v>-77.290000000000006</v>
      </c>
      <c r="X684">
        <f>IF(Source!BI156=2,H684, 0)</f>
        <v>0</v>
      </c>
      <c r="Y684">
        <f>IF(Source!BI156=3,H684, 0)</f>
        <v>0</v>
      </c>
      <c r="Z684">
        <f>IF(Source!BI156=4,H684, 0)</f>
        <v>0</v>
      </c>
    </row>
    <row r="685" spans="1:26" ht="15" x14ac:dyDescent="0.25">
      <c r="G685" s="62">
        <f>H677+H678+H680+H681+H682+SUM(H684:H684)</f>
        <v>47.44</v>
      </c>
      <c r="H685" s="62"/>
      <c r="J685" s="62">
        <f>K677+K678+K680+K681+K682+SUM(K684:K684)</f>
        <v>1230.9100000000001</v>
      </c>
      <c r="K685" s="62"/>
      <c r="L685" s="46">
        <f>Source!U155</f>
        <v>1.6901549999999999</v>
      </c>
      <c r="O685" s="30">
        <f>G685</f>
        <v>47.44</v>
      </c>
      <c r="P685" s="30">
        <f>J685</f>
        <v>1230.9100000000001</v>
      </c>
      <c r="Q685" s="30">
        <f>L685</f>
        <v>1.6901549999999999</v>
      </c>
      <c r="W685">
        <f>IF(Source!BI155&lt;=1,H677+H678+H680+H681+H682, 0)</f>
        <v>124.73</v>
      </c>
      <c r="X685">
        <f>IF(Source!BI155=2,H677+H678+H680+H681+H682, 0)</f>
        <v>0</v>
      </c>
      <c r="Y685">
        <f>IF(Source!BI155=3,H677+H678+H680+H681+H682, 0)</f>
        <v>0</v>
      </c>
      <c r="Z685">
        <f>IF(Source!BI155=4,H677+H678+H680+H681+H682, 0)</f>
        <v>0</v>
      </c>
    </row>
    <row r="686" spans="1:26" ht="54" x14ac:dyDescent="0.2">
      <c r="A686" s="54">
        <v>111</v>
      </c>
      <c r="B686" s="54" t="str">
        <f>Source!F157</f>
        <v>Цена Поставщика</v>
      </c>
      <c r="C686" s="54" t="s">
        <v>1177</v>
      </c>
      <c r="D686" s="41" t="str">
        <f>Source!H157</f>
        <v>кг</v>
      </c>
      <c r="E686" s="42">
        <f>Source!I157</f>
        <v>14</v>
      </c>
      <c r="F686" s="43">
        <f>Source!AL157</f>
        <v>27.050000000000004</v>
      </c>
      <c r="G686" s="44" t="str">
        <f>Source!DD157</f>
        <v/>
      </c>
      <c r="H686" s="43">
        <f>ROUND(Source!AC157*Source!I157, 2)</f>
        <v>378.7</v>
      </c>
      <c r="I686" s="44" t="str">
        <f>Source!BO157</f>
        <v/>
      </c>
      <c r="J686" s="44">
        <f>IF(Source!BC157&lt;&gt; 0, Source!BC157, 1)</f>
        <v>8.7100000000000009</v>
      </c>
      <c r="K686" s="43">
        <f>Source!P157</f>
        <v>3298.48</v>
      </c>
      <c r="L686" s="50"/>
      <c r="S686">
        <f>ROUND((Source!FX157/100)*((ROUND(Source!AF157*Source!I157, 2)+ROUND(Source!AE157*Source!I157, 2))), 2)</f>
        <v>0</v>
      </c>
      <c r="T686">
        <f>Source!X157</f>
        <v>0</v>
      </c>
      <c r="U686">
        <f>ROUND((Source!FY157/100)*((ROUND(Source!AF157*Source!I157, 2)+ROUND(Source!AE157*Source!I157, 2))), 2)</f>
        <v>0</v>
      </c>
      <c r="V686">
        <f>Source!Y157</f>
        <v>0</v>
      </c>
    </row>
    <row r="687" spans="1:26" ht="15" x14ac:dyDescent="0.25">
      <c r="G687" s="62">
        <f>H686</f>
        <v>378.7</v>
      </c>
      <c r="H687" s="62"/>
      <c r="J687" s="62">
        <f>K686</f>
        <v>3298.48</v>
      </c>
      <c r="K687" s="62"/>
      <c r="L687" s="46">
        <f>Source!U157</f>
        <v>0</v>
      </c>
      <c r="O687" s="30">
        <f>G687</f>
        <v>378.7</v>
      </c>
      <c r="P687" s="30">
        <f>J687</f>
        <v>3298.48</v>
      </c>
      <c r="Q687" s="30">
        <f>L687</f>
        <v>0</v>
      </c>
      <c r="W687">
        <f>IF(Source!BI157&lt;=1,H686, 0)</f>
        <v>378.7</v>
      </c>
      <c r="X687">
        <f>IF(Source!BI157=2,H686, 0)</f>
        <v>0</v>
      </c>
      <c r="Y687">
        <f>IF(Source!BI157=3,H686, 0)</f>
        <v>0</v>
      </c>
      <c r="Z687">
        <f>IF(Source!BI157=4,H686, 0)</f>
        <v>0</v>
      </c>
    </row>
    <row r="688" spans="1:26" ht="28.5" x14ac:dyDescent="0.2">
      <c r="A688" s="53">
        <v>112</v>
      </c>
      <c r="B688" s="53" t="str">
        <f>Source!F158</f>
        <v>91.06.09-061</v>
      </c>
      <c r="C688" s="53" t="str">
        <f>Source!G158</f>
        <v>Подмости самоходные, высота подъема 12 м</v>
      </c>
      <c r="D688" s="36" t="str">
        <f>Source!H158</f>
        <v>маш.-ч.</v>
      </c>
      <c r="E688" s="10">
        <f>Source!I158</f>
        <v>18.149999999999999</v>
      </c>
      <c r="F688" s="37">
        <f>Source!AL158+Source!AM158+Source!AO158</f>
        <v>35.299999999999997</v>
      </c>
      <c r="G688" s="38"/>
      <c r="H688" s="37"/>
      <c r="I688" s="38" t="str">
        <f>Source!BO158</f>
        <v/>
      </c>
      <c r="J688" s="38"/>
      <c r="K688" s="37"/>
      <c r="L688" s="39"/>
      <c r="S688">
        <f>ROUND((Source!FX158/100)*((ROUND(Source!AF158*Source!I158, 2)+ROUND(Source!AE158*Source!I158, 2))), 2)</f>
        <v>0</v>
      </c>
      <c r="T688">
        <f>Source!X158</f>
        <v>0</v>
      </c>
      <c r="U688">
        <f>ROUND((Source!FY158/100)*((ROUND(Source!AF158*Source!I158, 2)+ROUND(Source!AE158*Source!I158, 2))), 2)</f>
        <v>0</v>
      </c>
      <c r="V688">
        <f>Source!Y158</f>
        <v>0</v>
      </c>
    </row>
    <row r="689" spans="1:26" ht="14.25" x14ac:dyDescent="0.2">
      <c r="A689" s="53"/>
      <c r="B689" s="53"/>
      <c r="C689" s="53" t="s">
        <v>616</v>
      </c>
      <c r="D689" s="36"/>
      <c r="E689" s="10"/>
      <c r="F689" s="37">
        <f>Source!AM158</f>
        <v>35.299999999999997</v>
      </c>
      <c r="G689" s="38" t="str">
        <f>Source!DE158</f>
        <v/>
      </c>
      <c r="H689" s="37">
        <f>ROUND((((Source!ET158)-(Source!EU158))+Source!AE158)*Source!I158, 2)</f>
        <v>640.70000000000005</v>
      </c>
      <c r="I689" s="38"/>
      <c r="J689" s="38">
        <f>IF(Source!BB158&lt;&gt; 0, Source!BB158, 1)</f>
        <v>12.13</v>
      </c>
      <c r="K689" s="37">
        <f>Source!Q158</f>
        <v>7771.63</v>
      </c>
      <c r="L689" s="39"/>
    </row>
    <row r="690" spans="1:26" ht="14.25" x14ac:dyDescent="0.2">
      <c r="A690" s="54"/>
      <c r="B690" s="54"/>
      <c r="C690" s="54" t="s">
        <v>1138</v>
      </c>
      <c r="D690" s="41"/>
      <c r="E690" s="42"/>
      <c r="F690" s="43">
        <f>Source!AN158</f>
        <v>10.06</v>
      </c>
      <c r="G690" s="44" t="str">
        <f>Source!DF158</f>
        <v/>
      </c>
      <c r="H690" s="51">
        <f>ROUND(Source!AE158*Source!I158, 2)</f>
        <v>182.59</v>
      </c>
      <c r="I690" s="44"/>
      <c r="J690" s="44">
        <f>IF(Source!BS158&lt;&gt; 0, Source!BS158, 1)</f>
        <v>30.54</v>
      </c>
      <c r="K690" s="51">
        <f>Source!R158</f>
        <v>5576.27</v>
      </c>
      <c r="L690" s="50"/>
      <c r="R690">
        <f>H690</f>
        <v>182.59</v>
      </c>
    </row>
    <row r="691" spans="1:26" ht="15" x14ac:dyDescent="0.25">
      <c r="G691" s="62">
        <f>H689</f>
        <v>640.70000000000005</v>
      </c>
      <c r="H691" s="62"/>
      <c r="J691" s="62">
        <f>K689</f>
        <v>7771.63</v>
      </c>
      <c r="K691" s="62"/>
      <c r="L691" s="46">
        <f>Source!U158</f>
        <v>0</v>
      </c>
      <c r="O691" s="30">
        <f>G691</f>
        <v>640.70000000000005</v>
      </c>
      <c r="P691" s="30">
        <f>J691</f>
        <v>7771.63</v>
      </c>
      <c r="Q691" s="30">
        <f>L691</f>
        <v>0</v>
      </c>
      <c r="W691">
        <f>IF(Source!BI158&lt;=1,H689, 0)</f>
        <v>640.70000000000005</v>
      </c>
      <c r="X691">
        <f>IF(Source!BI158=2,H689, 0)</f>
        <v>0</v>
      </c>
      <c r="Y691">
        <f>IF(Source!BI158=3,H689, 0)</f>
        <v>0</v>
      </c>
      <c r="Z691">
        <f>IF(Source!BI158=4,H689, 0)</f>
        <v>0</v>
      </c>
    </row>
    <row r="693" spans="1:26" ht="15" x14ac:dyDescent="0.25">
      <c r="B693" s="64" t="str">
        <f>Source!G159</f>
        <v>Ремонт фасада</v>
      </c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1:26" ht="71.25" x14ac:dyDescent="0.2">
      <c r="A694" s="53">
        <v>113</v>
      </c>
      <c r="B694" s="53" t="str">
        <f>Source!F160</f>
        <v>07-07-001-03</v>
      </c>
      <c r="C694" s="53" t="str">
        <f>Source!G160</f>
        <v>Демонтаж // Устройство в одноэтажных промышленных неотапливаемых зданиях стен из хризотилцементных листов унифицированного профиля по ригелям каркаса: стальным</v>
      </c>
      <c r="D694" s="36" t="str">
        <f>Source!H160</f>
        <v>100 м2</v>
      </c>
      <c r="E694" s="10">
        <f>Source!I160</f>
        <v>3.8220000000000001</v>
      </c>
      <c r="F694" s="37">
        <f>Source!AL160+Source!AM160+Source!AO160</f>
        <v>3242.65</v>
      </c>
      <c r="G694" s="38"/>
      <c r="H694" s="37"/>
      <c r="I694" s="38" t="str">
        <f>Source!BO160</f>
        <v/>
      </c>
      <c r="J694" s="38"/>
      <c r="K694" s="37"/>
      <c r="L694" s="39"/>
      <c r="S694">
        <f>ROUND((Source!FX160/100)*((ROUND(Source!AF160*Source!I160, 2)+ROUND(Source!AE160*Source!I160, 2))), 2)</f>
        <v>2294.36</v>
      </c>
      <c r="T694">
        <f>Source!X160</f>
        <v>70069.69</v>
      </c>
      <c r="U694">
        <f>ROUND((Source!FY160/100)*((ROUND(Source!AF160*Source!I160, 2)+ROUND(Source!AE160*Source!I160, 2))), 2)</f>
        <v>1522.62</v>
      </c>
      <c r="V694">
        <f>Source!Y160</f>
        <v>46500.800000000003</v>
      </c>
    </row>
    <row r="695" spans="1:26" ht="14.25" x14ac:dyDescent="0.2">
      <c r="A695" s="53"/>
      <c r="B695" s="53"/>
      <c r="C695" s="53" t="s">
        <v>1132</v>
      </c>
      <c r="D695" s="36"/>
      <c r="E695" s="10"/>
      <c r="F695" s="37">
        <f>Source!AO160</f>
        <v>584.16</v>
      </c>
      <c r="G695" s="38" t="str">
        <f>Source!DG160</f>
        <v>)*1,15)*0,8</v>
      </c>
      <c r="H695" s="37">
        <f>ROUND(Source!AF160*Source!I160, 2)</f>
        <v>2054.06</v>
      </c>
      <c r="I695" s="38"/>
      <c r="J695" s="38">
        <f>IF(Source!BA160&lt;&gt; 0, Source!BA160, 1)</f>
        <v>30.54</v>
      </c>
      <c r="K695" s="37">
        <f>Source!S160</f>
        <v>62730.91</v>
      </c>
      <c r="L695" s="39"/>
      <c r="R695">
        <f>H695</f>
        <v>2054.06</v>
      </c>
    </row>
    <row r="696" spans="1:26" ht="14.25" x14ac:dyDescent="0.2">
      <c r="A696" s="53"/>
      <c r="B696" s="53"/>
      <c r="C696" s="53" t="s">
        <v>616</v>
      </c>
      <c r="D696" s="36"/>
      <c r="E696" s="10"/>
      <c r="F696" s="37">
        <f>Source!AM160</f>
        <v>62.38</v>
      </c>
      <c r="G696" s="38" t="str">
        <f>Source!DE160</f>
        <v>)*1,15)*0,8</v>
      </c>
      <c r="H696" s="37">
        <f>ROUND((((((Source!ET160*1.15)*0.8))-(((Source!EU160*1.15)*0.8)))+Source!AE160)*Source!I160, 2)</f>
        <v>219.35</v>
      </c>
      <c r="I696" s="38"/>
      <c r="J696" s="38">
        <f>IF(Source!BB160&lt;&gt; 0, Source!BB160, 1)</f>
        <v>12.13</v>
      </c>
      <c r="K696" s="37">
        <f>Source!Q160</f>
        <v>2660.82</v>
      </c>
      <c r="L696" s="39"/>
    </row>
    <row r="697" spans="1:26" ht="14.25" x14ac:dyDescent="0.2">
      <c r="A697" s="53"/>
      <c r="B697" s="53"/>
      <c r="C697" s="53" t="s">
        <v>1138</v>
      </c>
      <c r="D697" s="36"/>
      <c r="E697" s="10"/>
      <c r="F697" s="37">
        <f>Source!AN160</f>
        <v>9.02</v>
      </c>
      <c r="G697" s="38" t="str">
        <f>Source!DF160</f>
        <v>)*1,15)*0,8</v>
      </c>
      <c r="H697" s="47">
        <f>ROUND(Source!AE160*Source!I160, 2)</f>
        <v>31.72</v>
      </c>
      <c r="I697" s="38"/>
      <c r="J697" s="38">
        <f>IF(Source!BS160&lt;&gt; 0, Source!BS160, 1)</f>
        <v>30.54</v>
      </c>
      <c r="K697" s="47">
        <f>Source!R160</f>
        <v>968.81</v>
      </c>
      <c r="L697" s="39"/>
      <c r="R697">
        <f>H697</f>
        <v>31.72</v>
      </c>
    </row>
    <row r="698" spans="1:26" ht="14.25" x14ac:dyDescent="0.2">
      <c r="A698" s="53"/>
      <c r="B698" s="53"/>
      <c r="C698" s="53" t="s">
        <v>1133</v>
      </c>
      <c r="D698" s="36" t="s">
        <v>1134</v>
      </c>
      <c r="E698" s="10">
        <f>Source!BZ160</f>
        <v>110</v>
      </c>
      <c r="F698" s="55"/>
      <c r="G698" s="38"/>
      <c r="H698" s="37">
        <f>SUM(S694:S700)</f>
        <v>2294.36</v>
      </c>
      <c r="I698" s="40"/>
      <c r="J698" s="35">
        <f>Source!AT160</f>
        <v>110</v>
      </c>
      <c r="K698" s="37">
        <f>SUM(T694:T700)</f>
        <v>70069.69</v>
      </c>
      <c r="L698" s="39"/>
    </row>
    <row r="699" spans="1:26" ht="14.25" x14ac:dyDescent="0.2">
      <c r="A699" s="53"/>
      <c r="B699" s="53"/>
      <c r="C699" s="53" t="s">
        <v>1135</v>
      </c>
      <c r="D699" s="36" t="s">
        <v>1134</v>
      </c>
      <c r="E699" s="10">
        <f>Source!CA160</f>
        <v>73</v>
      </c>
      <c r="F699" s="55"/>
      <c r="G699" s="38"/>
      <c r="H699" s="37">
        <f>SUM(U694:U700)</f>
        <v>1522.62</v>
      </c>
      <c r="I699" s="40"/>
      <c r="J699" s="35">
        <f>Source!AU160</f>
        <v>73</v>
      </c>
      <c r="K699" s="37">
        <f>SUM(V694:V700)</f>
        <v>46500.800000000003</v>
      </c>
      <c r="L699" s="39"/>
    </row>
    <row r="700" spans="1:26" ht="14.25" x14ac:dyDescent="0.2">
      <c r="A700" s="54"/>
      <c r="B700" s="54"/>
      <c r="C700" s="54" t="s">
        <v>1136</v>
      </c>
      <c r="D700" s="41" t="s">
        <v>1137</v>
      </c>
      <c r="E700" s="42">
        <f>Source!AQ160</f>
        <v>71.5</v>
      </c>
      <c r="F700" s="43"/>
      <c r="G700" s="44" t="str">
        <f>Source!DI160</f>
        <v>)*1,15)*0,8</v>
      </c>
      <c r="H700" s="43"/>
      <c r="I700" s="44"/>
      <c r="J700" s="44"/>
      <c r="K700" s="43"/>
      <c r="L700" s="45">
        <f>Source!U160</f>
        <v>251.41116</v>
      </c>
    </row>
    <row r="701" spans="1:26" ht="15" x14ac:dyDescent="0.25">
      <c r="G701" s="62">
        <f>H695+H696+H698+H699</f>
        <v>6090.39</v>
      </c>
      <c r="H701" s="62"/>
      <c r="J701" s="62">
        <f>K695+K696+K698+K699</f>
        <v>181962.22000000003</v>
      </c>
      <c r="K701" s="62"/>
      <c r="L701" s="46">
        <f>Source!U160</f>
        <v>251.41116</v>
      </c>
      <c r="O701" s="30">
        <f>G701</f>
        <v>6090.39</v>
      </c>
      <c r="P701" s="30">
        <f>J701</f>
        <v>181962.22000000003</v>
      </c>
      <c r="Q701" s="30">
        <f>L701</f>
        <v>251.41116</v>
      </c>
      <c r="W701">
        <f>IF(Source!BI160&lt;=1,H695+H696+H698+H699, 0)</f>
        <v>6090.39</v>
      </c>
      <c r="X701">
        <f>IF(Source!BI160=2,H695+H696+H698+H699, 0)</f>
        <v>0</v>
      </c>
      <c r="Y701">
        <f>IF(Source!BI160=3,H695+H696+H698+H699, 0)</f>
        <v>0</v>
      </c>
      <c r="Z701">
        <f>IF(Source!BI160=4,H695+H696+H698+H699, 0)</f>
        <v>0</v>
      </c>
    </row>
    <row r="702" spans="1:26" ht="57" x14ac:dyDescent="0.2">
      <c r="A702" s="53">
        <v>114</v>
      </c>
      <c r="B702" s="53" t="str">
        <f>Source!F161</f>
        <v>м38-01-006-02</v>
      </c>
      <c r="C702" s="53" t="str">
        <f>Source!G161</f>
        <v>Сборка с помощью крана на автомобильном ходу: стремянки, связи, кронштейны, тормозные конструкции и пр.</v>
      </c>
      <c r="D702" s="36" t="str">
        <f>Source!H161</f>
        <v>т</v>
      </c>
      <c r="E702" s="10">
        <f>Source!I161</f>
        <v>2.5619999999999998</v>
      </c>
      <c r="F702" s="37">
        <f>Source!AL161+Source!AM161+Source!AO161</f>
        <v>3150.87</v>
      </c>
      <c r="G702" s="38"/>
      <c r="H702" s="37"/>
      <c r="I702" s="38" t="str">
        <f>Source!BO161</f>
        <v/>
      </c>
      <c r="J702" s="38"/>
      <c r="K702" s="37"/>
      <c r="L702" s="39"/>
      <c r="S702">
        <f>ROUND((Source!FX161/100)*((ROUND(Source!AF161*Source!I161, 2)+ROUND(Source!AE161*Source!I161, 2))), 2)</f>
        <v>2450.38</v>
      </c>
      <c r="T702">
        <f>Source!X161</f>
        <v>74834.42</v>
      </c>
      <c r="U702">
        <f>ROUND((Source!FY161/100)*((ROUND(Source!AF161*Source!I161, 2)+ROUND(Source!AE161*Source!I161, 2))), 2)</f>
        <v>1225.19</v>
      </c>
      <c r="V702">
        <f>Source!Y161</f>
        <v>37417.21</v>
      </c>
    </row>
    <row r="703" spans="1:26" ht="14.25" x14ac:dyDescent="0.2">
      <c r="A703" s="53"/>
      <c r="B703" s="53"/>
      <c r="C703" s="53" t="s">
        <v>1132</v>
      </c>
      <c r="D703" s="36"/>
      <c r="E703" s="10"/>
      <c r="F703" s="37">
        <f>Source!AO161</f>
        <v>1034</v>
      </c>
      <c r="G703" s="38" t="str">
        <f>Source!DG161</f>
        <v/>
      </c>
      <c r="H703" s="37">
        <f>ROUND(Source!AF161*Source!I161, 2)</f>
        <v>2649.11</v>
      </c>
      <c r="I703" s="38"/>
      <c r="J703" s="38">
        <f>IF(Source!BA161&lt;&gt; 0, Source!BA161, 1)</f>
        <v>30.54</v>
      </c>
      <c r="K703" s="37">
        <f>Source!S161</f>
        <v>80903.759999999995</v>
      </c>
      <c r="L703" s="39"/>
      <c r="R703">
        <f>H703</f>
        <v>2649.11</v>
      </c>
    </row>
    <row r="704" spans="1:26" ht="14.25" x14ac:dyDescent="0.2">
      <c r="A704" s="53"/>
      <c r="B704" s="53"/>
      <c r="C704" s="53" t="s">
        <v>616</v>
      </c>
      <c r="D704" s="36"/>
      <c r="E704" s="10"/>
      <c r="F704" s="37">
        <f>Source!AM161</f>
        <v>1886.99</v>
      </c>
      <c r="G704" s="38" t="str">
        <f>Source!DE161</f>
        <v/>
      </c>
      <c r="H704" s="37">
        <f>ROUND((((Source!ET161)-(Source!EU161))+Source!AE161)*Source!I161, 2)</f>
        <v>4834.47</v>
      </c>
      <c r="I704" s="38"/>
      <c r="J704" s="38">
        <f>IF(Source!BB161&lt;&gt; 0, Source!BB161, 1)</f>
        <v>12.13</v>
      </c>
      <c r="K704" s="37">
        <f>Source!Q161</f>
        <v>58642.1</v>
      </c>
      <c r="L704" s="39"/>
    </row>
    <row r="705" spans="1:26" ht="14.25" x14ac:dyDescent="0.2">
      <c r="A705" s="53"/>
      <c r="B705" s="53"/>
      <c r="C705" s="53" t="s">
        <v>1138</v>
      </c>
      <c r="D705" s="36"/>
      <c r="E705" s="10"/>
      <c r="F705" s="37">
        <f>Source!AN161</f>
        <v>28.7</v>
      </c>
      <c r="G705" s="38" t="str">
        <f>Source!DF161</f>
        <v/>
      </c>
      <c r="H705" s="47">
        <f>ROUND(Source!AE161*Source!I161, 2)</f>
        <v>73.53</v>
      </c>
      <c r="I705" s="38"/>
      <c r="J705" s="38">
        <f>IF(Source!BS161&lt;&gt; 0, Source!BS161, 1)</f>
        <v>30.54</v>
      </c>
      <c r="K705" s="47">
        <f>Source!R161</f>
        <v>2245.59</v>
      </c>
      <c r="L705" s="39"/>
      <c r="R705">
        <f>H705</f>
        <v>73.53</v>
      </c>
    </row>
    <row r="706" spans="1:26" ht="14.25" x14ac:dyDescent="0.2">
      <c r="A706" s="53"/>
      <c r="B706" s="53"/>
      <c r="C706" s="53" t="s">
        <v>1139</v>
      </c>
      <c r="D706" s="36"/>
      <c r="E706" s="10"/>
      <c r="F706" s="37">
        <f>Source!AL161</f>
        <v>229.88</v>
      </c>
      <c r="G706" s="38" t="str">
        <f>Source!DD161</f>
        <v/>
      </c>
      <c r="H706" s="37">
        <f>ROUND(Source!AC161*Source!I161, 2)</f>
        <v>588.95000000000005</v>
      </c>
      <c r="I706" s="38"/>
      <c r="J706" s="38">
        <f>IF(Source!BC161&lt;&gt; 0, Source!BC161, 1)</f>
        <v>8.7100000000000009</v>
      </c>
      <c r="K706" s="37">
        <f>Source!P161</f>
        <v>5129.78</v>
      </c>
      <c r="L706" s="39"/>
    </row>
    <row r="707" spans="1:26" ht="14.25" x14ac:dyDescent="0.2">
      <c r="A707" s="53"/>
      <c r="B707" s="53"/>
      <c r="C707" s="53" t="s">
        <v>1133</v>
      </c>
      <c r="D707" s="36" t="s">
        <v>1134</v>
      </c>
      <c r="E707" s="10">
        <f>Source!BZ161</f>
        <v>90</v>
      </c>
      <c r="F707" s="55"/>
      <c r="G707" s="38"/>
      <c r="H707" s="37">
        <f>SUM(S702:S709)</f>
        <v>2450.38</v>
      </c>
      <c r="I707" s="40"/>
      <c r="J707" s="35">
        <f>Source!AT161</f>
        <v>90</v>
      </c>
      <c r="K707" s="37">
        <f>SUM(T702:T709)</f>
        <v>74834.42</v>
      </c>
      <c r="L707" s="39"/>
    </row>
    <row r="708" spans="1:26" ht="14.25" x14ac:dyDescent="0.2">
      <c r="A708" s="53"/>
      <c r="B708" s="53"/>
      <c r="C708" s="53" t="s">
        <v>1135</v>
      </c>
      <c r="D708" s="36" t="s">
        <v>1134</v>
      </c>
      <c r="E708" s="10">
        <f>Source!CA161</f>
        <v>45</v>
      </c>
      <c r="F708" s="55"/>
      <c r="G708" s="38"/>
      <c r="H708" s="37">
        <f>SUM(U702:U709)</f>
        <v>1225.19</v>
      </c>
      <c r="I708" s="40"/>
      <c r="J708" s="35">
        <f>Source!AU161</f>
        <v>45</v>
      </c>
      <c r="K708" s="37">
        <f>SUM(V702:V709)</f>
        <v>37417.21</v>
      </c>
      <c r="L708" s="39"/>
    </row>
    <row r="709" spans="1:26" ht="14.25" x14ac:dyDescent="0.2">
      <c r="A709" s="54"/>
      <c r="B709" s="54"/>
      <c r="C709" s="54" t="s">
        <v>1136</v>
      </c>
      <c r="D709" s="41" t="s">
        <v>1137</v>
      </c>
      <c r="E709" s="42">
        <f>Source!AQ161</f>
        <v>110</v>
      </c>
      <c r="F709" s="43"/>
      <c r="G709" s="44" t="str">
        <f>Source!DI161</f>
        <v/>
      </c>
      <c r="H709" s="43"/>
      <c r="I709" s="44"/>
      <c r="J709" s="44"/>
      <c r="K709" s="43"/>
      <c r="L709" s="45">
        <f>Source!U161</f>
        <v>281.82</v>
      </c>
    </row>
    <row r="710" spans="1:26" ht="15" x14ac:dyDescent="0.25">
      <c r="G710" s="62">
        <f>H703+H704+H706+H707+H708</f>
        <v>11748.1</v>
      </c>
      <c r="H710" s="62"/>
      <c r="J710" s="62">
        <f>K703+K704+K706+K707+K708</f>
        <v>256927.27</v>
      </c>
      <c r="K710" s="62"/>
      <c r="L710" s="46">
        <f>Source!U161</f>
        <v>281.82</v>
      </c>
      <c r="O710" s="30">
        <f>G710</f>
        <v>11748.1</v>
      </c>
      <c r="P710" s="30">
        <f>J710</f>
        <v>256927.27</v>
      </c>
      <c r="Q710" s="30">
        <f>L710</f>
        <v>281.82</v>
      </c>
      <c r="W710">
        <f>IF(Source!BI161&lt;=1,H703+H704+H706+H707+H708, 0)</f>
        <v>0</v>
      </c>
      <c r="X710">
        <f>IF(Source!BI161=2,H703+H704+H706+H707+H708, 0)</f>
        <v>11748.1</v>
      </c>
      <c r="Y710">
        <f>IF(Source!BI161=3,H703+H704+H706+H707+H708, 0)</f>
        <v>0</v>
      </c>
      <c r="Z710">
        <f>IF(Source!BI161=4,H703+H704+H706+H707+H708, 0)</f>
        <v>0</v>
      </c>
    </row>
    <row r="711" spans="1:26" ht="28.5" x14ac:dyDescent="0.2">
      <c r="A711" s="53">
        <v>115</v>
      </c>
      <c r="B711" s="53" t="str">
        <f>Source!F162</f>
        <v>09-04-006-01</v>
      </c>
      <c r="C711" s="53" t="str">
        <f>Source!G162</f>
        <v>Монтаж фахверка</v>
      </c>
      <c r="D711" s="36" t="str">
        <f>Source!H162</f>
        <v>т</v>
      </c>
      <c r="E711" s="10">
        <f>Source!I162</f>
        <v>2.5619999999999998</v>
      </c>
      <c r="F711" s="37">
        <f>Source!AL162+Source!AM162+Source!AO162</f>
        <v>1016.18</v>
      </c>
      <c r="G711" s="38"/>
      <c r="H711" s="37"/>
      <c r="I711" s="38" t="str">
        <f>Source!BO162</f>
        <v/>
      </c>
      <c r="J711" s="38"/>
      <c r="K711" s="37"/>
      <c r="L711" s="39"/>
      <c r="S711">
        <f>ROUND((Source!FX162/100)*((ROUND(Source!AF162*Source!I162, 2)+ROUND(Source!AE162*Source!I162, 2))), 2)</f>
        <v>943.96</v>
      </c>
      <c r="T711">
        <f>Source!X162</f>
        <v>28828.61</v>
      </c>
      <c r="U711">
        <f>ROUND((Source!FY162/100)*((ROUND(Source!AF162*Source!I162, 2)+ROUND(Source!AE162*Source!I162, 2))), 2)</f>
        <v>534.91</v>
      </c>
      <c r="V711">
        <f>Source!Y162</f>
        <v>16336.21</v>
      </c>
    </row>
    <row r="712" spans="1:26" ht="14.25" x14ac:dyDescent="0.2">
      <c r="A712" s="53"/>
      <c r="B712" s="53"/>
      <c r="C712" s="53" t="s">
        <v>1132</v>
      </c>
      <c r="D712" s="36"/>
      <c r="E712" s="10"/>
      <c r="F712" s="37">
        <f>Source!AO162</f>
        <v>254.52</v>
      </c>
      <c r="G712" s="38" t="str">
        <f>Source!DG162</f>
        <v>)*1,15)*1,15</v>
      </c>
      <c r="H712" s="37">
        <f>ROUND(Source!AF162*Source!I162, 2)</f>
        <v>862.37</v>
      </c>
      <c r="I712" s="38"/>
      <c r="J712" s="38">
        <f>IF(Source!BA162&lt;&gt; 0, Source!BA162, 1)</f>
        <v>30.54</v>
      </c>
      <c r="K712" s="37">
        <f>Source!S162</f>
        <v>26336.76</v>
      </c>
      <c r="L712" s="39"/>
      <c r="R712">
        <f>H712</f>
        <v>862.37</v>
      </c>
    </row>
    <row r="713" spans="1:26" ht="14.25" x14ac:dyDescent="0.2">
      <c r="A713" s="53"/>
      <c r="B713" s="53"/>
      <c r="C713" s="53" t="s">
        <v>616</v>
      </c>
      <c r="D713" s="36"/>
      <c r="E713" s="10"/>
      <c r="F713" s="37">
        <f>Source!AM162</f>
        <v>536.02</v>
      </c>
      <c r="G713" s="38" t="str">
        <f>Source!DE162</f>
        <v>)*1,25)*1,15</v>
      </c>
      <c r="H713" s="37">
        <f>ROUND((((((Source!ET162*1.25)*1.15))-(((Source!EU162*1.25)*1.15)))+Source!AE162)*Source!I162, 2)</f>
        <v>1974.08</v>
      </c>
      <c r="I713" s="38"/>
      <c r="J713" s="38">
        <f>IF(Source!BB162&lt;&gt; 0, Source!BB162, 1)</f>
        <v>12.13</v>
      </c>
      <c r="K713" s="37">
        <f>Source!Q162</f>
        <v>23945.43</v>
      </c>
      <c r="L713" s="39"/>
    </row>
    <row r="714" spans="1:26" ht="14.25" x14ac:dyDescent="0.2">
      <c r="A714" s="53"/>
      <c r="B714" s="53"/>
      <c r="C714" s="53" t="s">
        <v>1138</v>
      </c>
      <c r="D714" s="36"/>
      <c r="E714" s="10"/>
      <c r="F714" s="37">
        <f>Source!AN162</f>
        <v>41.45</v>
      </c>
      <c r="G714" s="38" t="str">
        <f>Source!DF162</f>
        <v>)*1,25)*1,15</v>
      </c>
      <c r="H714" s="47">
        <f>ROUND(Source!AE162*Source!I162, 2)</f>
        <v>152.63999999999999</v>
      </c>
      <c r="I714" s="38"/>
      <c r="J714" s="38">
        <f>IF(Source!BS162&lt;&gt; 0, Source!BS162, 1)</f>
        <v>30.54</v>
      </c>
      <c r="K714" s="47">
        <f>Source!R162</f>
        <v>4661.75</v>
      </c>
      <c r="L714" s="39"/>
      <c r="R714">
        <f>H714</f>
        <v>152.63999999999999</v>
      </c>
    </row>
    <row r="715" spans="1:26" ht="14.25" x14ac:dyDescent="0.2">
      <c r="A715" s="53"/>
      <c r="B715" s="53"/>
      <c r="C715" s="53" t="s">
        <v>1139</v>
      </c>
      <c r="D715" s="36"/>
      <c r="E715" s="10"/>
      <c r="F715" s="37">
        <f>Source!AL162</f>
        <v>225.64</v>
      </c>
      <c r="G715" s="38" t="str">
        <f>Source!DD162</f>
        <v/>
      </c>
      <c r="H715" s="37">
        <f>ROUND(Source!AC162*Source!I162, 2)</f>
        <v>578.09</v>
      </c>
      <c r="I715" s="38"/>
      <c r="J715" s="38">
        <f>IF(Source!BC162&lt;&gt; 0, Source!BC162, 1)</f>
        <v>8.7100000000000009</v>
      </c>
      <c r="K715" s="37">
        <f>Source!P162</f>
        <v>5035.16</v>
      </c>
      <c r="L715" s="39"/>
    </row>
    <row r="716" spans="1:26" ht="14.25" x14ac:dyDescent="0.2">
      <c r="A716" s="53"/>
      <c r="B716" s="53"/>
      <c r="C716" s="53" t="s">
        <v>1133</v>
      </c>
      <c r="D716" s="36" t="s">
        <v>1134</v>
      </c>
      <c r="E716" s="10">
        <f>Source!BZ162</f>
        <v>93</v>
      </c>
      <c r="F716" s="55"/>
      <c r="G716" s="38"/>
      <c r="H716" s="37">
        <f>SUM(S711:S718)</f>
        <v>943.96</v>
      </c>
      <c r="I716" s="40"/>
      <c r="J716" s="35">
        <f>Source!AT162</f>
        <v>93</v>
      </c>
      <c r="K716" s="37">
        <f>SUM(T711:T718)</f>
        <v>28828.61</v>
      </c>
      <c r="L716" s="39"/>
    </row>
    <row r="717" spans="1:26" ht="14.25" x14ac:dyDescent="0.2">
      <c r="A717" s="53"/>
      <c r="B717" s="53"/>
      <c r="C717" s="53" t="s">
        <v>1135</v>
      </c>
      <c r="D717" s="36" t="s">
        <v>1134</v>
      </c>
      <c r="E717" s="10">
        <f>Source!CA162</f>
        <v>62</v>
      </c>
      <c r="F717" s="65" t="str">
        <f>CONCATENATE(" )", Source!DM162, Source!FU162, "=", Source!FY162)</f>
        <v xml:space="preserve"> ))*0,85=52,7</v>
      </c>
      <c r="G717" s="66"/>
      <c r="H717" s="37">
        <f>SUM(U711:U718)</f>
        <v>534.91</v>
      </c>
      <c r="I717" s="40"/>
      <c r="J717" s="35">
        <f>Source!AU162</f>
        <v>52.7</v>
      </c>
      <c r="K717" s="37">
        <f>SUM(V711:V718)</f>
        <v>16336.21</v>
      </c>
      <c r="L717" s="39"/>
    </row>
    <row r="718" spans="1:26" ht="14.25" x14ac:dyDescent="0.2">
      <c r="A718" s="54"/>
      <c r="B718" s="54"/>
      <c r="C718" s="54" t="s">
        <v>1136</v>
      </c>
      <c r="D718" s="41" t="s">
        <v>1137</v>
      </c>
      <c r="E718" s="42">
        <f>Source!AQ162</f>
        <v>25.3</v>
      </c>
      <c r="F718" s="43"/>
      <c r="G718" s="44" t="str">
        <f>Source!DI162</f>
        <v>)*1,15)*1,15</v>
      </c>
      <c r="H718" s="43"/>
      <c r="I718" s="44"/>
      <c r="J718" s="44"/>
      <c r="K718" s="43"/>
      <c r="L718" s="45">
        <f>Source!U162</f>
        <v>85.722598499999989</v>
      </c>
    </row>
    <row r="719" spans="1:26" ht="15" x14ac:dyDescent="0.25">
      <c r="G719" s="62">
        <f>H712+H713+H715+H716+H717</f>
        <v>4893.41</v>
      </c>
      <c r="H719" s="62"/>
      <c r="J719" s="62">
        <f>K712+K713+K715+K716+K717</f>
        <v>100482.17000000001</v>
      </c>
      <c r="K719" s="62"/>
      <c r="L719" s="46">
        <f>Source!U162</f>
        <v>85.722598499999989</v>
      </c>
      <c r="O719" s="30">
        <f>G719</f>
        <v>4893.41</v>
      </c>
      <c r="P719" s="30">
        <f>J719</f>
        <v>100482.17000000001</v>
      </c>
      <c r="Q719" s="30">
        <f>L719</f>
        <v>85.722598499999989</v>
      </c>
      <c r="W719">
        <f>IF(Source!BI162&lt;=1,H712+H713+H715+H716+H717, 0)</f>
        <v>4893.41</v>
      </c>
      <c r="X719">
        <f>IF(Source!BI162=2,H712+H713+H715+H716+H717, 0)</f>
        <v>0</v>
      </c>
      <c r="Y719">
        <f>IF(Source!BI162=3,H712+H713+H715+H716+H717, 0)</f>
        <v>0</v>
      </c>
      <c r="Z719">
        <f>IF(Source!BI162=4,H712+H713+H715+H716+H717, 0)</f>
        <v>0</v>
      </c>
    </row>
    <row r="720" spans="1:26" ht="42.75" x14ac:dyDescent="0.2">
      <c r="A720" s="54">
        <v>116</v>
      </c>
      <c r="B720" s="54" t="str">
        <f>Source!F163</f>
        <v>Цена Поставщика</v>
      </c>
      <c r="C720" s="54" t="s">
        <v>1178</v>
      </c>
      <c r="D720" s="41" t="str">
        <f>Source!H163</f>
        <v>т</v>
      </c>
      <c r="E720" s="42">
        <f>Source!I163</f>
        <v>2.6901000000000002</v>
      </c>
      <c r="F720" s="43">
        <f>Source!AL163</f>
        <v>7388.5300000000007</v>
      </c>
      <c r="G720" s="44" t="str">
        <f>Source!DD163</f>
        <v/>
      </c>
      <c r="H720" s="43">
        <f>ROUND(Source!AC163*Source!I163, 2)</f>
        <v>19875.88</v>
      </c>
      <c r="I720" s="44" t="str">
        <f>Source!BO163</f>
        <v/>
      </c>
      <c r="J720" s="44">
        <f>IF(Source!BC163&lt;&gt; 0, Source!BC163, 1)</f>
        <v>8.7100000000000009</v>
      </c>
      <c r="K720" s="43">
        <f>Source!P163</f>
        <v>173118.95</v>
      </c>
      <c r="L720" s="50"/>
      <c r="S720">
        <f>ROUND((Source!FX163/100)*((ROUND(Source!AF163*Source!I163, 2)+ROUND(Source!AE163*Source!I163, 2))), 2)</f>
        <v>0</v>
      </c>
      <c r="T720">
        <f>Source!X163</f>
        <v>0</v>
      </c>
      <c r="U720">
        <f>ROUND((Source!FY163/100)*((ROUND(Source!AF163*Source!I163, 2)+ROUND(Source!AE163*Source!I163, 2))), 2)</f>
        <v>0</v>
      </c>
      <c r="V720">
        <f>Source!Y163</f>
        <v>0</v>
      </c>
    </row>
    <row r="721" spans="1:26" ht="15" x14ac:dyDescent="0.25">
      <c r="G721" s="62">
        <f>H720</f>
        <v>19875.88</v>
      </c>
      <c r="H721" s="62"/>
      <c r="J721" s="62">
        <f>K720</f>
        <v>173118.95</v>
      </c>
      <c r="K721" s="62"/>
      <c r="L721" s="46">
        <f>Source!U163</f>
        <v>0</v>
      </c>
      <c r="O721" s="30">
        <f>G721</f>
        <v>19875.88</v>
      </c>
      <c r="P721" s="30">
        <f>J721</f>
        <v>173118.95</v>
      </c>
      <c r="Q721" s="30">
        <f>L721</f>
        <v>0</v>
      </c>
      <c r="W721">
        <f>IF(Source!BI163&lt;=1,H720, 0)</f>
        <v>19875.88</v>
      </c>
      <c r="X721">
        <f>IF(Source!BI163=2,H720, 0)</f>
        <v>0</v>
      </c>
      <c r="Y721">
        <f>IF(Source!BI163=3,H720, 0)</f>
        <v>0</v>
      </c>
      <c r="Z721">
        <f>IF(Source!BI163=4,H720, 0)</f>
        <v>0</v>
      </c>
    </row>
    <row r="722" spans="1:26" ht="28.5" x14ac:dyDescent="0.2">
      <c r="A722" s="53">
        <v>117</v>
      </c>
      <c r="B722" s="53" t="str">
        <f>Source!F164</f>
        <v>13-06-004-01</v>
      </c>
      <c r="C722" s="53" t="str">
        <f>Source!G164</f>
        <v>Обеспыливание поверхности</v>
      </c>
      <c r="D722" s="36" t="str">
        <f>Source!H164</f>
        <v>м2</v>
      </c>
      <c r="E722" s="10">
        <f>Source!I164</f>
        <v>168</v>
      </c>
      <c r="F722" s="37">
        <f>Source!AL164+Source!AM164+Source!AO164</f>
        <v>0.92999999999999994</v>
      </c>
      <c r="G722" s="38"/>
      <c r="H722" s="37"/>
      <c r="I722" s="38" t="str">
        <f>Source!BO164</f>
        <v/>
      </c>
      <c r="J722" s="38"/>
      <c r="K722" s="37"/>
      <c r="L722" s="39"/>
      <c r="S722">
        <f>ROUND((Source!FX164/100)*((ROUND(Source!AF164*Source!I164, 2)+ROUND(Source!AE164*Source!I164, 2))), 2)</f>
        <v>94.75</v>
      </c>
      <c r="T722">
        <f>Source!X164</f>
        <v>2893.72</v>
      </c>
      <c r="U722">
        <f>ROUND((Source!FY164/100)*((ROUND(Source!AF164*Source!I164, 2)+ROUND(Source!AE164*Source!I164, 2))), 2)</f>
        <v>51.41</v>
      </c>
      <c r="V722">
        <f>Source!Y164</f>
        <v>1570</v>
      </c>
    </row>
    <row r="723" spans="1:26" ht="14.25" x14ac:dyDescent="0.2">
      <c r="A723" s="53"/>
      <c r="B723" s="53"/>
      <c r="C723" s="53" t="s">
        <v>1132</v>
      </c>
      <c r="D723" s="36"/>
      <c r="E723" s="10"/>
      <c r="F723" s="37">
        <f>Source!AO164</f>
        <v>0.6</v>
      </c>
      <c r="G723" s="38" t="str">
        <f>Source!DG164</f>
        <v/>
      </c>
      <c r="H723" s="37">
        <f>ROUND(Source!AF164*Source!I164, 2)</f>
        <v>100.8</v>
      </c>
      <c r="I723" s="38"/>
      <c r="J723" s="38">
        <f>IF(Source!BA164&lt;&gt; 0, Source!BA164, 1)</f>
        <v>30.54</v>
      </c>
      <c r="K723" s="37">
        <f>Source!S164</f>
        <v>3078.43</v>
      </c>
      <c r="L723" s="39"/>
      <c r="R723">
        <f>H723</f>
        <v>100.8</v>
      </c>
    </row>
    <row r="724" spans="1:26" ht="14.25" x14ac:dyDescent="0.2">
      <c r="A724" s="53"/>
      <c r="B724" s="53"/>
      <c r="C724" s="53" t="s">
        <v>616</v>
      </c>
      <c r="D724" s="36"/>
      <c r="E724" s="10"/>
      <c r="F724" s="37">
        <f>Source!AM164</f>
        <v>0.33</v>
      </c>
      <c r="G724" s="38" t="str">
        <f>Source!DE164</f>
        <v/>
      </c>
      <c r="H724" s="37">
        <f>ROUND((((Source!ET164)-(Source!EU164))+Source!AE164)*Source!I164, 2)</f>
        <v>55.44</v>
      </c>
      <c r="I724" s="38"/>
      <c r="J724" s="38">
        <f>IF(Source!BB164&lt;&gt; 0, Source!BB164, 1)</f>
        <v>12.13</v>
      </c>
      <c r="K724" s="37">
        <f>Source!Q164</f>
        <v>672.49</v>
      </c>
      <c r="L724" s="39"/>
    </row>
    <row r="725" spans="1:26" ht="14.25" x14ac:dyDescent="0.2">
      <c r="A725" s="53"/>
      <c r="B725" s="53"/>
      <c r="C725" s="53" t="s">
        <v>1133</v>
      </c>
      <c r="D725" s="36" t="s">
        <v>1134</v>
      </c>
      <c r="E725" s="10">
        <f>Source!BZ164</f>
        <v>94</v>
      </c>
      <c r="F725" s="55"/>
      <c r="G725" s="38"/>
      <c r="H725" s="37">
        <f>SUM(S722:S727)</f>
        <v>94.75</v>
      </c>
      <c r="I725" s="40"/>
      <c r="J725" s="35">
        <f>Source!AT164</f>
        <v>94</v>
      </c>
      <c r="K725" s="37">
        <f>SUM(T722:T727)</f>
        <v>2893.72</v>
      </c>
      <c r="L725" s="39"/>
    </row>
    <row r="726" spans="1:26" ht="14.25" x14ac:dyDescent="0.2">
      <c r="A726" s="53"/>
      <c r="B726" s="53"/>
      <c r="C726" s="53" t="s">
        <v>1135</v>
      </c>
      <c r="D726" s="36" t="s">
        <v>1134</v>
      </c>
      <c r="E726" s="10">
        <f>Source!CA164</f>
        <v>51</v>
      </c>
      <c r="F726" s="55"/>
      <c r="G726" s="38"/>
      <c r="H726" s="37">
        <f>SUM(U722:U727)</f>
        <v>51.41</v>
      </c>
      <c r="I726" s="40"/>
      <c r="J726" s="35">
        <f>Source!AU164</f>
        <v>51</v>
      </c>
      <c r="K726" s="37">
        <f>SUM(V722:V727)</f>
        <v>1570</v>
      </c>
      <c r="L726" s="39"/>
    </row>
    <row r="727" spans="1:26" ht="14.25" x14ac:dyDescent="0.2">
      <c r="A727" s="54"/>
      <c r="B727" s="54"/>
      <c r="C727" s="54" t="s">
        <v>1136</v>
      </c>
      <c r="D727" s="41" t="s">
        <v>1137</v>
      </c>
      <c r="E727" s="42">
        <f>Source!AQ164</f>
        <v>7.0000000000000007E-2</v>
      </c>
      <c r="F727" s="43"/>
      <c r="G727" s="44" t="str">
        <f>Source!DI164</f>
        <v/>
      </c>
      <c r="H727" s="43"/>
      <c r="I727" s="44"/>
      <c r="J727" s="44"/>
      <c r="K727" s="43"/>
      <c r="L727" s="45">
        <f>Source!U164</f>
        <v>11.760000000000002</v>
      </c>
    </row>
    <row r="728" spans="1:26" ht="15" x14ac:dyDescent="0.25">
      <c r="G728" s="62">
        <f>H723+H724+H725+H726</f>
        <v>302.39999999999998</v>
      </c>
      <c r="H728" s="62"/>
      <c r="J728" s="62">
        <f>K723+K724+K725+K726</f>
        <v>8214.64</v>
      </c>
      <c r="K728" s="62"/>
      <c r="L728" s="46">
        <f>Source!U164</f>
        <v>11.760000000000002</v>
      </c>
      <c r="O728" s="30">
        <f>G728</f>
        <v>302.39999999999998</v>
      </c>
      <c r="P728" s="30">
        <f>J728</f>
        <v>8214.64</v>
      </c>
      <c r="Q728" s="30">
        <f>L728</f>
        <v>11.760000000000002</v>
      </c>
      <c r="W728">
        <f>IF(Source!BI164&lt;=1,H723+H724+H725+H726, 0)</f>
        <v>302.39999999999998</v>
      </c>
      <c r="X728">
        <f>IF(Source!BI164=2,H723+H724+H725+H726, 0)</f>
        <v>0</v>
      </c>
      <c r="Y728">
        <f>IF(Source!BI164=3,H723+H724+H725+H726, 0)</f>
        <v>0</v>
      </c>
      <c r="Z728">
        <f>IF(Source!BI164=4,H723+H724+H725+H726, 0)</f>
        <v>0</v>
      </c>
    </row>
    <row r="729" spans="1:26" ht="42.75" x14ac:dyDescent="0.2">
      <c r="A729" s="53">
        <v>118</v>
      </c>
      <c r="B729" s="53" t="str">
        <f>Source!F165</f>
        <v>13-07-001-02</v>
      </c>
      <c r="C729" s="53" t="str">
        <f>Source!G165</f>
        <v>Обезжиривание поверхностей аппаратов и трубопроводов диаметром до 500 мм: уайт-спиритом</v>
      </c>
      <c r="D729" s="36" t="str">
        <f>Source!H165</f>
        <v>100 м2</v>
      </c>
      <c r="E729" s="10">
        <f>Source!I165</f>
        <v>1.68</v>
      </c>
      <c r="F729" s="37">
        <f>Source!AL165+Source!AM165+Source!AO165</f>
        <v>304.13</v>
      </c>
      <c r="G729" s="38"/>
      <c r="H729" s="37"/>
      <c r="I729" s="38" t="str">
        <f>Source!BO165</f>
        <v/>
      </c>
      <c r="J729" s="38"/>
      <c r="K729" s="37"/>
      <c r="L729" s="39"/>
      <c r="S729">
        <f>ROUND((Source!FX165/100)*((ROUND(Source!AF165*Source!I165, 2)+ROUND(Source!AE165*Source!I165, 2))), 2)</f>
        <v>125.84</v>
      </c>
      <c r="T729">
        <f>Source!X165</f>
        <v>3843.35</v>
      </c>
      <c r="U729">
        <f>ROUND((Source!FY165/100)*((ROUND(Source!AF165*Source!I165, 2)+ROUND(Source!AE165*Source!I165, 2))), 2)</f>
        <v>68.27</v>
      </c>
      <c r="V729">
        <f>Source!Y165</f>
        <v>2085.2199999999998</v>
      </c>
    </row>
    <row r="730" spans="1:26" x14ac:dyDescent="0.2">
      <c r="C730" s="31" t="str">
        <f>"Объем: "&amp;Source!I165&amp;"=168/"&amp;"100"</f>
        <v>Объем: 1,68=168/100</v>
      </c>
    </row>
    <row r="731" spans="1:26" ht="14.25" x14ac:dyDescent="0.2">
      <c r="A731" s="53"/>
      <c r="B731" s="53"/>
      <c r="C731" s="53" t="s">
        <v>1132</v>
      </c>
      <c r="D731" s="36"/>
      <c r="E731" s="10"/>
      <c r="F731" s="37">
        <f>Source!AO165</f>
        <v>79.36</v>
      </c>
      <c r="G731" s="38" t="str">
        <f>Source!DG165</f>
        <v/>
      </c>
      <c r="H731" s="37">
        <f>ROUND(Source!AF165*Source!I165, 2)</f>
        <v>133.32</v>
      </c>
      <c r="I731" s="38"/>
      <c r="J731" s="38">
        <f>IF(Source!BA165&lt;&gt; 0, Source!BA165, 1)</f>
        <v>30.54</v>
      </c>
      <c r="K731" s="37">
        <f>Source!S165</f>
        <v>4071.74</v>
      </c>
      <c r="L731" s="39"/>
      <c r="R731">
        <f>H731</f>
        <v>133.32</v>
      </c>
    </row>
    <row r="732" spans="1:26" ht="14.25" x14ac:dyDescent="0.2">
      <c r="A732" s="53"/>
      <c r="B732" s="53"/>
      <c r="C732" s="53" t="s">
        <v>616</v>
      </c>
      <c r="D732" s="36"/>
      <c r="E732" s="10"/>
      <c r="F732" s="37">
        <f>Source!AM165</f>
        <v>2.23</v>
      </c>
      <c r="G732" s="38" t="str">
        <f>Source!DE165</f>
        <v/>
      </c>
      <c r="H732" s="37">
        <f>ROUND((((Source!ET165)-(Source!EU165))+Source!AE165)*Source!I165, 2)</f>
        <v>3.75</v>
      </c>
      <c r="I732" s="38"/>
      <c r="J732" s="38">
        <f>IF(Source!BB165&lt;&gt; 0, Source!BB165, 1)</f>
        <v>12.13</v>
      </c>
      <c r="K732" s="37">
        <f>Source!Q165</f>
        <v>45.44</v>
      </c>
      <c r="L732" s="39"/>
    </row>
    <row r="733" spans="1:26" ht="14.25" x14ac:dyDescent="0.2">
      <c r="A733" s="53"/>
      <c r="B733" s="53"/>
      <c r="C733" s="53" t="s">
        <v>1138</v>
      </c>
      <c r="D733" s="36"/>
      <c r="E733" s="10"/>
      <c r="F733" s="37">
        <f>Source!AN165</f>
        <v>0.33</v>
      </c>
      <c r="G733" s="38" t="str">
        <f>Source!DF165</f>
        <v/>
      </c>
      <c r="H733" s="47">
        <f>ROUND(Source!AE165*Source!I165, 2)</f>
        <v>0.55000000000000004</v>
      </c>
      <c r="I733" s="38"/>
      <c r="J733" s="38">
        <f>IF(Source!BS165&lt;&gt; 0, Source!BS165, 1)</f>
        <v>30.54</v>
      </c>
      <c r="K733" s="47">
        <f>Source!R165</f>
        <v>16.93</v>
      </c>
      <c r="L733" s="39"/>
      <c r="R733">
        <f>H733</f>
        <v>0.55000000000000004</v>
      </c>
    </row>
    <row r="734" spans="1:26" ht="14.25" x14ac:dyDescent="0.2">
      <c r="A734" s="53"/>
      <c r="B734" s="53"/>
      <c r="C734" s="53" t="s">
        <v>1139</v>
      </c>
      <c r="D734" s="36"/>
      <c r="E734" s="10"/>
      <c r="F734" s="37">
        <f>Source!AL165</f>
        <v>222.54</v>
      </c>
      <c r="G734" s="38" t="str">
        <f>Source!DD165</f>
        <v/>
      </c>
      <c r="H734" s="37">
        <f>ROUND(Source!AC165*Source!I165, 2)</f>
        <v>373.87</v>
      </c>
      <c r="I734" s="38"/>
      <c r="J734" s="38">
        <f>IF(Source!BC165&lt;&gt; 0, Source!BC165, 1)</f>
        <v>8.7100000000000009</v>
      </c>
      <c r="K734" s="37">
        <f>Source!P165</f>
        <v>3256.38</v>
      </c>
      <c r="L734" s="39"/>
    </row>
    <row r="735" spans="1:26" ht="14.25" x14ac:dyDescent="0.2">
      <c r="A735" s="53"/>
      <c r="B735" s="53"/>
      <c r="C735" s="53" t="s">
        <v>1133</v>
      </c>
      <c r="D735" s="36" t="s">
        <v>1134</v>
      </c>
      <c r="E735" s="10">
        <f>Source!BZ165</f>
        <v>94</v>
      </c>
      <c r="F735" s="55"/>
      <c r="G735" s="38"/>
      <c r="H735" s="37">
        <f>SUM(S729:S737)</f>
        <v>125.84</v>
      </c>
      <c r="I735" s="40"/>
      <c r="J735" s="35">
        <f>Source!AT165</f>
        <v>94</v>
      </c>
      <c r="K735" s="37">
        <f>SUM(T729:T737)</f>
        <v>3843.35</v>
      </c>
      <c r="L735" s="39"/>
    </row>
    <row r="736" spans="1:26" ht="14.25" x14ac:dyDescent="0.2">
      <c r="A736" s="53"/>
      <c r="B736" s="53"/>
      <c r="C736" s="53" t="s">
        <v>1135</v>
      </c>
      <c r="D736" s="36" t="s">
        <v>1134</v>
      </c>
      <c r="E736" s="10">
        <f>Source!CA165</f>
        <v>51</v>
      </c>
      <c r="F736" s="55"/>
      <c r="G736" s="38"/>
      <c r="H736" s="37">
        <f>SUM(U729:U737)</f>
        <v>68.27</v>
      </c>
      <c r="I736" s="40"/>
      <c r="J736" s="35">
        <f>Source!AU165</f>
        <v>51</v>
      </c>
      <c r="K736" s="37">
        <f>SUM(V729:V737)</f>
        <v>2085.2199999999998</v>
      </c>
      <c r="L736" s="39"/>
    </row>
    <row r="737" spans="1:26" ht="14.25" x14ac:dyDescent="0.2">
      <c r="A737" s="54"/>
      <c r="B737" s="54"/>
      <c r="C737" s="54" t="s">
        <v>1136</v>
      </c>
      <c r="D737" s="41" t="s">
        <v>1137</v>
      </c>
      <c r="E737" s="42">
        <f>Source!AQ165</f>
        <v>9.08</v>
      </c>
      <c r="F737" s="43"/>
      <c r="G737" s="44" t="str">
        <f>Source!DI165</f>
        <v/>
      </c>
      <c r="H737" s="43"/>
      <c r="I737" s="44"/>
      <c r="J737" s="44"/>
      <c r="K737" s="43"/>
      <c r="L737" s="45">
        <f>Source!U165</f>
        <v>15.2544</v>
      </c>
    </row>
    <row r="738" spans="1:26" ht="15" x14ac:dyDescent="0.25">
      <c r="G738" s="62">
        <f>H731+H732+H734+H735+H736</f>
        <v>705.05</v>
      </c>
      <c r="H738" s="62"/>
      <c r="J738" s="62">
        <f>K731+K732+K734+K735+K736</f>
        <v>13302.13</v>
      </c>
      <c r="K738" s="62"/>
      <c r="L738" s="46">
        <f>Source!U165</f>
        <v>15.2544</v>
      </c>
      <c r="O738" s="30">
        <f>G738</f>
        <v>705.05</v>
      </c>
      <c r="P738" s="30">
        <f>J738</f>
        <v>13302.13</v>
      </c>
      <c r="Q738" s="30">
        <f>L738</f>
        <v>15.2544</v>
      </c>
      <c r="W738">
        <f>IF(Source!BI165&lt;=1,H731+H732+H734+H735+H736, 0)</f>
        <v>705.05</v>
      </c>
      <c r="X738">
        <f>IF(Source!BI165=2,H731+H732+H734+H735+H736, 0)</f>
        <v>0</v>
      </c>
      <c r="Y738">
        <f>IF(Source!BI165=3,H731+H732+H734+H735+H736, 0)</f>
        <v>0</v>
      </c>
      <c r="Z738">
        <f>IF(Source!BI165=4,H731+H732+H734+H735+H736, 0)</f>
        <v>0</v>
      </c>
    </row>
    <row r="739" spans="1:26" ht="28.5" x14ac:dyDescent="0.2">
      <c r="A739" s="53">
        <v>119</v>
      </c>
      <c r="B739" s="53" t="str">
        <f>Source!F166</f>
        <v>13-03-004-26</v>
      </c>
      <c r="C739" s="53" t="str">
        <f>Source!G166</f>
        <v>Окраска металлических огрунтованных поверхностей: эмалью ПФ-115</v>
      </c>
      <c r="D739" s="36" t="str">
        <f>Source!H166</f>
        <v>100 м2</v>
      </c>
      <c r="E739" s="10">
        <f>Source!I166</f>
        <v>1.68</v>
      </c>
      <c r="F739" s="37">
        <f>Source!AL166+Source!AM166+Source!AO166</f>
        <v>163.48999999999998</v>
      </c>
      <c r="G739" s="38"/>
      <c r="H739" s="37"/>
      <c r="I739" s="38" t="str">
        <f>Source!BO166</f>
        <v/>
      </c>
      <c r="J739" s="38"/>
      <c r="K739" s="37"/>
      <c r="L739" s="39"/>
      <c r="S739">
        <f>ROUND((Source!FX166/100)*((ROUND(Source!AF166*Source!I166, 2)+ROUND(Source!AE166*Source!I166, 2))), 2)</f>
        <v>92.57</v>
      </c>
      <c r="T739">
        <f>Source!X166</f>
        <v>2827.17</v>
      </c>
      <c r="U739">
        <f>ROUND((Source!FY166/100)*((ROUND(Source!AF166*Source!I166, 2)+ROUND(Source!AE166*Source!I166, 2))), 2)</f>
        <v>50.22</v>
      </c>
      <c r="V739">
        <f>Source!Y166</f>
        <v>1533.89</v>
      </c>
    </row>
    <row r="740" spans="1:26" x14ac:dyDescent="0.2">
      <c r="C740" s="31" t="str">
        <f>"Объем: "&amp;Source!I166&amp;"=168/"&amp;"100"</f>
        <v>Объем: 1,68=168/100</v>
      </c>
    </row>
    <row r="741" spans="1:26" ht="14.25" x14ac:dyDescent="0.2">
      <c r="A741" s="53"/>
      <c r="B741" s="53"/>
      <c r="C741" s="53" t="s">
        <v>1132</v>
      </c>
      <c r="D741" s="36"/>
      <c r="E741" s="10"/>
      <c r="F741" s="37">
        <f>Source!AO166</f>
        <v>19.32</v>
      </c>
      <c r="G741" s="38" t="str">
        <f>Source!DG166</f>
        <v>)*3</v>
      </c>
      <c r="H741" s="37">
        <f>ROUND(Source!AF166*Source!I166, 2)</f>
        <v>97.37</v>
      </c>
      <c r="I741" s="38"/>
      <c r="J741" s="38">
        <f>IF(Source!BA166&lt;&gt; 0, Source!BA166, 1)</f>
        <v>30.54</v>
      </c>
      <c r="K741" s="37">
        <f>Source!S166</f>
        <v>2973.77</v>
      </c>
      <c r="L741" s="39"/>
      <c r="R741">
        <f>H741</f>
        <v>97.37</v>
      </c>
    </row>
    <row r="742" spans="1:26" ht="14.25" x14ac:dyDescent="0.2">
      <c r="A742" s="53"/>
      <c r="B742" s="53"/>
      <c r="C742" s="53" t="s">
        <v>616</v>
      </c>
      <c r="D742" s="36"/>
      <c r="E742" s="10"/>
      <c r="F742" s="37">
        <f>Source!AM166</f>
        <v>6.01</v>
      </c>
      <c r="G742" s="38" t="str">
        <f>Source!DE166</f>
        <v>)*3</v>
      </c>
      <c r="H742" s="37">
        <f>ROUND(((((Source!ET166*3))-((Source!EU166*3)))+Source!AE166)*Source!I166, 2)</f>
        <v>30.29</v>
      </c>
      <c r="I742" s="38"/>
      <c r="J742" s="38">
        <f>IF(Source!BB166&lt;&gt; 0, Source!BB166, 1)</f>
        <v>12.13</v>
      </c>
      <c r="K742" s="37">
        <f>Source!Q166</f>
        <v>367.42</v>
      </c>
      <c r="L742" s="39"/>
    </row>
    <row r="743" spans="1:26" ht="14.25" x14ac:dyDescent="0.2">
      <c r="A743" s="53"/>
      <c r="B743" s="53"/>
      <c r="C743" s="53" t="s">
        <v>1138</v>
      </c>
      <c r="D743" s="36"/>
      <c r="E743" s="10"/>
      <c r="F743" s="37">
        <f>Source!AN166</f>
        <v>0.22</v>
      </c>
      <c r="G743" s="38" t="str">
        <f>Source!DF166</f>
        <v>)*3</v>
      </c>
      <c r="H743" s="47">
        <f>ROUND(Source!AE166*Source!I166, 2)</f>
        <v>1.1100000000000001</v>
      </c>
      <c r="I743" s="38"/>
      <c r="J743" s="38">
        <f>IF(Source!BS166&lt;&gt; 0, Source!BS166, 1)</f>
        <v>30.54</v>
      </c>
      <c r="K743" s="47">
        <f>Source!R166</f>
        <v>33.86</v>
      </c>
      <c r="L743" s="39"/>
      <c r="R743">
        <f>H743</f>
        <v>1.1100000000000001</v>
      </c>
    </row>
    <row r="744" spans="1:26" ht="14.25" x14ac:dyDescent="0.2">
      <c r="A744" s="53"/>
      <c r="B744" s="53"/>
      <c r="C744" s="53" t="s">
        <v>1139</v>
      </c>
      <c r="D744" s="36"/>
      <c r="E744" s="10"/>
      <c r="F744" s="37">
        <f>Source!AL166</f>
        <v>138.16</v>
      </c>
      <c r="G744" s="38" t="str">
        <f>Source!DD166</f>
        <v>)*3</v>
      </c>
      <c r="H744" s="37">
        <f>ROUND(Source!AC166*Source!I166, 2)</f>
        <v>696.33</v>
      </c>
      <c r="I744" s="38"/>
      <c r="J744" s="38">
        <f>IF(Source!BC166&lt;&gt; 0, Source!BC166, 1)</f>
        <v>8.7100000000000009</v>
      </c>
      <c r="K744" s="37">
        <f>Source!P166</f>
        <v>6065</v>
      </c>
      <c r="L744" s="39"/>
    </row>
    <row r="745" spans="1:26" ht="14.25" x14ac:dyDescent="0.2">
      <c r="A745" s="53"/>
      <c r="B745" s="53"/>
      <c r="C745" s="53" t="s">
        <v>1133</v>
      </c>
      <c r="D745" s="36" t="s">
        <v>1134</v>
      </c>
      <c r="E745" s="10">
        <f>Source!BZ166</f>
        <v>94</v>
      </c>
      <c r="F745" s="55"/>
      <c r="G745" s="38"/>
      <c r="H745" s="37">
        <f>SUM(S739:S748)</f>
        <v>92.57</v>
      </c>
      <c r="I745" s="40"/>
      <c r="J745" s="35">
        <f>Source!AT166</f>
        <v>94</v>
      </c>
      <c r="K745" s="37">
        <f>SUM(T739:T748)</f>
        <v>2827.17</v>
      </c>
      <c r="L745" s="39"/>
    </row>
    <row r="746" spans="1:26" ht="14.25" x14ac:dyDescent="0.2">
      <c r="A746" s="53"/>
      <c r="B746" s="53"/>
      <c r="C746" s="53" t="s">
        <v>1135</v>
      </c>
      <c r="D746" s="36" t="s">
        <v>1134</v>
      </c>
      <c r="E746" s="10">
        <f>Source!CA166</f>
        <v>51</v>
      </c>
      <c r="F746" s="55"/>
      <c r="G746" s="38"/>
      <c r="H746" s="37">
        <f>SUM(U739:U748)</f>
        <v>50.22</v>
      </c>
      <c r="I746" s="40"/>
      <c r="J746" s="35">
        <f>Source!AU166</f>
        <v>51</v>
      </c>
      <c r="K746" s="37">
        <f>SUM(V739:V748)</f>
        <v>1533.89</v>
      </c>
      <c r="L746" s="39"/>
    </row>
    <row r="747" spans="1:26" ht="14.25" x14ac:dyDescent="0.2">
      <c r="A747" s="53"/>
      <c r="B747" s="53"/>
      <c r="C747" s="53" t="s">
        <v>1136</v>
      </c>
      <c r="D747" s="36" t="s">
        <v>1137</v>
      </c>
      <c r="E747" s="10">
        <f>Source!AQ166</f>
        <v>2.13</v>
      </c>
      <c r="F747" s="37"/>
      <c r="G747" s="38" t="str">
        <f>Source!DI166</f>
        <v>)*3</v>
      </c>
      <c r="H747" s="37"/>
      <c r="I747" s="38"/>
      <c r="J747" s="38"/>
      <c r="K747" s="37"/>
      <c r="L747" s="48">
        <f>Source!U166</f>
        <v>10.735199999999999</v>
      </c>
    </row>
    <row r="748" spans="1:26" ht="28.5" x14ac:dyDescent="0.2">
      <c r="A748" s="54">
        <v>119.1</v>
      </c>
      <c r="B748" s="54" t="str">
        <f>Source!F167</f>
        <v>14.4.04.08-0003</v>
      </c>
      <c r="C748" s="54" t="str">
        <f>Source!G167</f>
        <v>Эмаль ПФ-115, серая</v>
      </c>
      <c r="D748" s="41" t="str">
        <f>Source!H167</f>
        <v>т</v>
      </c>
      <c r="E748" s="42">
        <f>Source!I167</f>
        <v>-4.5359999999999998E-2</v>
      </c>
      <c r="F748" s="43">
        <f>Source!AL167+Source!AM167+Source!AO167</f>
        <v>14312.87</v>
      </c>
      <c r="G748" s="49" t="s">
        <v>1176</v>
      </c>
      <c r="H748" s="43">
        <f>ROUND(Source!AC167*Source!I167, 2)+ROUND((((Source!ET167)-(Source!EU167))+Source!AE167)*Source!I167, 2)+ROUND(Source!AF167*Source!I167, 2)</f>
        <v>-649.23</v>
      </c>
      <c r="I748" s="44"/>
      <c r="J748" s="44">
        <f>IF(Source!BC167&lt;&gt; 0, Source!BC167, 1)</f>
        <v>8.7100000000000009</v>
      </c>
      <c r="K748" s="43">
        <f>Source!O167</f>
        <v>-5654.81</v>
      </c>
      <c r="L748" s="50"/>
      <c r="S748">
        <f>ROUND((Source!FX167/100)*((ROUND(Source!AF167*Source!I167, 2)+ROUND(Source!AE167*Source!I167, 2))), 2)</f>
        <v>0</v>
      </c>
      <c r="T748">
        <f>Source!X167</f>
        <v>0</v>
      </c>
      <c r="U748">
        <f>ROUND((Source!FY167/100)*((ROUND(Source!AF167*Source!I167, 2)+ROUND(Source!AE167*Source!I167, 2))), 2)</f>
        <v>0</v>
      </c>
      <c r="V748">
        <f>Source!Y167</f>
        <v>0</v>
      </c>
      <c r="W748">
        <f>IF(Source!BI167&lt;=1,H748, 0)</f>
        <v>-649.23</v>
      </c>
      <c r="X748">
        <f>IF(Source!BI167=2,H748, 0)</f>
        <v>0</v>
      </c>
      <c r="Y748">
        <f>IF(Source!BI167=3,H748, 0)</f>
        <v>0</v>
      </c>
      <c r="Z748">
        <f>IF(Source!BI167=4,H748, 0)</f>
        <v>0</v>
      </c>
    </row>
    <row r="749" spans="1:26" ht="15" x14ac:dyDescent="0.25">
      <c r="G749" s="62">
        <f>H741+H742+H744+H745+H746+SUM(H748:H748)</f>
        <v>317.54999999999995</v>
      </c>
      <c r="H749" s="62"/>
      <c r="J749" s="62">
        <f>K741+K742+K744+K745+K746+SUM(K748:K748)</f>
        <v>8112.44</v>
      </c>
      <c r="K749" s="62"/>
      <c r="L749" s="46">
        <f>Source!U166</f>
        <v>10.735199999999999</v>
      </c>
      <c r="O749" s="30">
        <f>G749</f>
        <v>317.54999999999995</v>
      </c>
      <c r="P749" s="30">
        <f>J749</f>
        <v>8112.44</v>
      </c>
      <c r="Q749" s="30">
        <f>L749</f>
        <v>10.735199999999999</v>
      </c>
      <c r="W749">
        <f>IF(Source!BI166&lt;=1,H741+H742+H744+H745+H746, 0)</f>
        <v>966.78</v>
      </c>
      <c r="X749">
        <f>IF(Source!BI166=2,H741+H742+H744+H745+H746, 0)</f>
        <v>0</v>
      </c>
      <c r="Y749">
        <f>IF(Source!BI166=3,H741+H742+H744+H745+H746, 0)</f>
        <v>0</v>
      </c>
      <c r="Z749">
        <f>IF(Source!BI166=4,H741+H742+H744+H745+H746, 0)</f>
        <v>0</v>
      </c>
    </row>
    <row r="750" spans="1:26" ht="54" x14ac:dyDescent="0.2">
      <c r="A750" s="54">
        <v>120</v>
      </c>
      <c r="B750" s="54" t="str">
        <f>Source!F168</f>
        <v>Цена Поставщика</v>
      </c>
      <c r="C750" s="54" t="s">
        <v>1177</v>
      </c>
      <c r="D750" s="41" t="str">
        <f>Source!H168</f>
        <v>кг</v>
      </c>
      <c r="E750" s="42">
        <f>Source!I168</f>
        <v>60.48</v>
      </c>
      <c r="F750" s="43">
        <f>Source!AL168</f>
        <v>27.050000000000004</v>
      </c>
      <c r="G750" s="44" t="str">
        <f>Source!DD168</f>
        <v/>
      </c>
      <c r="H750" s="43">
        <f>ROUND(Source!AC168*Source!I168, 2)</f>
        <v>1635.98</v>
      </c>
      <c r="I750" s="44" t="str">
        <f>Source!BO168</f>
        <v/>
      </c>
      <c r="J750" s="44">
        <f>IF(Source!BC168&lt;&gt; 0, Source!BC168, 1)</f>
        <v>8.7100000000000009</v>
      </c>
      <c r="K750" s="43">
        <f>Source!P168</f>
        <v>14249.42</v>
      </c>
      <c r="L750" s="50"/>
      <c r="S750">
        <f>ROUND((Source!FX168/100)*((ROUND(Source!AF168*Source!I168, 2)+ROUND(Source!AE168*Source!I168, 2))), 2)</f>
        <v>0</v>
      </c>
      <c r="T750">
        <f>Source!X168</f>
        <v>0</v>
      </c>
      <c r="U750">
        <f>ROUND((Source!FY168/100)*((ROUND(Source!AF168*Source!I168, 2)+ROUND(Source!AE168*Source!I168, 2))), 2)</f>
        <v>0</v>
      </c>
      <c r="V750">
        <f>Source!Y168</f>
        <v>0</v>
      </c>
    </row>
    <row r="751" spans="1:26" ht="15" x14ac:dyDescent="0.25">
      <c r="G751" s="62">
        <f>H750</f>
        <v>1635.98</v>
      </c>
      <c r="H751" s="62"/>
      <c r="J751" s="62">
        <f>K750</f>
        <v>14249.42</v>
      </c>
      <c r="K751" s="62"/>
      <c r="L751" s="46">
        <f>Source!U168</f>
        <v>0</v>
      </c>
      <c r="O751" s="30">
        <f>G751</f>
        <v>1635.98</v>
      </c>
      <c r="P751" s="30">
        <f>J751</f>
        <v>14249.42</v>
      </c>
      <c r="Q751" s="30">
        <f>L751</f>
        <v>0</v>
      </c>
      <c r="W751">
        <f>IF(Source!BI168&lt;=1,H750, 0)</f>
        <v>1635.98</v>
      </c>
      <c r="X751">
        <f>IF(Source!BI168=2,H750, 0)</f>
        <v>0</v>
      </c>
      <c r="Y751">
        <f>IF(Source!BI168=3,H750, 0)</f>
        <v>0</v>
      </c>
      <c r="Z751">
        <f>IF(Source!BI168=4,H750, 0)</f>
        <v>0</v>
      </c>
    </row>
    <row r="752" spans="1:26" ht="42.75" x14ac:dyDescent="0.2">
      <c r="A752" s="53">
        <v>121</v>
      </c>
      <c r="B752" s="53" t="str">
        <f>Source!F169</f>
        <v>09-04-006-02</v>
      </c>
      <c r="C752" s="53" t="str">
        <f>Source!G169</f>
        <v>Монтаж ограждающих конструкций стен: из профилированного листа при высоте здания до 30 м</v>
      </c>
      <c r="D752" s="36" t="str">
        <f>Source!H169</f>
        <v>100 м2</v>
      </c>
      <c r="E752" s="10">
        <f>Source!I169</f>
        <v>4.0019999999999998</v>
      </c>
      <c r="F752" s="37">
        <f>Source!AL169+Source!AM169+Source!AO169</f>
        <v>3544.01</v>
      </c>
      <c r="G752" s="38"/>
      <c r="H752" s="37"/>
      <c r="I752" s="38" t="str">
        <f>Source!BO169</f>
        <v/>
      </c>
      <c r="J752" s="38"/>
      <c r="K752" s="37"/>
      <c r="L752" s="39"/>
      <c r="S752">
        <f>ROUND((Source!FX169/100)*((ROUND(Source!AF169*Source!I169, 2)+ROUND(Source!AE169*Source!I169, 2))), 2)</f>
        <v>5422.01</v>
      </c>
      <c r="T752">
        <f>Source!X169</f>
        <v>165588.04999999999</v>
      </c>
      <c r="U752">
        <f>ROUND((Source!FY169/100)*((ROUND(Source!AF169*Source!I169, 2)+ROUND(Source!AE169*Source!I169, 2))), 2)</f>
        <v>3072.47</v>
      </c>
      <c r="V752">
        <f>Source!Y169</f>
        <v>93833.23</v>
      </c>
    </row>
    <row r="753" spans="1:26" ht="14.25" x14ac:dyDescent="0.2">
      <c r="A753" s="53"/>
      <c r="B753" s="53"/>
      <c r="C753" s="53" t="s">
        <v>1132</v>
      </c>
      <c r="D753" s="36"/>
      <c r="E753" s="10"/>
      <c r="F753" s="37">
        <f>Source!AO169</f>
        <v>852.58</v>
      </c>
      <c r="G753" s="38" t="str">
        <f>Source!DG169</f>
        <v>)*1,15)*1,15</v>
      </c>
      <c r="H753" s="37">
        <f>ROUND(Source!AF169*Source!I169, 2)</f>
        <v>4512.42</v>
      </c>
      <c r="I753" s="38"/>
      <c r="J753" s="38">
        <f>IF(Source!BA169&lt;&gt; 0, Source!BA169, 1)</f>
        <v>30.54</v>
      </c>
      <c r="K753" s="37">
        <f>Source!S169</f>
        <v>137809.16</v>
      </c>
      <c r="L753" s="39"/>
      <c r="R753">
        <f>H753</f>
        <v>4512.42</v>
      </c>
    </row>
    <row r="754" spans="1:26" ht="14.25" x14ac:dyDescent="0.2">
      <c r="A754" s="53"/>
      <c r="B754" s="53"/>
      <c r="C754" s="53" t="s">
        <v>616</v>
      </c>
      <c r="D754" s="36"/>
      <c r="E754" s="10"/>
      <c r="F754" s="37">
        <f>Source!AM169</f>
        <v>2390.59</v>
      </c>
      <c r="G754" s="38" t="str">
        <f>Source!DE169</f>
        <v>)*1,25)*1,15</v>
      </c>
      <c r="H754" s="37">
        <f>ROUND((((((Source!ET169*1.25)*1.15))-(((Source!EU169*1.25)*1.15)))+Source!AE169)*Source!I169, 2)</f>
        <v>13752.77</v>
      </c>
      <c r="I754" s="38"/>
      <c r="J754" s="38">
        <f>IF(Source!BB169&lt;&gt; 0, Source!BB169, 1)</f>
        <v>12.13</v>
      </c>
      <c r="K754" s="37">
        <f>Source!Q169</f>
        <v>166821.12</v>
      </c>
      <c r="L754" s="39"/>
    </row>
    <row r="755" spans="1:26" ht="14.25" x14ac:dyDescent="0.2">
      <c r="A755" s="53"/>
      <c r="B755" s="53"/>
      <c r="C755" s="53" t="s">
        <v>1138</v>
      </c>
      <c r="D755" s="36"/>
      <c r="E755" s="10"/>
      <c r="F755" s="37">
        <f>Source!AN169</f>
        <v>229.05</v>
      </c>
      <c r="G755" s="38" t="str">
        <f>Source!DF169</f>
        <v>)*1,25)*1,15</v>
      </c>
      <c r="H755" s="47">
        <f>ROUND(Source!AE169*Source!I169, 2)</f>
        <v>1317.7</v>
      </c>
      <c r="I755" s="38"/>
      <c r="J755" s="38">
        <f>IF(Source!BS169&lt;&gt; 0, Source!BS169, 1)</f>
        <v>30.54</v>
      </c>
      <c r="K755" s="47">
        <f>Source!R169</f>
        <v>40242.51</v>
      </c>
      <c r="L755" s="39"/>
      <c r="R755">
        <f>H755</f>
        <v>1317.7</v>
      </c>
    </row>
    <row r="756" spans="1:26" ht="14.25" x14ac:dyDescent="0.2">
      <c r="A756" s="53"/>
      <c r="B756" s="53"/>
      <c r="C756" s="53" t="s">
        <v>1139</v>
      </c>
      <c r="D756" s="36"/>
      <c r="E756" s="10"/>
      <c r="F756" s="37">
        <f>Source!AL169</f>
        <v>300.83999999999997</v>
      </c>
      <c r="G756" s="38" t="str">
        <f>Source!DD169</f>
        <v/>
      </c>
      <c r="H756" s="37">
        <f>ROUND(Source!AC169*Source!I169, 2)</f>
        <v>1203.96</v>
      </c>
      <c r="I756" s="38"/>
      <c r="J756" s="38">
        <f>IF(Source!BC169&lt;&gt; 0, Source!BC169, 1)</f>
        <v>8.7100000000000009</v>
      </c>
      <c r="K756" s="37">
        <f>Source!P169</f>
        <v>10486.51</v>
      </c>
      <c r="L756" s="39"/>
    </row>
    <row r="757" spans="1:26" ht="14.25" x14ac:dyDescent="0.2">
      <c r="A757" s="53"/>
      <c r="B757" s="53"/>
      <c r="C757" s="53" t="s">
        <v>1133</v>
      </c>
      <c r="D757" s="36" t="s">
        <v>1134</v>
      </c>
      <c r="E757" s="10">
        <f>Source!BZ169</f>
        <v>93</v>
      </c>
      <c r="F757" s="55"/>
      <c r="G757" s="38"/>
      <c r="H757" s="37">
        <f>SUM(S752:S759)</f>
        <v>5422.01</v>
      </c>
      <c r="I757" s="40"/>
      <c r="J757" s="35">
        <f>Source!AT169</f>
        <v>93</v>
      </c>
      <c r="K757" s="37">
        <f>SUM(T752:T759)</f>
        <v>165588.04999999999</v>
      </c>
      <c r="L757" s="39"/>
    </row>
    <row r="758" spans="1:26" ht="14.25" x14ac:dyDescent="0.2">
      <c r="A758" s="53"/>
      <c r="B758" s="53"/>
      <c r="C758" s="53" t="s">
        <v>1135</v>
      </c>
      <c r="D758" s="36" t="s">
        <v>1134</v>
      </c>
      <c r="E758" s="10">
        <f>Source!CA169</f>
        <v>62</v>
      </c>
      <c r="F758" s="65" t="str">
        <f>CONCATENATE(" )", Source!DM169, Source!FU169, "=", Source!FY169)</f>
        <v xml:space="preserve"> ))*0,85=52,7</v>
      </c>
      <c r="G758" s="66"/>
      <c r="H758" s="37">
        <f>SUM(U752:U759)</f>
        <v>3072.47</v>
      </c>
      <c r="I758" s="40"/>
      <c r="J758" s="35">
        <f>Source!AU169</f>
        <v>52.7</v>
      </c>
      <c r="K758" s="37">
        <f>SUM(V752:V759)</f>
        <v>93833.23</v>
      </c>
      <c r="L758" s="39"/>
    </row>
    <row r="759" spans="1:26" ht="14.25" x14ac:dyDescent="0.2">
      <c r="A759" s="54"/>
      <c r="B759" s="54"/>
      <c r="C759" s="54" t="s">
        <v>1136</v>
      </c>
      <c r="D759" s="41" t="s">
        <v>1137</v>
      </c>
      <c r="E759" s="42">
        <f>Source!AQ169</f>
        <v>94</v>
      </c>
      <c r="F759" s="43"/>
      <c r="G759" s="44" t="str">
        <f>Source!DI169</f>
        <v>)*1,15)*1,15</v>
      </c>
      <c r="H759" s="43"/>
      <c r="I759" s="44"/>
      <c r="J759" s="44"/>
      <c r="K759" s="43"/>
      <c r="L759" s="45">
        <f>Source!U169</f>
        <v>497.50862999999993</v>
      </c>
    </row>
    <row r="760" spans="1:26" ht="15" x14ac:dyDescent="0.25">
      <c r="G760" s="62">
        <f>H753+H754+H756+H757+H758</f>
        <v>27963.630000000005</v>
      </c>
      <c r="H760" s="62"/>
      <c r="J760" s="62">
        <f>K753+K754+K756+K757+K758</f>
        <v>574538.07000000007</v>
      </c>
      <c r="K760" s="62"/>
      <c r="L760" s="46">
        <f>Source!U169</f>
        <v>497.50862999999993</v>
      </c>
      <c r="O760" s="30">
        <f>G760</f>
        <v>27963.630000000005</v>
      </c>
      <c r="P760" s="30">
        <f>J760</f>
        <v>574538.07000000007</v>
      </c>
      <c r="Q760" s="30">
        <f>L760</f>
        <v>497.50862999999993</v>
      </c>
      <c r="W760">
        <f>IF(Source!BI169&lt;=1,H753+H754+H756+H757+H758, 0)</f>
        <v>27963.630000000005</v>
      </c>
      <c r="X760">
        <f>IF(Source!BI169=2,H753+H754+H756+H757+H758, 0)</f>
        <v>0</v>
      </c>
      <c r="Y760">
        <f>IF(Source!BI169=3,H753+H754+H756+H757+H758, 0)</f>
        <v>0</v>
      </c>
      <c r="Z760">
        <f>IF(Source!BI169=4,H753+H754+H756+H757+H758, 0)</f>
        <v>0</v>
      </c>
    </row>
    <row r="761" spans="1:26" ht="54" x14ac:dyDescent="0.2">
      <c r="A761" s="53">
        <v>122</v>
      </c>
      <c r="B761" s="53" t="str">
        <f>Source!F170</f>
        <v>Цена Поставщика</v>
      </c>
      <c r="C761" s="53" t="s">
        <v>1179</v>
      </c>
      <c r="D761" s="36" t="str">
        <f>Source!H170</f>
        <v>м2</v>
      </c>
      <c r="E761" s="10">
        <f>Source!I170</f>
        <v>420.21</v>
      </c>
      <c r="F761" s="37">
        <f>Source!AL170</f>
        <v>75.11</v>
      </c>
      <c r="G761" s="38" t="str">
        <f>Source!DD170</f>
        <v/>
      </c>
      <c r="H761" s="37">
        <f>ROUND(Source!AC170*Source!I170, 2)</f>
        <v>31561.97</v>
      </c>
      <c r="I761" s="38" t="str">
        <f>Source!BO170</f>
        <v/>
      </c>
      <c r="J761" s="38">
        <f>IF(Source!BC170&lt;&gt; 0, Source!BC170, 1)</f>
        <v>8.7100000000000009</v>
      </c>
      <c r="K761" s="37">
        <f>Source!P170</f>
        <v>274904.78999999998</v>
      </c>
      <c r="L761" s="39"/>
      <c r="S761">
        <f>ROUND((Source!FX170/100)*((ROUND(Source!AF170*Source!I170, 2)+ROUND(Source!AE170*Source!I170, 2))), 2)</f>
        <v>0</v>
      </c>
      <c r="T761">
        <f>Source!X170</f>
        <v>0</v>
      </c>
      <c r="U761">
        <f>ROUND((Source!FY170/100)*((ROUND(Source!AF170*Source!I170, 2)+ROUND(Source!AE170*Source!I170, 2))), 2)</f>
        <v>0</v>
      </c>
      <c r="V761">
        <f>Source!Y170</f>
        <v>0</v>
      </c>
    </row>
    <row r="762" spans="1:26" x14ac:dyDescent="0.2">
      <c r="A762" s="32"/>
      <c r="B762" s="32"/>
      <c r="C762" s="33" t="str">
        <f>"Объем: "&amp;Source!I170&amp;"="&amp;Source!I169&amp;"*"&amp;"105"</f>
        <v>Объем: 420,21=4,002*105</v>
      </c>
      <c r="D762" s="32"/>
      <c r="E762" s="32"/>
      <c r="F762" s="32"/>
      <c r="G762" s="32"/>
      <c r="H762" s="32"/>
      <c r="I762" s="32"/>
      <c r="J762" s="32"/>
      <c r="K762" s="32"/>
      <c r="L762" s="32"/>
    </row>
    <row r="763" spans="1:26" ht="15" x14ac:dyDescent="0.25">
      <c r="G763" s="62">
        <f>H761</f>
        <v>31561.97</v>
      </c>
      <c r="H763" s="62"/>
      <c r="J763" s="62">
        <f>K761</f>
        <v>274904.78999999998</v>
      </c>
      <c r="K763" s="62"/>
      <c r="L763" s="46">
        <f>Source!U170</f>
        <v>0</v>
      </c>
      <c r="O763" s="30">
        <f>G763</f>
        <v>31561.97</v>
      </c>
      <c r="P763" s="30">
        <f>J763</f>
        <v>274904.78999999998</v>
      </c>
      <c r="Q763" s="30">
        <f>L763</f>
        <v>0</v>
      </c>
      <c r="W763">
        <f>IF(Source!BI170&lt;=1,H761, 0)</f>
        <v>31561.97</v>
      </c>
      <c r="X763">
        <f>IF(Source!BI170=2,H761, 0)</f>
        <v>0</v>
      </c>
      <c r="Y763">
        <f>IF(Source!BI170=3,H761, 0)</f>
        <v>0</v>
      </c>
      <c r="Z763">
        <f>IF(Source!BI170=4,H761, 0)</f>
        <v>0</v>
      </c>
    </row>
    <row r="764" spans="1:26" ht="42.75" x14ac:dyDescent="0.2">
      <c r="A764" s="54">
        <v>123</v>
      </c>
      <c r="B764" s="54" t="str">
        <f>Source!F171</f>
        <v>Цена Поставщика</v>
      </c>
      <c r="C764" s="54" t="s">
        <v>1180</v>
      </c>
      <c r="D764" s="41" t="str">
        <f>Source!H171</f>
        <v>шт.</v>
      </c>
      <c r="E764" s="42">
        <f>Source!I171</f>
        <v>4410</v>
      </c>
      <c r="F764" s="43">
        <f>Source!AL171</f>
        <v>0.45</v>
      </c>
      <c r="G764" s="44" t="str">
        <f>Source!DD171</f>
        <v/>
      </c>
      <c r="H764" s="43">
        <f>ROUND(Source!AC171*Source!I171, 2)</f>
        <v>1984.5</v>
      </c>
      <c r="I764" s="44" t="str">
        <f>Source!BO171</f>
        <v/>
      </c>
      <c r="J764" s="44">
        <f>IF(Source!BC171&lt;&gt; 0, Source!BC171, 1)</f>
        <v>8.7100000000000009</v>
      </c>
      <c r="K764" s="43">
        <f>Source!P171</f>
        <v>17285</v>
      </c>
      <c r="L764" s="50"/>
      <c r="S764">
        <f>ROUND((Source!FX171/100)*((ROUND(Source!AF171*Source!I171, 2)+ROUND(Source!AE171*Source!I171, 2))), 2)</f>
        <v>0</v>
      </c>
      <c r="T764">
        <f>Source!X171</f>
        <v>0</v>
      </c>
      <c r="U764">
        <f>ROUND((Source!FY171/100)*((ROUND(Source!AF171*Source!I171, 2)+ROUND(Source!AE171*Source!I171, 2))), 2)</f>
        <v>0</v>
      </c>
      <c r="V764">
        <f>Source!Y171</f>
        <v>0</v>
      </c>
    </row>
    <row r="765" spans="1:26" ht="15" x14ac:dyDescent="0.25">
      <c r="G765" s="62">
        <f>H764</f>
        <v>1984.5</v>
      </c>
      <c r="H765" s="62"/>
      <c r="J765" s="62">
        <f>K764</f>
        <v>17285</v>
      </c>
      <c r="K765" s="62"/>
      <c r="L765" s="46">
        <f>Source!U171</f>
        <v>0</v>
      </c>
      <c r="O765" s="30">
        <f>G765</f>
        <v>1984.5</v>
      </c>
      <c r="P765" s="30">
        <f>J765</f>
        <v>17285</v>
      </c>
      <c r="Q765" s="30">
        <f>L765</f>
        <v>0</v>
      </c>
      <c r="W765">
        <f>IF(Source!BI171&lt;=1,H764, 0)</f>
        <v>1984.5</v>
      </c>
      <c r="X765">
        <f>IF(Source!BI171=2,H764, 0)</f>
        <v>0</v>
      </c>
      <c r="Y765">
        <f>IF(Source!BI171=3,H764, 0)</f>
        <v>0</v>
      </c>
      <c r="Z765">
        <f>IF(Source!BI171=4,H764, 0)</f>
        <v>0</v>
      </c>
    </row>
    <row r="767" spans="1:26" ht="15" x14ac:dyDescent="0.25">
      <c r="B767" s="64" t="str">
        <f>Source!G172</f>
        <v>Утизизация строительного мусора</v>
      </c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1:26" ht="42.75" x14ac:dyDescent="0.2">
      <c r="A768" s="54">
        <v>124</v>
      </c>
      <c r="B768" s="54" t="str">
        <f>Source!F173</f>
        <v>т01-01-01-041</v>
      </c>
      <c r="C768" s="54" t="str">
        <f>Source!G173</f>
        <v>Погрузка при автомобильных перевозках мусора строительного с погрузкой вручную</v>
      </c>
      <c r="D768" s="41" t="str">
        <f>Source!H173</f>
        <v>1 т груза</v>
      </c>
      <c r="E768" s="42">
        <f>Source!I173</f>
        <v>2.5030000000000001</v>
      </c>
      <c r="F768" s="43">
        <f>Source!AK173</f>
        <v>42.98</v>
      </c>
      <c r="G768" s="44" t="str">
        <f>Source!DC173</f>
        <v/>
      </c>
      <c r="H768" s="43">
        <f>ROUND(Source!AB173*Source!I173, 2)</f>
        <v>107.58</v>
      </c>
      <c r="I768" s="44" t="str">
        <f>Source!BO173</f>
        <v/>
      </c>
      <c r="J768" s="44">
        <f>Source!AZ173</f>
        <v>12.02</v>
      </c>
      <c r="K768" s="43">
        <f>Source!GM173</f>
        <v>1293.0999999999999</v>
      </c>
      <c r="L768" s="50"/>
      <c r="S768">
        <f>ROUND((Source!FX173/100)*((ROUND(0*Source!I173, 2)+ROUND(0*Source!I173, 2))), 2)</f>
        <v>0</v>
      </c>
      <c r="T768">
        <f>Source!X173</f>
        <v>0</v>
      </c>
      <c r="U768">
        <f>ROUND((Source!FY173/100)*((ROUND(0*Source!I173, 2)+ROUND(0*Source!I173, 2))), 2)</f>
        <v>0</v>
      </c>
      <c r="V768">
        <f>Source!Y173</f>
        <v>0</v>
      </c>
    </row>
    <row r="769" spans="1:32" ht="15" x14ac:dyDescent="0.25">
      <c r="G769" s="62">
        <f>H768</f>
        <v>107.58</v>
      </c>
      <c r="H769" s="62"/>
      <c r="J769" s="62">
        <f>K768</f>
        <v>1293.0999999999999</v>
      </c>
      <c r="K769" s="62"/>
      <c r="L769" s="46">
        <f>Source!U173</f>
        <v>0</v>
      </c>
      <c r="O769" s="30">
        <f>G769</f>
        <v>107.58</v>
      </c>
      <c r="P769" s="30">
        <f>J769</f>
        <v>1293.0999999999999</v>
      </c>
      <c r="Q769" s="30">
        <f>L769</f>
        <v>0</v>
      </c>
      <c r="W769">
        <f>IF(Source!BI173&lt;=1,H768, 0)</f>
        <v>107.58</v>
      </c>
      <c r="X769">
        <f>IF(Source!BI173=2,H768, 0)</f>
        <v>0</v>
      </c>
      <c r="Y769">
        <f>IF(Source!BI173=3,H768, 0)</f>
        <v>0</v>
      </c>
      <c r="Z769">
        <f>IF(Source!BI173=4,H768, 0)</f>
        <v>0</v>
      </c>
    </row>
    <row r="770" spans="1:32" ht="57" x14ac:dyDescent="0.2">
      <c r="A770" s="54">
        <v>125</v>
      </c>
      <c r="B770" s="54" t="str">
        <f>Source!F174</f>
        <v>т01-01-01-043</v>
      </c>
      <c r="C770" s="54" t="str">
        <f>Source!G174</f>
        <v>Погрузка при автомобильных перевозках мусора строительного с погрузкой экскаваторами емкостью ковша до 0,5 м3</v>
      </c>
      <c r="D770" s="41" t="str">
        <f>Source!H174</f>
        <v>1 т груза</v>
      </c>
      <c r="E770" s="42">
        <f>Source!I174</f>
        <v>22.527000000000001</v>
      </c>
      <c r="F770" s="43">
        <f>Source!AK174</f>
        <v>3.28</v>
      </c>
      <c r="G770" s="44" t="str">
        <f>Source!DC174</f>
        <v/>
      </c>
      <c r="H770" s="43">
        <f>ROUND(Source!AB174*Source!I174, 2)</f>
        <v>73.89</v>
      </c>
      <c r="I770" s="44" t="str">
        <f>Source!BO174</f>
        <v/>
      </c>
      <c r="J770" s="44">
        <f>Source!AZ174</f>
        <v>12.02</v>
      </c>
      <c r="K770" s="43">
        <f>Source!GM174</f>
        <v>888.14</v>
      </c>
      <c r="L770" s="50"/>
      <c r="S770">
        <f>ROUND((Source!FX174/100)*((ROUND(0*Source!I174, 2)+ROUND(0*Source!I174, 2))), 2)</f>
        <v>0</v>
      </c>
      <c r="T770">
        <f>Source!X174</f>
        <v>0</v>
      </c>
      <c r="U770">
        <f>ROUND((Source!FY174/100)*((ROUND(0*Source!I174, 2)+ROUND(0*Source!I174, 2))), 2)</f>
        <v>0</v>
      </c>
      <c r="V770">
        <f>Source!Y174</f>
        <v>0</v>
      </c>
    </row>
    <row r="771" spans="1:32" ht="15" x14ac:dyDescent="0.25">
      <c r="G771" s="62">
        <f>H770</f>
        <v>73.89</v>
      </c>
      <c r="H771" s="62"/>
      <c r="J771" s="62">
        <f>K770</f>
        <v>888.14</v>
      </c>
      <c r="K771" s="62"/>
      <c r="L771" s="46">
        <f>Source!U174</f>
        <v>0</v>
      </c>
      <c r="O771" s="30">
        <f>G771</f>
        <v>73.89</v>
      </c>
      <c r="P771" s="30">
        <f>J771</f>
        <v>888.14</v>
      </c>
      <c r="Q771" s="30">
        <f>L771</f>
        <v>0</v>
      </c>
      <c r="W771">
        <f>IF(Source!BI174&lt;=1,H770, 0)</f>
        <v>73.89</v>
      </c>
      <c r="X771">
        <f>IF(Source!BI174=2,H770, 0)</f>
        <v>0</v>
      </c>
      <c r="Y771">
        <f>IF(Source!BI174=3,H770, 0)</f>
        <v>0</v>
      </c>
      <c r="Z771">
        <f>IF(Source!BI174=4,H770, 0)</f>
        <v>0</v>
      </c>
    </row>
    <row r="772" spans="1:32" ht="57" x14ac:dyDescent="0.2">
      <c r="A772" s="53">
        <v>126</v>
      </c>
      <c r="B772" s="53" t="str">
        <f>Source!F175</f>
        <v>т03-21-01-050</v>
      </c>
      <c r="C772" s="53" t="str">
        <f>Source!G175</f>
        <v>Перевозка грузов I класса автомобилями-самосвалами грузоподъемностью 10 т работающих вне карьера на расстояние до 50 км</v>
      </c>
      <c r="D772" s="36" t="str">
        <f>Source!H175</f>
        <v>1 т груза</v>
      </c>
      <c r="E772" s="10">
        <f>Source!I175</f>
        <v>25.03</v>
      </c>
      <c r="F772" s="37">
        <f>Source!AK175</f>
        <v>27.16</v>
      </c>
      <c r="G772" s="38" t="str">
        <f>Source!DC175</f>
        <v/>
      </c>
      <c r="H772" s="37">
        <f>ROUND(Source!AB175*Source!I175, 2)</f>
        <v>679.81</v>
      </c>
      <c r="I772" s="38" t="str">
        <f>Source!BO175</f>
        <v/>
      </c>
      <c r="J772" s="38">
        <f>Source!AZ175</f>
        <v>12.02</v>
      </c>
      <c r="K772" s="37">
        <f>Source!GM175</f>
        <v>8171.37</v>
      </c>
      <c r="L772" s="39"/>
      <c r="S772">
        <f>ROUND((Source!FX175/100)*((ROUND(0*Source!I175, 2)+ROUND(0*Source!I175, 2))), 2)</f>
        <v>0</v>
      </c>
      <c r="T772">
        <f>Source!X175</f>
        <v>0</v>
      </c>
      <c r="U772">
        <f>ROUND((Source!FY175/100)*((ROUND(0*Source!I175, 2)+ROUND(0*Source!I175, 2))), 2)</f>
        <v>0</v>
      </c>
      <c r="V772">
        <f>Source!Y175</f>
        <v>0</v>
      </c>
    </row>
    <row r="773" spans="1:32" x14ac:dyDescent="0.2">
      <c r="A773" s="32"/>
      <c r="B773" s="32"/>
      <c r="C773" s="33" t="str">
        <f>"Объем: "&amp;Source!I175&amp;"="&amp;Source!I173&amp;"+"&amp;""&amp;Source!I174&amp;""</f>
        <v>Объем: 25,03=2,503+22,527</v>
      </c>
      <c r="D773" s="32"/>
      <c r="E773" s="32"/>
      <c r="F773" s="32"/>
      <c r="G773" s="32"/>
      <c r="H773" s="32"/>
      <c r="I773" s="32"/>
      <c r="J773" s="32"/>
      <c r="K773" s="32"/>
      <c r="L773" s="32"/>
    </row>
    <row r="774" spans="1:32" ht="15" x14ac:dyDescent="0.25">
      <c r="G774" s="62">
        <f>H772</f>
        <v>679.81</v>
      </c>
      <c r="H774" s="62"/>
      <c r="J774" s="62">
        <f>K772</f>
        <v>8171.37</v>
      </c>
      <c r="K774" s="62"/>
      <c r="L774" s="46">
        <f>Source!U175</f>
        <v>0</v>
      </c>
      <c r="O774" s="30">
        <f>G774</f>
        <v>679.81</v>
      </c>
      <c r="P774" s="30">
        <f>J774</f>
        <v>8171.37</v>
      </c>
      <c r="Q774" s="30">
        <f>L774</f>
        <v>0</v>
      </c>
      <c r="W774">
        <f>IF(Source!BI175&lt;=1,H772, 0)</f>
        <v>679.81</v>
      </c>
      <c r="X774">
        <f>IF(Source!BI175=2,H772, 0)</f>
        <v>0</v>
      </c>
      <c r="Y774">
        <f>IF(Source!BI175=3,H772, 0)</f>
        <v>0</v>
      </c>
      <c r="Z774">
        <f>IF(Source!BI175=4,H772, 0)</f>
        <v>0</v>
      </c>
    </row>
    <row r="775" spans="1:32" ht="28.5" x14ac:dyDescent="0.2">
      <c r="A775" s="54">
        <v>127</v>
      </c>
      <c r="B775" s="54" t="str">
        <f>Source!F176</f>
        <v>Договорная цена</v>
      </c>
      <c r="C775" s="54" t="s">
        <v>1181</v>
      </c>
      <c r="D775" s="41" t="str">
        <f>Source!H176</f>
        <v>т</v>
      </c>
      <c r="E775" s="42">
        <f>Source!I176</f>
        <v>25.03</v>
      </c>
      <c r="F775" s="43">
        <f>Source!AL176</f>
        <v>75.58</v>
      </c>
      <c r="G775" s="44" t="str">
        <f>Source!DD176</f>
        <v/>
      </c>
      <c r="H775" s="43">
        <f>ROUND(Source!AC176*Source!I176, 2)</f>
        <v>1891.77</v>
      </c>
      <c r="I775" s="44" t="str">
        <f>Source!BO176</f>
        <v/>
      </c>
      <c r="J775" s="44">
        <f>IF(Source!BC176&lt;&gt; 0, Source!BC176, 1)</f>
        <v>8.7100000000000009</v>
      </c>
      <c r="K775" s="43">
        <f>Source!P176</f>
        <v>16477.29</v>
      </c>
      <c r="L775" s="50"/>
      <c r="S775">
        <f>ROUND((Source!FX176/100)*((ROUND(Source!AF176*Source!I176, 2)+ROUND(Source!AE176*Source!I176, 2))), 2)</f>
        <v>0</v>
      </c>
      <c r="T775">
        <f>Source!X176</f>
        <v>0</v>
      </c>
      <c r="U775">
        <f>ROUND((Source!FY176/100)*((ROUND(Source!AF176*Source!I176, 2)+ROUND(Source!AE176*Source!I176, 2))), 2)</f>
        <v>0</v>
      </c>
      <c r="V775">
        <f>Source!Y176</f>
        <v>0</v>
      </c>
    </row>
    <row r="776" spans="1:32" ht="15" x14ac:dyDescent="0.25">
      <c r="G776" s="62">
        <f>H775</f>
        <v>1891.77</v>
      </c>
      <c r="H776" s="62"/>
      <c r="J776" s="62">
        <f>K775</f>
        <v>16477.29</v>
      </c>
      <c r="K776" s="62"/>
      <c r="L776" s="46">
        <f>Source!U176</f>
        <v>0</v>
      </c>
      <c r="O776" s="30">
        <f>G776</f>
        <v>1891.77</v>
      </c>
      <c r="P776" s="30">
        <f>J776</f>
        <v>16477.29</v>
      </c>
      <c r="Q776" s="30">
        <f>L776</f>
        <v>0</v>
      </c>
      <c r="W776">
        <f>IF(Source!BI176&lt;=1,H775, 0)</f>
        <v>1891.77</v>
      </c>
      <c r="X776">
        <f>IF(Source!BI176=2,H775, 0)</f>
        <v>0</v>
      </c>
      <c r="Y776">
        <f>IF(Source!BI176=3,H775, 0)</f>
        <v>0</v>
      </c>
      <c r="Z776">
        <f>IF(Source!BI176=4,H775, 0)</f>
        <v>0</v>
      </c>
    </row>
    <row r="778" spans="1:32" ht="15" x14ac:dyDescent="0.25">
      <c r="A778" s="61" t="str">
        <f>CONCATENATE("Итого по локальной смете: ",IF(Source!G178&lt;&gt;"Новая локальная смета", Source!G178, ""))</f>
        <v xml:space="preserve">Итого по локальной смете: </v>
      </c>
      <c r="B778" s="61"/>
      <c r="C778" s="61"/>
      <c r="D778" s="61"/>
      <c r="E778" s="61"/>
      <c r="F778" s="61"/>
      <c r="G778" s="60">
        <f>SUM(O36:O777)</f>
        <v>336948.53000000014</v>
      </c>
      <c r="H778" s="60"/>
      <c r="I778" s="34"/>
      <c r="J778" s="60">
        <f>SUM(P36:P777)</f>
        <v>4523440.370000001</v>
      </c>
      <c r="K778" s="60"/>
      <c r="L778" s="46">
        <f>SUM(Q36:Q777)</f>
        <v>2804.4622104254995</v>
      </c>
    </row>
    <row r="782" spans="1:32" ht="15" x14ac:dyDescent="0.25">
      <c r="A782" s="61" t="str">
        <f>CONCATENATE("Итого по смете: ",IF(Source!G208&lt;&gt;"Новый объект", Source!G208, ""))</f>
        <v>Итого по смете: Ремонт здания первичного дробления Инв. № 10-10003</v>
      </c>
      <c r="B782" s="61"/>
      <c r="C782" s="61"/>
      <c r="D782" s="61"/>
      <c r="E782" s="61"/>
      <c r="F782" s="61"/>
      <c r="G782" s="60">
        <f>SUM(O1:O781)</f>
        <v>336948.53000000014</v>
      </c>
      <c r="H782" s="60"/>
      <c r="I782" s="34"/>
      <c r="J782" s="60">
        <f>SUM(P1:P781)</f>
        <v>4523440.370000001</v>
      </c>
      <c r="K782" s="60"/>
      <c r="L782" s="46">
        <f>SUM(Q1:Q781)</f>
        <v>2804.4622104254995</v>
      </c>
      <c r="AF782" s="57" t="str">
        <f>CONCATENATE("Итого по смете: ",IF(Source!G208&lt;&gt;"Новый объект", Source!G208, ""))</f>
        <v>Итого по смете: Ремонт здания первичного дробления Инв. № 10-10003</v>
      </c>
    </row>
    <row r="784" spans="1:32" ht="14.25" x14ac:dyDescent="0.2">
      <c r="C784" s="67" t="str">
        <f>Source!H210</f>
        <v>Прямые затраты</v>
      </c>
      <c r="D784" s="67"/>
      <c r="E784" s="67"/>
      <c r="F784" s="67"/>
      <c r="G784" s="67"/>
      <c r="H784" s="67"/>
      <c r="I784" s="67"/>
      <c r="J784" s="68">
        <f>IF(Source!F210=0, "", Source!F210)</f>
        <v>3274366.23</v>
      </c>
      <c r="K784" s="68"/>
    </row>
    <row r="785" spans="3:11" ht="14.25" x14ac:dyDescent="0.2">
      <c r="C785" s="67" t="str">
        <f>Source!H211</f>
        <v>Стоимость материальных ресурсов (всего)</v>
      </c>
      <c r="D785" s="67"/>
      <c r="E785" s="67"/>
      <c r="F785" s="67"/>
      <c r="G785" s="67"/>
      <c r="H785" s="67"/>
      <c r="I785" s="67"/>
      <c r="J785" s="68">
        <f>IF(Source!F211=0, "", Source!F211)</f>
        <v>1955855.3</v>
      </c>
      <c r="K785" s="68"/>
    </row>
    <row r="786" spans="3:11" ht="14.25" x14ac:dyDescent="0.2">
      <c r="C786" s="67" t="str">
        <f>Source!H213</f>
        <v>Стоимость материалов и оборудования подрядчика</v>
      </c>
      <c r="D786" s="67"/>
      <c r="E786" s="67"/>
      <c r="F786" s="67"/>
      <c r="G786" s="67"/>
      <c r="H786" s="67"/>
      <c r="I786" s="67"/>
      <c r="J786" s="68">
        <f>IF(Source!F213=0, "", Source!F213)</f>
        <v>1955855.3</v>
      </c>
      <c r="K786" s="68"/>
    </row>
    <row r="787" spans="3:11" ht="14.25" x14ac:dyDescent="0.2">
      <c r="C787" s="67" t="str">
        <f>Source!H214</f>
        <v>Стоимость материалов (всего)</v>
      </c>
      <c r="D787" s="67"/>
      <c r="E787" s="67"/>
      <c r="F787" s="67"/>
      <c r="G787" s="67"/>
      <c r="H787" s="67"/>
      <c r="I787" s="67"/>
      <c r="J787" s="68">
        <f>IF(Source!F214=0, "", Source!F214)</f>
        <v>1955855.3</v>
      </c>
      <c r="K787" s="68"/>
    </row>
    <row r="788" spans="3:11" ht="14.25" x14ac:dyDescent="0.2">
      <c r="C788" s="67" t="str">
        <f>Source!H216</f>
        <v>Стоимость материалов подрядчика</v>
      </c>
      <c r="D788" s="67"/>
      <c r="E788" s="67"/>
      <c r="F788" s="67"/>
      <c r="G788" s="67"/>
      <c r="H788" s="67"/>
      <c r="I788" s="67"/>
      <c r="J788" s="68">
        <f>IF(Source!F216=0, "", Source!F216)</f>
        <v>1955855.3</v>
      </c>
      <c r="K788" s="68"/>
    </row>
    <row r="789" spans="3:11" ht="14.25" x14ac:dyDescent="0.2">
      <c r="C789" s="67" t="str">
        <f>Source!H220</f>
        <v>Эксплуатация машин</v>
      </c>
      <c r="D789" s="67"/>
      <c r="E789" s="67"/>
      <c r="F789" s="67"/>
      <c r="G789" s="67"/>
      <c r="H789" s="67"/>
      <c r="I789" s="67"/>
      <c r="J789" s="68">
        <f>IF(Source!F220=0, "", Source!F220)</f>
        <v>554119.06000000006</v>
      </c>
      <c r="K789" s="68"/>
    </row>
    <row r="790" spans="3:11" ht="14.25" x14ac:dyDescent="0.2">
      <c r="C790" s="67" t="str">
        <f>Source!H222</f>
        <v>ЗП машинистов</v>
      </c>
      <c r="D790" s="67"/>
      <c r="E790" s="67"/>
      <c r="F790" s="67"/>
      <c r="G790" s="67"/>
      <c r="H790" s="67"/>
      <c r="I790" s="67"/>
      <c r="J790" s="68">
        <f>IF(Source!F222=0, "", Source!F222)</f>
        <v>203632.68</v>
      </c>
      <c r="K790" s="68"/>
    </row>
    <row r="791" spans="3:11" ht="14.25" x14ac:dyDescent="0.2">
      <c r="C791" s="67" t="str">
        <f>Source!H223</f>
        <v>Основная ЗП рабочих</v>
      </c>
      <c r="D791" s="67"/>
      <c r="E791" s="67"/>
      <c r="F791" s="67"/>
      <c r="G791" s="67"/>
      <c r="H791" s="67"/>
      <c r="I791" s="67"/>
      <c r="J791" s="68">
        <f>IF(Source!F223=0, "", Source!F223)</f>
        <v>764391.87</v>
      </c>
      <c r="K791" s="68"/>
    </row>
    <row r="792" spans="3:11" ht="14.25" x14ac:dyDescent="0.2">
      <c r="C792" s="67" t="str">
        <f>Source!H225</f>
        <v>Строительные работы с НР и СП</v>
      </c>
      <c r="D792" s="67"/>
      <c r="E792" s="67"/>
      <c r="F792" s="67"/>
      <c r="G792" s="67"/>
      <c r="H792" s="67"/>
      <c r="I792" s="67"/>
      <c r="J792" s="68">
        <f>IF(Source!F225=0, "", Source!F225)</f>
        <v>3916026.99</v>
      </c>
      <c r="K792" s="68"/>
    </row>
    <row r="793" spans="3:11" ht="14.25" x14ac:dyDescent="0.2">
      <c r="C793" s="67" t="str">
        <f>Source!H226</f>
        <v>Монтажные работы с НР и СП</v>
      </c>
      <c r="D793" s="67"/>
      <c r="E793" s="67"/>
      <c r="F793" s="67"/>
      <c r="G793" s="67"/>
      <c r="H793" s="67"/>
      <c r="I793" s="67"/>
      <c r="J793" s="68">
        <f>IF(Source!F226=0, "", Source!F226)</f>
        <v>607413.38</v>
      </c>
      <c r="K793" s="68"/>
    </row>
    <row r="794" spans="3:11" ht="14.25" x14ac:dyDescent="0.2">
      <c r="C794" s="67" t="str">
        <f>Source!H230</f>
        <v>Трудозатраты строителей</v>
      </c>
      <c r="D794" s="67"/>
      <c r="E794" s="67"/>
      <c r="F794" s="67"/>
      <c r="G794" s="67"/>
      <c r="H794" s="67"/>
      <c r="I794" s="67"/>
      <c r="J794" s="69">
        <f>IF(Source!F230=0, "", Source!F230)</f>
        <v>2804.4622104254995</v>
      </c>
      <c r="K794" s="69"/>
    </row>
    <row r="795" spans="3:11" ht="14.25" x14ac:dyDescent="0.2">
      <c r="C795" s="67" t="str">
        <f>Source!H231</f>
        <v>Трудозатраты машинистов</v>
      </c>
      <c r="D795" s="67"/>
      <c r="E795" s="67"/>
      <c r="F795" s="67"/>
      <c r="G795" s="67"/>
      <c r="H795" s="67"/>
      <c r="I795" s="67"/>
      <c r="J795" s="69">
        <f>IF(Source!F231=0, "", Source!F231)</f>
        <v>184.90067485124999</v>
      </c>
      <c r="K795" s="69"/>
    </row>
    <row r="796" spans="3:11" ht="14.25" x14ac:dyDescent="0.2">
      <c r="C796" s="67" t="str">
        <f>Source!H233</f>
        <v>Перевозка грузов</v>
      </c>
      <c r="D796" s="67"/>
      <c r="E796" s="67"/>
      <c r="F796" s="67"/>
      <c r="G796" s="67"/>
      <c r="H796" s="67"/>
      <c r="I796" s="67"/>
      <c r="J796" s="68">
        <f>IF(Source!F233=0, "", Source!F233)</f>
        <v>15555.59</v>
      </c>
      <c r="K796" s="68"/>
    </row>
    <row r="797" spans="3:11" ht="14.25" x14ac:dyDescent="0.2">
      <c r="C797" s="67" t="str">
        <f>Source!H234</f>
        <v>Накладные расходы</v>
      </c>
      <c r="D797" s="67"/>
      <c r="E797" s="67"/>
      <c r="F797" s="67"/>
      <c r="G797" s="67"/>
      <c r="H797" s="67"/>
      <c r="I797" s="67"/>
      <c r="J797" s="68">
        <f>IF(Source!F234=0, "", Source!F234)</f>
        <v>795641.51</v>
      </c>
      <c r="K797" s="68"/>
    </row>
    <row r="798" spans="3:11" ht="14.25" x14ac:dyDescent="0.2">
      <c r="C798" s="67" t="str">
        <f>Source!H235</f>
        <v>Сметная прибыль</v>
      </c>
      <c r="D798" s="67"/>
      <c r="E798" s="67"/>
      <c r="F798" s="67"/>
      <c r="G798" s="67"/>
      <c r="H798" s="67"/>
      <c r="I798" s="67"/>
      <c r="J798" s="68">
        <f>IF(Source!F235=0, "", Source!F235)</f>
        <v>437877.04</v>
      </c>
      <c r="K798" s="68"/>
    </row>
    <row r="799" spans="3:11" ht="14.25" x14ac:dyDescent="0.2">
      <c r="C799" s="67" t="str">
        <f>Source!H236</f>
        <v>Всего с НР и СП</v>
      </c>
      <c r="D799" s="67"/>
      <c r="E799" s="67"/>
      <c r="F799" s="67"/>
      <c r="G799" s="67"/>
      <c r="H799" s="67"/>
      <c r="I799" s="67"/>
      <c r="J799" s="68">
        <f>IF(Source!F236=0, "", Source!F236)</f>
        <v>4523440.37</v>
      </c>
      <c r="K799" s="68"/>
    </row>
    <row r="800" spans="3:11" ht="14.25" x14ac:dyDescent="0.2">
      <c r="C800" s="67" t="s">
        <v>1190</v>
      </c>
      <c r="D800" s="67"/>
      <c r="E800" s="67"/>
      <c r="F800" s="58"/>
      <c r="G800" s="58"/>
      <c r="H800" s="58"/>
      <c r="I800" s="58"/>
      <c r="J800" s="68">
        <f>J799*0.99</f>
        <v>4478205.9663000004</v>
      </c>
      <c r="K800" s="68"/>
    </row>
    <row r="801" spans="3:11" ht="14.25" x14ac:dyDescent="0.2">
      <c r="C801" s="67" t="str">
        <f>Source!H237</f>
        <v>НДС 20%</v>
      </c>
      <c r="D801" s="67"/>
      <c r="E801" s="67"/>
      <c r="F801" s="67"/>
      <c r="G801" s="67"/>
      <c r="H801" s="67"/>
      <c r="I801" s="67"/>
      <c r="J801" s="68">
        <f>J800*0.2</f>
        <v>895641.19326000009</v>
      </c>
      <c r="K801" s="68"/>
    </row>
    <row r="802" spans="3:11" ht="14.25" x14ac:dyDescent="0.2">
      <c r="C802" s="67" t="str">
        <f>Source!H238</f>
        <v>Всего с НДС 20%</v>
      </c>
      <c r="D802" s="67"/>
      <c r="E802" s="67"/>
      <c r="F802" s="67"/>
      <c r="G802" s="67"/>
      <c r="H802" s="67"/>
      <c r="I802" s="67"/>
      <c r="J802" s="68">
        <f>J800+J801</f>
        <v>5373847.1595600005</v>
      </c>
      <c r="K802" s="68"/>
    </row>
  </sheetData>
  <mergeCells count="361">
    <mergeCell ref="B5:E5"/>
    <mergeCell ref="B18:K18"/>
    <mergeCell ref="B20:K20"/>
    <mergeCell ref="H6:J6"/>
    <mergeCell ref="H7:J7"/>
    <mergeCell ref="H8:J8"/>
    <mergeCell ref="H9:J9"/>
    <mergeCell ref="H5:J5"/>
    <mergeCell ref="B6:C6"/>
    <mergeCell ref="B7:C7"/>
    <mergeCell ref="B8:C8"/>
    <mergeCell ref="B9:C9"/>
    <mergeCell ref="B21:K21"/>
    <mergeCell ref="A23:L23"/>
    <mergeCell ref="G26:H26"/>
    <mergeCell ref="I26:J26"/>
    <mergeCell ref="B13:K13"/>
    <mergeCell ref="B14:K14"/>
    <mergeCell ref="C27:F27"/>
    <mergeCell ref="G27:H27"/>
    <mergeCell ref="I27:J27"/>
    <mergeCell ref="K27:L27"/>
    <mergeCell ref="B16:K16"/>
    <mergeCell ref="C28:F28"/>
    <mergeCell ref="G28:H28"/>
    <mergeCell ref="I28:J28"/>
    <mergeCell ref="A33:L33"/>
    <mergeCell ref="C784:I784"/>
    <mergeCell ref="J784:K784"/>
    <mergeCell ref="C785:I785"/>
    <mergeCell ref="J785:K785"/>
    <mergeCell ref="C786:I786"/>
    <mergeCell ref="J786:K786"/>
    <mergeCell ref="J98:K98"/>
    <mergeCell ref="G98:H98"/>
    <mergeCell ref="J95:K95"/>
    <mergeCell ref="B85:K85"/>
    <mergeCell ref="J83:K83"/>
    <mergeCell ref="G83:H83"/>
    <mergeCell ref="J79:K79"/>
    <mergeCell ref="G79:H79"/>
    <mergeCell ref="B36:K36"/>
    <mergeCell ref="J151:K151"/>
    <mergeCell ref="G151:H151"/>
    <mergeCell ref="F149:G149"/>
    <mergeCell ref="J142:K142"/>
    <mergeCell ref="G142:H142"/>
    <mergeCell ref="C802:I802"/>
    <mergeCell ref="J802:K802"/>
    <mergeCell ref="C796:I796"/>
    <mergeCell ref="J796:K796"/>
    <mergeCell ref="C797:I797"/>
    <mergeCell ref="J797:K797"/>
    <mergeCell ref="C798:I798"/>
    <mergeCell ref="J798:K798"/>
    <mergeCell ref="C793:I793"/>
    <mergeCell ref="J793:K793"/>
    <mergeCell ref="C794:I794"/>
    <mergeCell ref="J794:K794"/>
    <mergeCell ref="C795:I795"/>
    <mergeCell ref="J795:K795"/>
    <mergeCell ref="C799:I799"/>
    <mergeCell ref="J799:K799"/>
    <mergeCell ref="C801:I801"/>
    <mergeCell ref="J801:K801"/>
    <mergeCell ref="C800:E800"/>
    <mergeCell ref="J800:K800"/>
    <mergeCell ref="C790:I790"/>
    <mergeCell ref="J790:K790"/>
    <mergeCell ref="C791:I791"/>
    <mergeCell ref="J791:K791"/>
    <mergeCell ref="C792:I792"/>
    <mergeCell ref="J792:K792"/>
    <mergeCell ref="C787:I787"/>
    <mergeCell ref="J787:K787"/>
    <mergeCell ref="C788:I788"/>
    <mergeCell ref="J788:K788"/>
    <mergeCell ref="C789:I789"/>
    <mergeCell ref="J789:K789"/>
    <mergeCell ref="G95:H95"/>
    <mergeCell ref="F93:G93"/>
    <mergeCell ref="J111:K111"/>
    <mergeCell ref="G111:H111"/>
    <mergeCell ref="J109:K109"/>
    <mergeCell ref="G109:H109"/>
    <mergeCell ref="J107:K107"/>
    <mergeCell ref="G107:H107"/>
    <mergeCell ref="J129:K129"/>
    <mergeCell ref="J54:K54"/>
    <mergeCell ref="G54:H54"/>
    <mergeCell ref="J52:K52"/>
    <mergeCell ref="G52:H52"/>
    <mergeCell ref="J42:K42"/>
    <mergeCell ref="G42:H42"/>
    <mergeCell ref="J76:K76"/>
    <mergeCell ref="G76:H76"/>
    <mergeCell ref="J70:K70"/>
    <mergeCell ref="G70:H70"/>
    <mergeCell ref="J62:K62"/>
    <mergeCell ref="G62:H62"/>
    <mergeCell ref="J231:K231"/>
    <mergeCell ref="G231:H231"/>
    <mergeCell ref="J225:K225"/>
    <mergeCell ref="G225:H225"/>
    <mergeCell ref="G129:H129"/>
    <mergeCell ref="J123:K123"/>
    <mergeCell ref="G123:H123"/>
    <mergeCell ref="F121:G121"/>
    <mergeCell ref="B113:K113"/>
    <mergeCell ref="J157:K157"/>
    <mergeCell ref="G157:H157"/>
    <mergeCell ref="J154:K154"/>
    <mergeCell ref="G154:H154"/>
    <mergeCell ref="J139:K139"/>
    <mergeCell ref="G139:H139"/>
    <mergeCell ref="F137:G137"/>
    <mergeCell ref="J167:K167"/>
    <mergeCell ref="G167:H167"/>
    <mergeCell ref="J210:K210"/>
    <mergeCell ref="G210:H210"/>
    <mergeCell ref="J199:K199"/>
    <mergeCell ref="G199:H199"/>
    <mergeCell ref="J197:K197"/>
    <mergeCell ref="G197:H197"/>
    <mergeCell ref="G253:H253"/>
    <mergeCell ref="J243:K243"/>
    <mergeCell ref="G243:H243"/>
    <mergeCell ref="B237:K237"/>
    <mergeCell ref="J235:K235"/>
    <mergeCell ref="G235:H235"/>
    <mergeCell ref="J253:K253"/>
    <mergeCell ref="J233:K233"/>
    <mergeCell ref="G233:H233"/>
    <mergeCell ref="J223:K223"/>
    <mergeCell ref="G223:H223"/>
    <mergeCell ref="B216:K216"/>
    <mergeCell ref="J214:K214"/>
    <mergeCell ref="G214:H214"/>
    <mergeCell ref="J212:K212"/>
    <mergeCell ref="G212:H212"/>
    <mergeCell ref="J190:K190"/>
    <mergeCell ref="G190:H190"/>
    <mergeCell ref="J181:K181"/>
    <mergeCell ref="G181:H181"/>
    <mergeCell ref="B172:K172"/>
    <mergeCell ref="J170:K170"/>
    <mergeCell ref="G170:H170"/>
    <mergeCell ref="J354:K354"/>
    <mergeCell ref="G354:H354"/>
    <mergeCell ref="J350:K350"/>
    <mergeCell ref="G350:H350"/>
    <mergeCell ref="J271:K271"/>
    <mergeCell ref="G271:H271"/>
    <mergeCell ref="J263:K263"/>
    <mergeCell ref="G263:H263"/>
    <mergeCell ref="J255:K255"/>
    <mergeCell ref="G255:H255"/>
    <mergeCell ref="J289:K289"/>
    <mergeCell ref="G289:H289"/>
    <mergeCell ref="J281:K281"/>
    <mergeCell ref="G281:H281"/>
    <mergeCell ref="J279:K279"/>
    <mergeCell ref="G279:H279"/>
    <mergeCell ref="J304:K304"/>
    <mergeCell ref="G304:H304"/>
    <mergeCell ref="J300:K300"/>
    <mergeCell ref="G300:H300"/>
    <mergeCell ref="J298:K298"/>
    <mergeCell ref="G298:H298"/>
    <mergeCell ref="B306:K306"/>
    <mergeCell ref="J324:K324"/>
    <mergeCell ref="J408:K408"/>
    <mergeCell ref="G408:H408"/>
    <mergeCell ref="J405:K405"/>
    <mergeCell ref="G405:H405"/>
    <mergeCell ref="J403:K403"/>
    <mergeCell ref="G403:H403"/>
    <mergeCell ref="J394:K394"/>
    <mergeCell ref="G394:H394"/>
    <mergeCell ref="J392:K392"/>
    <mergeCell ref="G324:H324"/>
    <mergeCell ref="J322:K322"/>
    <mergeCell ref="G322:H322"/>
    <mergeCell ref="J312:K312"/>
    <mergeCell ref="G312:H312"/>
    <mergeCell ref="J348:K348"/>
    <mergeCell ref="G348:H348"/>
    <mergeCell ref="J340:K340"/>
    <mergeCell ref="G340:H340"/>
    <mergeCell ref="J332:K332"/>
    <mergeCell ref="G332:H332"/>
    <mergeCell ref="G364:H364"/>
    <mergeCell ref="B356:K356"/>
    <mergeCell ref="J371:K371"/>
    <mergeCell ref="G371:H371"/>
    <mergeCell ref="J364:K364"/>
    <mergeCell ref="J457:K457"/>
    <mergeCell ref="G457:H457"/>
    <mergeCell ref="J454:K454"/>
    <mergeCell ref="G454:H454"/>
    <mergeCell ref="F452:G452"/>
    <mergeCell ref="J445:K445"/>
    <mergeCell ref="G445:H445"/>
    <mergeCell ref="G392:H392"/>
    <mergeCell ref="J385:K385"/>
    <mergeCell ref="G385:H385"/>
    <mergeCell ref="J382:K382"/>
    <mergeCell ref="G382:H382"/>
    <mergeCell ref="J380:K380"/>
    <mergeCell ref="G380:H380"/>
    <mergeCell ref="J417:K417"/>
    <mergeCell ref="G417:H417"/>
    <mergeCell ref="F415:G415"/>
    <mergeCell ref="F443:G443"/>
    <mergeCell ref="J419:K419"/>
    <mergeCell ref="G419:H419"/>
    <mergeCell ref="J472:K472"/>
    <mergeCell ref="G472:H472"/>
    <mergeCell ref="J470:K470"/>
    <mergeCell ref="G470:H470"/>
    <mergeCell ref="F467:G467"/>
    <mergeCell ref="J460:K460"/>
    <mergeCell ref="G460:H460"/>
    <mergeCell ref="G436:H436"/>
    <mergeCell ref="J430:K430"/>
    <mergeCell ref="G430:H430"/>
    <mergeCell ref="J428:K428"/>
    <mergeCell ref="G428:H428"/>
    <mergeCell ref="J505:K505"/>
    <mergeCell ref="G505:H505"/>
    <mergeCell ref="J531:K531"/>
    <mergeCell ref="G531:H531"/>
    <mergeCell ref="J529:K529"/>
    <mergeCell ref="G529:H529"/>
    <mergeCell ref="J520:K520"/>
    <mergeCell ref="G520:H520"/>
    <mergeCell ref="F426:G426"/>
    <mergeCell ref="J497:K497"/>
    <mergeCell ref="G497:H497"/>
    <mergeCell ref="J491:K491"/>
    <mergeCell ref="G491:H491"/>
    <mergeCell ref="J489:K489"/>
    <mergeCell ref="G489:H489"/>
    <mergeCell ref="J487:K487"/>
    <mergeCell ref="G487:H487"/>
    <mergeCell ref="J485:K485"/>
    <mergeCell ref="G485:H485"/>
    <mergeCell ref="J483:K483"/>
    <mergeCell ref="G483:H483"/>
    <mergeCell ref="J436:K436"/>
    <mergeCell ref="J554:K554"/>
    <mergeCell ref="G554:H554"/>
    <mergeCell ref="J583:K583"/>
    <mergeCell ref="J515:K515"/>
    <mergeCell ref="G515:H515"/>
    <mergeCell ref="J518:K518"/>
    <mergeCell ref="G518:H518"/>
    <mergeCell ref="F552:G552"/>
    <mergeCell ref="B544:K544"/>
    <mergeCell ref="J542:K542"/>
    <mergeCell ref="G542:H542"/>
    <mergeCell ref="F540:G540"/>
    <mergeCell ref="J533:K533"/>
    <mergeCell ref="G533:H533"/>
    <mergeCell ref="G583:H583"/>
    <mergeCell ref="F581:G581"/>
    <mergeCell ref="J577:K577"/>
    <mergeCell ref="G577:H577"/>
    <mergeCell ref="F575:G575"/>
    <mergeCell ref="F607:G607"/>
    <mergeCell ref="J600:K600"/>
    <mergeCell ref="G600:H600"/>
    <mergeCell ref="J591:K591"/>
    <mergeCell ref="G591:H591"/>
    <mergeCell ref="B568:K568"/>
    <mergeCell ref="J566:K566"/>
    <mergeCell ref="G566:H566"/>
    <mergeCell ref="J556:K556"/>
    <mergeCell ref="G556:H556"/>
    <mergeCell ref="G645:H645"/>
    <mergeCell ref="J642:K642"/>
    <mergeCell ref="G642:H642"/>
    <mergeCell ref="F640:G640"/>
    <mergeCell ref="J647:K647"/>
    <mergeCell ref="F618:G618"/>
    <mergeCell ref="J611:K611"/>
    <mergeCell ref="G611:H611"/>
    <mergeCell ref="J609:K609"/>
    <mergeCell ref="G609:H609"/>
    <mergeCell ref="G631:H631"/>
    <mergeCell ref="F629:G629"/>
    <mergeCell ref="J664:K664"/>
    <mergeCell ref="G664:H664"/>
    <mergeCell ref="J710:K710"/>
    <mergeCell ref="J589:K589"/>
    <mergeCell ref="G589:H589"/>
    <mergeCell ref="G687:H687"/>
    <mergeCell ref="J685:K685"/>
    <mergeCell ref="G685:H685"/>
    <mergeCell ref="F662:G662"/>
    <mergeCell ref="J657:K657"/>
    <mergeCell ref="G657:H657"/>
    <mergeCell ref="B651:K651"/>
    <mergeCell ref="J649:K649"/>
    <mergeCell ref="G649:H649"/>
    <mergeCell ref="F682:G682"/>
    <mergeCell ref="J674:K674"/>
    <mergeCell ref="G674:H674"/>
    <mergeCell ref="F672:G672"/>
    <mergeCell ref="J620:K620"/>
    <mergeCell ref="G620:H620"/>
    <mergeCell ref="G647:H647"/>
    <mergeCell ref="J645:K645"/>
    <mergeCell ref="G738:H738"/>
    <mergeCell ref="J728:K728"/>
    <mergeCell ref="G728:H728"/>
    <mergeCell ref="J721:K721"/>
    <mergeCell ref="G721:H721"/>
    <mergeCell ref="J622:K622"/>
    <mergeCell ref="G622:H622"/>
    <mergeCell ref="J769:K769"/>
    <mergeCell ref="G769:H769"/>
    <mergeCell ref="B767:K767"/>
    <mergeCell ref="J765:K765"/>
    <mergeCell ref="G765:H765"/>
    <mergeCell ref="J763:K763"/>
    <mergeCell ref="G763:H763"/>
    <mergeCell ref="G751:H751"/>
    <mergeCell ref="J749:K749"/>
    <mergeCell ref="G749:H749"/>
    <mergeCell ref="J760:K760"/>
    <mergeCell ref="G760:H760"/>
    <mergeCell ref="F758:G758"/>
    <mergeCell ref="J751:K751"/>
    <mergeCell ref="J633:K633"/>
    <mergeCell ref="G633:H633"/>
    <mergeCell ref="J631:K631"/>
    <mergeCell ref="G782:H782"/>
    <mergeCell ref="J782:K782"/>
    <mergeCell ref="A782:F782"/>
    <mergeCell ref="G778:H778"/>
    <mergeCell ref="J778:K778"/>
    <mergeCell ref="A778:F778"/>
    <mergeCell ref="J776:K776"/>
    <mergeCell ref="H2:J2"/>
    <mergeCell ref="B693:K693"/>
    <mergeCell ref="J691:K691"/>
    <mergeCell ref="G691:H691"/>
    <mergeCell ref="J687:K687"/>
    <mergeCell ref="J719:K719"/>
    <mergeCell ref="G719:H719"/>
    <mergeCell ref="F717:G717"/>
    <mergeCell ref="G776:H776"/>
    <mergeCell ref="J774:K774"/>
    <mergeCell ref="G774:H774"/>
    <mergeCell ref="J771:K771"/>
    <mergeCell ref="G771:H771"/>
    <mergeCell ref="G710:H710"/>
    <mergeCell ref="J701:K701"/>
    <mergeCell ref="G701:H701"/>
    <mergeCell ref="J738:K738"/>
  </mergeCells>
  <pageMargins left="0.4" right="0.2" top="0.2" bottom="0.4" header="0.2" footer="0.2"/>
  <pageSetup paperSize="9" scale="59" fitToHeight="0" orientation="portrait" horizontalDpi="4294967292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75"/>
  <sheetViews>
    <sheetView workbookViewId="0">
      <selection activeCell="G13" sqref="G1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8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270</v>
      </c>
      <c r="C12" s="1">
        <v>0</v>
      </c>
      <c r="D12" s="1">
        <f>ROW(A208)</f>
        <v>208</v>
      </c>
      <c r="E12" s="1">
        <v>0</v>
      </c>
      <c r="F12" s="1" t="s">
        <v>3</v>
      </c>
      <c r="G12" s="1" t="s">
        <v>1182</v>
      </c>
      <c r="H12" s="1" t="s">
        <v>3</v>
      </c>
      <c r="I12" s="1">
        <v>0</v>
      </c>
      <c r="J12" s="1" t="s">
        <v>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1101</v>
      </c>
      <c r="CR12" s="1" t="s">
        <v>13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B208</f>
        <v>270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Ремонт здания первичного дробления Инв. № 10-10003</v>
      </c>
      <c r="H18" s="2"/>
      <c r="I18" s="2"/>
      <c r="J18" s="2"/>
      <c r="K18" s="2"/>
      <c r="L18" s="2"/>
      <c r="M18" s="2"/>
      <c r="N18" s="2"/>
      <c r="O18" s="2">
        <f t="shared" ref="O18:AT18" si="1">O208</f>
        <v>3274366.23</v>
      </c>
      <c r="P18" s="2">
        <f t="shared" si="1"/>
        <v>1955855.3</v>
      </c>
      <c r="Q18" s="2">
        <f t="shared" si="1"/>
        <v>554119.06000000006</v>
      </c>
      <c r="R18" s="2">
        <f t="shared" si="1"/>
        <v>203632.68</v>
      </c>
      <c r="S18" s="2">
        <f t="shared" si="1"/>
        <v>764391.87</v>
      </c>
      <c r="T18" s="2">
        <f t="shared" si="1"/>
        <v>0</v>
      </c>
      <c r="U18" s="2">
        <f t="shared" si="1"/>
        <v>2804.4622104254995</v>
      </c>
      <c r="V18" s="2">
        <f t="shared" si="1"/>
        <v>184.90067485124999</v>
      </c>
      <c r="W18" s="2">
        <f t="shared" si="1"/>
        <v>0</v>
      </c>
      <c r="X18" s="2">
        <f t="shared" si="1"/>
        <v>795641.51</v>
      </c>
      <c r="Y18" s="2">
        <f t="shared" si="1"/>
        <v>437877.04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4523440.37</v>
      </c>
      <c r="AS18" s="2">
        <f t="shared" si="1"/>
        <v>3916026.99</v>
      </c>
      <c r="AT18" s="2">
        <f t="shared" si="1"/>
        <v>607413.38</v>
      </c>
      <c r="AU18" s="2">
        <f t="shared" ref="AU18:BZ18" si="2">AU208</f>
        <v>0</v>
      </c>
      <c r="AV18" s="2">
        <f t="shared" si="2"/>
        <v>1955855.3</v>
      </c>
      <c r="AW18" s="2">
        <f t="shared" si="2"/>
        <v>1955855.3</v>
      </c>
      <c r="AX18" s="2">
        <f t="shared" si="2"/>
        <v>0</v>
      </c>
      <c r="AY18" s="2">
        <f t="shared" si="2"/>
        <v>1955855.3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15555.59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CA208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DG208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EM208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FS208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ROW(A178)</f>
        <v>178</v>
      </c>
      <c r="E20" s="1"/>
      <c r="F20" s="1" t="s">
        <v>14</v>
      </c>
      <c r="G20" s="1" t="s">
        <v>14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B178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O178</f>
        <v>3274366.23</v>
      </c>
      <c r="P22" s="2">
        <f t="shared" si="8"/>
        <v>1955855.3</v>
      </c>
      <c r="Q22" s="2">
        <f t="shared" si="8"/>
        <v>554119.06000000006</v>
      </c>
      <c r="R22" s="2">
        <f t="shared" si="8"/>
        <v>203632.68</v>
      </c>
      <c r="S22" s="2">
        <f t="shared" si="8"/>
        <v>764391.87</v>
      </c>
      <c r="T22" s="2">
        <f t="shared" si="8"/>
        <v>0</v>
      </c>
      <c r="U22" s="2">
        <f t="shared" si="8"/>
        <v>2804.4622104254995</v>
      </c>
      <c r="V22" s="2">
        <f t="shared" si="8"/>
        <v>184.90067485124999</v>
      </c>
      <c r="W22" s="2">
        <f t="shared" si="8"/>
        <v>0</v>
      </c>
      <c r="X22" s="2">
        <f t="shared" si="8"/>
        <v>795641.51</v>
      </c>
      <c r="Y22" s="2">
        <f t="shared" si="8"/>
        <v>437877.04</v>
      </c>
      <c r="Z22" s="2">
        <f t="shared" si="8"/>
        <v>0</v>
      </c>
      <c r="AA22" s="2">
        <f t="shared" si="8"/>
        <v>0</v>
      </c>
      <c r="AB22" s="2">
        <f t="shared" si="8"/>
        <v>3274366.23</v>
      </c>
      <c r="AC22" s="2">
        <f t="shared" si="8"/>
        <v>1955855.3</v>
      </c>
      <c r="AD22" s="2">
        <f t="shared" si="8"/>
        <v>554119.06000000006</v>
      </c>
      <c r="AE22" s="2">
        <f t="shared" si="8"/>
        <v>203632.68</v>
      </c>
      <c r="AF22" s="2">
        <f t="shared" si="8"/>
        <v>764391.87</v>
      </c>
      <c r="AG22" s="2">
        <f t="shared" si="8"/>
        <v>0</v>
      </c>
      <c r="AH22" s="2">
        <f t="shared" si="8"/>
        <v>2804.4622104254995</v>
      </c>
      <c r="AI22" s="2">
        <f t="shared" si="8"/>
        <v>184.90067485124999</v>
      </c>
      <c r="AJ22" s="2">
        <f t="shared" si="8"/>
        <v>0</v>
      </c>
      <c r="AK22" s="2">
        <f t="shared" si="8"/>
        <v>795641.51</v>
      </c>
      <c r="AL22" s="2">
        <f t="shared" si="8"/>
        <v>437877.04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4523440.37</v>
      </c>
      <c r="AS22" s="2">
        <f t="shared" si="8"/>
        <v>3916026.99</v>
      </c>
      <c r="AT22" s="2">
        <f t="shared" si="8"/>
        <v>607413.38</v>
      </c>
      <c r="AU22" s="2">
        <f t="shared" ref="AU22:BZ22" si="9">AU178</f>
        <v>0</v>
      </c>
      <c r="AV22" s="2">
        <f t="shared" si="9"/>
        <v>1955855.3</v>
      </c>
      <c r="AW22" s="2">
        <f t="shared" si="9"/>
        <v>1955855.3</v>
      </c>
      <c r="AX22" s="2">
        <f t="shared" si="9"/>
        <v>0</v>
      </c>
      <c r="AY22" s="2">
        <f t="shared" si="9"/>
        <v>1955855.3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15555.59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CA178</f>
        <v>4523440.37</v>
      </c>
      <c r="CB22" s="2">
        <f t="shared" si="10"/>
        <v>3916026.99</v>
      </c>
      <c r="CC22" s="2">
        <f t="shared" si="10"/>
        <v>607413.38</v>
      </c>
      <c r="CD22" s="2">
        <f t="shared" si="10"/>
        <v>0</v>
      </c>
      <c r="CE22" s="2">
        <f t="shared" si="10"/>
        <v>1955855.3</v>
      </c>
      <c r="CF22" s="2">
        <f t="shared" si="10"/>
        <v>1955855.3</v>
      </c>
      <c r="CG22" s="2">
        <f t="shared" si="10"/>
        <v>0</v>
      </c>
      <c r="CH22" s="2">
        <f t="shared" si="10"/>
        <v>1955855.3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15555.59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DG178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EM178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FS178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19</v>
      </c>
      <c r="B24">
        <v>1</v>
      </c>
      <c r="F24" t="s">
        <v>3</v>
      </c>
      <c r="G24" t="s">
        <v>15</v>
      </c>
      <c r="H24" t="s">
        <v>3</v>
      </c>
      <c r="AA24">
        <v>1</v>
      </c>
      <c r="IK24">
        <v>0</v>
      </c>
    </row>
    <row r="25" spans="1:245" x14ac:dyDescent="0.2">
      <c r="A25">
        <v>17</v>
      </c>
      <c r="B25">
        <v>1</v>
      </c>
      <c r="C25">
        <f>ROW(SmtRes!A2)</f>
        <v>2</v>
      </c>
      <c r="D25">
        <f>ROW(EtalonRes!A2)</f>
        <v>2</v>
      </c>
      <c r="E25" t="s">
        <v>16</v>
      </c>
      <c r="F25" t="s">
        <v>17</v>
      </c>
      <c r="G25" t="s">
        <v>18</v>
      </c>
      <c r="H25" t="s">
        <v>19</v>
      </c>
      <c r="I25">
        <f>ROUND(12.69/100,9)</f>
        <v>0.12690000000000001</v>
      </c>
      <c r="J25">
        <v>0</v>
      </c>
      <c r="K25">
        <f>ROUND(12.69/100,9)</f>
        <v>0.12690000000000001</v>
      </c>
      <c r="O25">
        <f t="shared" ref="O25:O33" si="14">ROUND(CP25,2)</f>
        <v>793.32</v>
      </c>
      <c r="P25">
        <f t="shared" ref="P25:P33" si="15">ROUND(CQ25*I25,2)</f>
        <v>0</v>
      </c>
      <c r="Q25">
        <f t="shared" ref="Q25:Q33" si="16">ROUND(CR25*I25,2)</f>
        <v>0</v>
      </c>
      <c r="R25">
        <f t="shared" ref="R25:R33" si="17">ROUND(CS25*I25,2)</f>
        <v>0</v>
      </c>
      <c r="S25">
        <f t="shared" ref="S25:S33" si="18">ROUND(CT25*I25,2)</f>
        <v>793.32</v>
      </c>
      <c r="T25">
        <f t="shared" ref="T25:T33" si="19">ROUND(CU25*I25,2)</f>
        <v>0</v>
      </c>
      <c r="U25">
        <f t="shared" ref="U25:U33" si="20">CV25*I25</f>
        <v>3.3302366999999999</v>
      </c>
      <c r="V25">
        <f t="shared" ref="V25:V33" si="21">CW25*I25</f>
        <v>0</v>
      </c>
      <c r="W25">
        <f t="shared" ref="W25:W33" si="22">ROUND(CX25*I25,2)</f>
        <v>0</v>
      </c>
      <c r="X25">
        <f t="shared" ref="X25:X33" si="23">ROUND(CY25,2)</f>
        <v>721.92</v>
      </c>
      <c r="Y25">
        <f t="shared" ref="Y25:Y33" si="24">ROUND(CZ25,2)</f>
        <v>412.53</v>
      </c>
      <c r="AA25">
        <v>145033679</v>
      </c>
      <c r="AB25">
        <f t="shared" ref="AB25:AB33" si="25">ROUND((AC25+AD25+AF25),2)</f>
        <v>204.7</v>
      </c>
      <c r="AC25">
        <f t="shared" ref="AC25:AC33" si="26">ROUND((ES25),2)</f>
        <v>0</v>
      </c>
      <c r="AD25">
        <f>ROUND(((((ET25*1.15))-((EU25*1.15)))+AE25),2)</f>
        <v>0</v>
      </c>
      <c r="AE25">
        <f>ROUND(((EU25*1.15)),2)</f>
        <v>0</v>
      </c>
      <c r="AF25">
        <f>ROUND(((EV25*1.15)),2)</f>
        <v>204.7</v>
      </c>
      <c r="AG25">
        <f t="shared" ref="AG25:AG33" si="27">ROUND((AP25),2)</f>
        <v>0</v>
      </c>
      <c r="AH25">
        <f>((EW25*1.15))</f>
        <v>26.242999999999999</v>
      </c>
      <c r="AI25">
        <f>((EX25*1.15))</f>
        <v>0</v>
      </c>
      <c r="AJ25">
        <f t="shared" ref="AJ25:AJ33" si="28">(AS25)</f>
        <v>0</v>
      </c>
      <c r="AK25">
        <v>178</v>
      </c>
      <c r="AL25">
        <v>0</v>
      </c>
      <c r="AM25">
        <v>0</v>
      </c>
      <c r="AN25">
        <v>0</v>
      </c>
      <c r="AO25">
        <v>178</v>
      </c>
      <c r="AP25">
        <v>0</v>
      </c>
      <c r="AQ25">
        <v>22.82</v>
      </c>
      <c r="AR25">
        <v>0</v>
      </c>
      <c r="AS25">
        <v>0</v>
      </c>
      <c r="AT25">
        <v>91</v>
      </c>
      <c r="AU25">
        <v>52</v>
      </c>
      <c r="AV25">
        <v>1</v>
      </c>
      <c r="AW25">
        <v>1</v>
      </c>
      <c r="AZ25">
        <v>1</v>
      </c>
      <c r="BA25">
        <v>30.54</v>
      </c>
      <c r="BB25">
        <v>12.13</v>
      </c>
      <c r="BC25">
        <v>8.7100000000000009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20</v>
      </c>
      <c r="BM25">
        <v>46003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v>30.54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91</v>
      </c>
      <c r="CA25">
        <v>52</v>
      </c>
      <c r="CB25" t="s">
        <v>3</v>
      </c>
      <c r="CE25">
        <v>0</v>
      </c>
      <c r="CF25">
        <v>0</v>
      </c>
      <c r="CG25">
        <v>0</v>
      </c>
      <c r="CM25">
        <v>0</v>
      </c>
      <c r="CN25" t="s">
        <v>1102</v>
      </c>
      <c r="CO25">
        <v>0</v>
      </c>
      <c r="CP25">
        <f t="shared" ref="CP25:CP33" si="29">(P25+Q25+S25)</f>
        <v>793.32</v>
      </c>
      <c r="CQ25">
        <f t="shared" ref="CQ25:CQ33" si="30">AC25*BC25</f>
        <v>0</v>
      </c>
      <c r="CR25">
        <f>((((ET25*1.15))*BB25-((EU25*1.15))*BS25)+AE25*BS25)</f>
        <v>0</v>
      </c>
      <c r="CS25">
        <f t="shared" ref="CS25:CS33" si="31">AE25*BS25</f>
        <v>0</v>
      </c>
      <c r="CT25">
        <f t="shared" ref="CT25:CT33" si="32">AF25*BA25</f>
        <v>6251.5379999999996</v>
      </c>
      <c r="CU25">
        <f t="shared" ref="CU25:CU33" si="33">AG25</f>
        <v>0</v>
      </c>
      <c r="CV25">
        <f t="shared" ref="CV25:CV33" si="34">AH25</f>
        <v>26.242999999999999</v>
      </c>
      <c r="CW25">
        <f t="shared" ref="CW25:CW33" si="35">AI25</f>
        <v>0</v>
      </c>
      <c r="CX25">
        <f t="shared" ref="CX25:CX33" si="36">AJ25</f>
        <v>0</v>
      </c>
      <c r="CY25">
        <f t="shared" ref="CY25:CY33" si="37">(((S25+R25)*AT25)/100)</f>
        <v>721.92120000000011</v>
      </c>
      <c r="CZ25">
        <f t="shared" ref="CZ25:CZ33" si="38">(((S25+R25)*AU25)/100)</f>
        <v>412.52639999999997</v>
      </c>
      <c r="DC25" t="s">
        <v>3</v>
      </c>
      <c r="DD25" t="s">
        <v>3</v>
      </c>
      <c r="DE25" t="s">
        <v>21</v>
      </c>
      <c r="DF25" t="s">
        <v>21</v>
      </c>
      <c r="DG25" t="s">
        <v>21</v>
      </c>
      <c r="DH25" t="s">
        <v>3</v>
      </c>
      <c r="DI25" t="s">
        <v>21</v>
      </c>
      <c r="DJ25" t="s">
        <v>21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19</v>
      </c>
      <c r="DW25" t="s">
        <v>19</v>
      </c>
      <c r="DX25">
        <v>100</v>
      </c>
      <c r="DZ25" t="s">
        <v>3</v>
      </c>
      <c r="EA25" t="s">
        <v>3</v>
      </c>
      <c r="EB25" t="s">
        <v>3</v>
      </c>
      <c r="EC25" t="s">
        <v>3</v>
      </c>
      <c r="EE25">
        <v>140625347</v>
      </c>
      <c r="EF25">
        <v>2</v>
      </c>
      <c r="EG25" t="s">
        <v>22</v>
      </c>
      <c r="EH25">
        <v>40</v>
      </c>
      <c r="EI25" t="s">
        <v>23</v>
      </c>
      <c r="EJ25">
        <v>1</v>
      </c>
      <c r="EK25">
        <v>46003</v>
      </c>
      <c r="EL25" t="s">
        <v>24</v>
      </c>
      <c r="EM25" t="s">
        <v>25</v>
      </c>
      <c r="EO25" t="s">
        <v>26</v>
      </c>
      <c r="EQ25">
        <v>0</v>
      </c>
      <c r="ER25">
        <v>178</v>
      </c>
      <c r="ES25">
        <v>0</v>
      </c>
      <c r="ET25">
        <v>0</v>
      </c>
      <c r="EU25">
        <v>0</v>
      </c>
      <c r="EV25">
        <v>178</v>
      </c>
      <c r="EW25">
        <v>22.82</v>
      </c>
      <c r="EX25">
        <v>0</v>
      </c>
      <c r="EY25">
        <v>0</v>
      </c>
      <c r="FQ25">
        <v>0</v>
      </c>
      <c r="FR25">
        <f t="shared" ref="FR25:FR33" si="39">ROUND(IF(BI25=3,GM25,0),2)</f>
        <v>0</v>
      </c>
      <c r="FS25">
        <v>0</v>
      </c>
      <c r="FX25">
        <v>91</v>
      </c>
      <c r="FY25">
        <v>52</v>
      </c>
      <c r="GA25" t="s">
        <v>3</v>
      </c>
      <c r="GD25">
        <v>1</v>
      </c>
      <c r="GF25">
        <v>-636248557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ref="GL25:GL33" si="40">ROUND(IF(AND(BH25=3,BI25=3,FS25&lt;&gt;0),P25,0),2)</f>
        <v>0</v>
      </c>
      <c r="GM25">
        <f t="shared" ref="GM25:GM33" si="41">ROUND(O25+X25+Y25,2)+GX25</f>
        <v>1927.77</v>
      </c>
      <c r="GN25">
        <f t="shared" ref="GN25:GN33" si="42">IF(OR(BI25=0,BI25=1),ROUND(O25+X25+Y25,2),0)</f>
        <v>1927.77</v>
      </c>
      <c r="GO25">
        <f t="shared" ref="GO25:GO33" si="43">IF(BI25=2,ROUND(O25+X25+Y25,2),0)</f>
        <v>0</v>
      </c>
      <c r="GP25">
        <f t="shared" ref="GP25:GP33" si="44">IF(BI25=4,ROUND(O25+X25+Y25,2)+GX25,0)</f>
        <v>0</v>
      </c>
      <c r="GR25">
        <v>0</v>
      </c>
      <c r="GS25">
        <v>3</v>
      </c>
      <c r="GT25">
        <v>0</v>
      </c>
      <c r="GU25" t="s">
        <v>3</v>
      </c>
      <c r="GV25">
        <f t="shared" ref="GV25:GV33" si="45">ROUND((GT25),2)</f>
        <v>0</v>
      </c>
      <c r="GW25">
        <v>1</v>
      </c>
      <c r="GX25">
        <f t="shared" ref="GX25:GX33" si="46">ROUND(HC25*I25,2)</f>
        <v>0</v>
      </c>
      <c r="HA25">
        <v>0</v>
      </c>
      <c r="HB25">
        <v>0</v>
      </c>
      <c r="HC25">
        <f t="shared" ref="HC25:HC33" si="47">GV25*GW25</f>
        <v>0</v>
      </c>
      <c r="HE25" t="s">
        <v>3</v>
      </c>
      <c r="HF25" t="s">
        <v>3</v>
      </c>
      <c r="HM25" t="s">
        <v>3</v>
      </c>
      <c r="HN25" t="s">
        <v>27</v>
      </c>
      <c r="HO25" t="s">
        <v>28</v>
      </c>
      <c r="HP25" t="s">
        <v>24</v>
      </c>
      <c r="HQ25" t="s">
        <v>24</v>
      </c>
      <c r="IK25">
        <v>0</v>
      </c>
    </row>
    <row r="26" spans="1:245" x14ac:dyDescent="0.2">
      <c r="A26">
        <v>17</v>
      </c>
      <c r="B26">
        <v>1</v>
      </c>
      <c r="C26">
        <f>ROW(SmtRes!A7)</f>
        <v>7</v>
      </c>
      <c r="D26">
        <f>ROW(EtalonRes!A7)</f>
        <v>7</v>
      </c>
      <c r="E26" t="s">
        <v>29</v>
      </c>
      <c r="F26" t="s">
        <v>30</v>
      </c>
      <c r="G26" t="s">
        <v>31</v>
      </c>
      <c r="H26" t="s">
        <v>32</v>
      </c>
      <c r="I26">
        <f>ROUND(3.384/10,9)</f>
        <v>0.33839999999999998</v>
      </c>
      <c r="J26">
        <v>0</v>
      </c>
      <c r="K26">
        <f>ROUND(3.384/10,9)</f>
        <v>0.33839999999999998</v>
      </c>
      <c r="O26">
        <f t="shared" si="14"/>
        <v>5624.47</v>
      </c>
      <c r="P26">
        <f t="shared" si="15"/>
        <v>4937.03</v>
      </c>
      <c r="Q26">
        <f t="shared" si="16"/>
        <v>9.27</v>
      </c>
      <c r="R26">
        <f t="shared" si="17"/>
        <v>4.13</v>
      </c>
      <c r="S26">
        <f t="shared" si="18"/>
        <v>678.17</v>
      </c>
      <c r="T26">
        <f t="shared" si="19"/>
        <v>0</v>
      </c>
      <c r="U26">
        <f t="shared" si="20"/>
        <v>2.3349599999999997</v>
      </c>
      <c r="V26">
        <f t="shared" si="21"/>
        <v>1.1674799999999997E-2</v>
      </c>
      <c r="W26">
        <f t="shared" si="22"/>
        <v>0</v>
      </c>
      <c r="X26">
        <f t="shared" si="23"/>
        <v>634.54</v>
      </c>
      <c r="Y26">
        <f t="shared" si="24"/>
        <v>375.27</v>
      </c>
      <c r="AA26">
        <v>145033679</v>
      </c>
      <c r="AB26">
        <f t="shared" si="25"/>
        <v>1742.89</v>
      </c>
      <c r="AC26">
        <f t="shared" si="26"/>
        <v>1675.01</v>
      </c>
      <c r="AD26">
        <f>ROUND(((((ET26*1.15))-((EU26*1.15)))+AE26),2)</f>
        <v>2.2599999999999998</v>
      </c>
      <c r="AE26">
        <f>ROUND(((EU26*1.15)),2)</f>
        <v>0.4</v>
      </c>
      <c r="AF26">
        <f>ROUND(((EV26*1.15)),2)</f>
        <v>65.62</v>
      </c>
      <c r="AG26">
        <f t="shared" si="27"/>
        <v>0</v>
      </c>
      <c r="AH26">
        <f>((EW26*1.15))</f>
        <v>6.8999999999999995</v>
      </c>
      <c r="AI26">
        <f>((EX26*1.15))</f>
        <v>3.4499999999999996E-2</v>
      </c>
      <c r="AJ26">
        <f t="shared" si="28"/>
        <v>0</v>
      </c>
      <c r="AK26">
        <v>1734.04</v>
      </c>
      <c r="AL26">
        <v>1675.01</v>
      </c>
      <c r="AM26">
        <v>1.97</v>
      </c>
      <c r="AN26">
        <v>0.35</v>
      </c>
      <c r="AO26">
        <v>57.06</v>
      </c>
      <c r="AP26">
        <v>0</v>
      </c>
      <c r="AQ26">
        <v>6</v>
      </c>
      <c r="AR26">
        <v>0.03</v>
      </c>
      <c r="AS26">
        <v>0</v>
      </c>
      <c r="AT26">
        <v>93</v>
      </c>
      <c r="AU26">
        <v>55</v>
      </c>
      <c r="AV26">
        <v>1</v>
      </c>
      <c r="AW26">
        <v>1</v>
      </c>
      <c r="AZ26">
        <v>1</v>
      </c>
      <c r="BA26">
        <v>30.54</v>
      </c>
      <c r="BB26">
        <v>12.13</v>
      </c>
      <c r="BC26">
        <v>8.7100000000000009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1</v>
      </c>
      <c r="BJ26" t="s">
        <v>33</v>
      </c>
      <c r="BM26">
        <v>52001</v>
      </c>
      <c r="BN26">
        <v>0</v>
      </c>
      <c r="BO26" t="s">
        <v>3</v>
      </c>
      <c r="BP26">
        <v>0</v>
      </c>
      <c r="BQ26">
        <v>6</v>
      </c>
      <c r="BR26">
        <v>0</v>
      </c>
      <c r="BS26">
        <v>30.54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93</v>
      </c>
      <c r="CA26">
        <v>55</v>
      </c>
      <c r="CB26" t="s">
        <v>3</v>
      </c>
      <c r="CE26">
        <v>0</v>
      </c>
      <c r="CF26">
        <v>0</v>
      </c>
      <c r="CG26">
        <v>0</v>
      </c>
      <c r="CM26">
        <v>0</v>
      </c>
      <c r="CN26" t="s">
        <v>1103</v>
      </c>
      <c r="CO26">
        <v>0</v>
      </c>
      <c r="CP26">
        <f t="shared" si="29"/>
        <v>5624.47</v>
      </c>
      <c r="CQ26">
        <f t="shared" si="30"/>
        <v>14589.337100000001</v>
      </c>
      <c r="CR26">
        <f>((((ET26*1.15))*BB26-((EU26*1.15))*BS26)+AE26*BS26)</f>
        <v>27.404165000000003</v>
      </c>
      <c r="CS26">
        <f t="shared" si="31"/>
        <v>12.216000000000001</v>
      </c>
      <c r="CT26">
        <f t="shared" si="32"/>
        <v>2004.0348000000001</v>
      </c>
      <c r="CU26">
        <f t="shared" si="33"/>
        <v>0</v>
      </c>
      <c r="CV26">
        <f t="shared" si="34"/>
        <v>6.8999999999999995</v>
      </c>
      <c r="CW26">
        <f t="shared" si="35"/>
        <v>3.4499999999999996E-2</v>
      </c>
      <c r="CX26">
        <f t="shared" si="36"/>
        <v>0</v>
      </c>
      <c r="CY26">
        <f t="shared" si="37"/>
        <v>634.53899999999999</v>
      </c>
      <c r="CZ26">
        <f t="shared" si="38"/>
        <v>375.26499999999999</v>
      </c>
      <c r="DC26" t="s">
        <v>3</v>
      </c>
      <c r="DD26" t="s">
        <v>3</v>
      </c>
      <c r="DE26" t="s">
        <v>21</v>
      </c>
      <c r="DF26" t="s">
        <v>21</v>
      </c>
      <c r="DG26" t="s">
        <v>21</v>
      </c>
      <c r="DH26" t="s">
        <v>3</v>
      </c>
      <c r="DI26" t="s">
        <v>21</v>
      </c>
      <c r="DJ26" t="s">
        <v>21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1005</v>
      </c>
      <c r="DV26" t="s">
        <v>32</v>
      </c>
      <c r="DW26" t="s">
        <v>32</v>
      </c>
      <c r="DX26">
        <v>10</v>
      </c>
      <c r="DZ26" t="s">
        <v>3</v>
      </c>
      <c r="EA26" t="s">
        <v>3</v>
      </c>
      <c r="EB26" t="s">
        <v>3</v>
      </c>
      <c r="EC26" t="s">
        <v>3</v>
      </c>
      <c r="EE26">
        <v>140625142</v>
      </c>
      <c r="EF26">
        <v>6</v>
      </c>
      <c r="EG26" t="s">
        <v>34</v>
      </c>
      <c r="EH26">
        <v>86</v>
      </c>
      <c r="EI26" t="s">
        <v>35</v>
      </c>
      <c r="EJ26">
        <v>1</v>
      </c>
      <c r="EK26">
        <v>52001</v>
      </c>
      <c r="EL26" t="s">
        <v>35</v>
      </c>
      <c r="EM26" t="s">
        <v>36</v>
      </c>
      <c r="EO26" t="s">
        <v>37</v>
      </c>
      <c r="EQ26">
        <v>0</v>
      </c>
      <c r="ER26">
        <v>1734.04</v>
      </c>
      <c r="ES26">
        <v>1675.01</v>
      </c>
      <c r="ET26">
        <v>1.97</v>
      </c>
      <c r="EU26">
        <v>0.35</v>
      </c>
      <c r="EV26">
        <v>57.06</v>
      </c>
      <c r="EW26">
        <v>6</v>
      </c>
      <c r="EX26">
        <v>0.03</v>
      </c>
      <c r="EY26">
        <v>0</v>
      </c>
      <c r="FQ26">
        <v>0</v>
      </c>
      <c r="FR26">
        <f t="shared" si="39"/>
        <v>0</v>
      </c>
      <c r="FS26">
        <v>0</v>
      </c>
      <c r="FX26">
        <v>93</v>
      </c>
      <c r="FY26">
        <v>55</v>
      </c>
      <c r="GA26" t="s">
        <v>3</v>
      </c>
      <c r="GD26">
        <v>1</v>
      </c>
      <c r="GF26">
        <v>1111510828</v>
      </c>
      <c r="GG26">
        <v>2</v>
      </c>
      <c r="GH26">
        <v>1</v>
      </c>
      <c r="GI26">
        <v>4</v>
      </c>
      <c r="GJ26">
        <v>0</v>
      </c>
      <c r="GK26">
        <v>0</v>
      </c>
      <c r="GL26">
        <f t="shared" si="40"/>
        <v>0</v>
      </c>
      <c r="GM26">
        <f t="shared" si="41"/>
        <v>6634.28</v>
      </c>
      <c r="GN26">
        <f t="shared" si="42"/>
        <v>6634.28</v>
      </c>
      <c r="GO26">
        <f t="shared" si="43"/>
        <v>0</v>
      </c>
      <c r="GP26">
        <f t="shared" si="44"/>
        <v>0</v>
      </c>
      <c r="GR26">
        <v>0</v>
      </c>
      <c r="GS26">
        <v>3</v>
      </c>
      <c r="GT26">
        <v>0</v>
      </c>
      <c r="GU26" t="s">
        <v>3</v>
      </c>
      <c r="GV26">
        <f t="shared" si="45"/>
        <v>0</v>
      </c>
      <c r="GW26">
        <v>1</v>
      </c>
      <c r="GX26">
        <f t="shared" si="46"/>
        <v>0</v>
      </c>
      <c r="HA26">
        <v>0</v>
      </c>
      <c r="HB26">
        <v>0</v>
      </c>
      <c r="HC26">
        <f t="shared" si="47"/>
        <v>0</v>
      </c>
      <c r="HE26" t="s">
        <v>3</v>
      </c>
      <c r="HF26" t="s">
        <v>3</v>
      </c>
      <c r="HM26" t="s">
        <v>3</v>
      </c>
      <c r="HN26" t="s">
        <v>38</v>
      </c>
      <c r="HO26" t="s">
        <v>39</v>
      </c>
      <c r="HP26" t="s">
        <v>35</v>
      </c>
      <c r="HQ26" t="s">
        <v>35</v>
      </c>
      <c r="IK26">
        <v>0</v>
      </c>
    </row>
    <row r="27" spans="1:245" x14ac:dyDescent="0.2">
      <c r="A27">
        <v>18</v>
      </c>
      <c r="B27">
        <v>1</v>
      </c>
      <c r="C27">
        <v>7</v>
      </c>
      <c r="E27" t="s">
        <v>40</v>
      </c>
      <c r="F27" t="s">
        <v>41</v>
      </c>
      <c r="G27" t="s">
        <v>42</v>
      </c>
      <c r="H27" t="s">
        <v>43</v>
      </c>
      <c r="I27">
        <f>I26*J27</f>
        <v>-9.3905999999999992</v>
      </c>
      <c r="J27">
        <v>-27.75</v>
      </c>
      <c r="K27">
        <v>-27.75</v>
      </c>
      <c r="O27">
        <f t="shared" si="14"/>
        <v>-4936.97</v>
      </c>
      <c r="P27">
        <f t="shared" si="15"/>
        <v>-4936.97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145033679</v>
      </c>
      <c r="AB27">
        <f t="shared" si="25"/>
        <v>60.36</v>
      </c>
      <c r="AC27">
        <f t="shared" si="26"/>
        <v>60.36</v>
      </c>
      <c r="AD27">
        <f>ROUND((((ET27)-(EU27))+AE27),2)</f>
        <v>0</v>
      </c>
      <c r="AE27">
        <f>ROUND((EU27),2)</f>
        <v>0</v>
      </c>
      <c r="AF27">
        <f>ROUND((EV27),2)</f>
        <v>0</v>
      </c>
      <c r="AG27">
        <f t="shared" si="27"/>
        <v>0</v>
      </c>
      <c r="AH27">
        <f>(EW27)</f>
        <v>0</v>
      </c>
      <c r="AI27">
        <f>(EX27)</f>
        <v>0</v>
      </c>
      <c r="AJ27">
        <f t="shared" si="28"/>
        <v>0</v>
      </c>
      <c r="AK27">
        <v>60.36</v>
      </c>
      <c r="AL27">
        <v>60.36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93</v>
      </c>
      <c r="AU27">
        <v>55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8.7100000000000009</v>
      </c>
      <c r="BD27" t="s">
        <v>3</v>
      </c>
      <c r="BE27" t="s">
        <v>3</v>
      </c>
      <c r="BF27" t="s">
        <v>3</v>
      </c>
      <c r="BG27" t="s">
        <v>3</v>
      </c>
      <c r="BH27">
        <v>3</v>
      </c>
      <c r="BI27">
        <v>1</v>
      </c>
      <c r="BJ27" t="s">
        <v>44</v>
      </c>
      <c r="BM27">
        <v>52001</v>
      </c>
      <c r="BN27">
        <v>0</v>
      </c>
      <c r="BO27" t="s">
        <v>3</v>
      </c>
      <c r="BP27">
        <v>0</v>
      </c>
      <c r="BQ27">
        <v>6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93</v>
      </c>
      <c r="CA27">
        <v>55</v>
      </c>
      <c r="CB27" t="s">
        <v>3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9"/>
        <v>-4936.97</v>
      </c>
      <c r="CQ27">
        <f t="shared" si="30"/>
        <v>525.73560000000009</v>
      </c>
      <c r="CR27">
        <f>(((ET27)*BB27-(EU27)*BS27)+AE27*BS27)</f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43</v>
      </c>
      <c r="DW27" t="s">
        <v>43</v>
      </c>
      <c r="DX27">
        <v>1</v>
      </c>
      <c r="DZ27" t="s">
        <v>3</v>
      </c>
      <c r="EA27" t="s">
        <v>3</v>
      </c>
      <c r="EB27" t="s">
        <v>3</v>
      </c>
      <c r="EC27" t="s">
        <v>3</v>
      </c>
      <c r="EE27">
        <v>140625142</v>
      </c>
      <c r="EF27">
        <v>6</v>
      </c>
      <c r="EG27" t="s">
        <v>34</v>
      </c>
      <c r="EH27">
        <v>86</v>
      </c>
      <c r="EI27" t="s">
        <v>35</v>
      </c>
      <c r="EJ27">
        <v>1</v>
      </c>
      <c r="EK27">
        <v>52001</v>
      </c>
      <c r="EL27" t="s">
        <v>35</v>
      </c>
      <c r="EM27" t="s">
        <v>36</v>
      </c>
      <c r="EO27" t="s">
        <v>3</v>
      </c>
      <c r="EQ27">
        <v>0</v>
      </c>
      <c r="ER27">
        <v>60.36</v>
      </c>
      <c r="ES27">
        <v>60.36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39"/>
        <v>0</v>
      </c>
      <c r="FS27">
        <v>0</v>
      </c>
      <c r="FX27">
        <v>93</v>
      </c>
      <c r="FY27">
        <v>55</v>
      </c>
      <c r="GA27" t="s">
        <v>3</v>
      </c>
      <c r="GD27">
        <v>1</v>
      </c>
      <c r="GF27">
        <v>1351658750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0"/>
        <v>0</v>
      </c>
      <c r="GM27">
        <f t="shared" si="41"/>
        <v>-4936.97</v>
      </c>
      <c r="GN27">
        <f t="shared" si="42"/>
        <v>-4936.97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HC27">
        <f t="shared" si="47"/>
        <v>0</v>
      </c>
      <c r="HE27" t="s">
        <v>3</v>
      </c>
      <c r="HF27" t="s">
        <v>3</v>
      </c>
      <c r="HM27" t="s">
        <v>3</v>
      </c>
      <c r="HN27" t="s">
        <v>38</v>
      </c>
      <c r="HO27" t="s">
        <v>39</v>
      </c>
      <c r="HP27" t="s">
        <v>35</v>
      </c>
      <c r="HQ27" t="s">
        <v>35</v>
      </c>
      <c r="IK27">
        <v>0</v>
      </c>
    </row>
    <row r="28" spans="1:245" x14ac:dyDescent="0.2">
      <c r="A28">
        <v>17</v>
      </c>
      <c r="B28">
        <v>1</v>
      </c>
      <c r="E28" t="s">
        <v>45</v>
      </c>
      <c r="F28" t="s">
        <v>46</v>
      </c>
      <c r="G28" t="s">
        <v>47</v>
      </c>
      <c r="H28" t="s">
        <v>43</v>
      </c>
      <c r="I28">
        <f>ROUND(I26*27.75,9)</f>
        <v>9.3905999999999992</v>
      </c>
      <c r="J28">
        <v>0</v>
      </c>
      <c r="K28">
        <f>ROUND(I26*27.75,9)</f>
        <v>9.3905999999999992</v>
      </c>
      <c r="O28">
        <f t="shared" si="14"/>
        <v>2826.74</v>
      </c>
      <c r="P28">
        <f t="shared" si="15"/>
        <v>2826.74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145033679</v>
      </c>
      <c r="AB28">
        <f t="shared" si="25"/>
        <v>34.56</v>
      </c>
      <c r="AC28">
        <f t="shared" si="26"/>
        <v>34.56</v>
      </c>
      <c r="AD28">
        <f>ROUND((((ET28)-(EU28))+AE28),2)</f>
        <v>0</v>
      </c>
      <c r="AE28">
        <f>ROUND((EU28),2)</f>
        <v>0</v>
      </c>
      <c r="AF28">
        <f>ROUND((EV28),2)</f>
        <v>0</v>
      </c>
      <c r="AG28">
        <f t="shared" si="27"/>
        <v>0</v>
      </c>
      <c r="AH28">
        <f>(EW28)</f>
        <v>0</v>
      </c>
      <c r="AI28">
        <f>(EX28)</f>
        <v>0</v>
      </c>
      <c r="AJ28">
        <f t="shared" si="28"/>
        <v>0</v>
      </c>
      <c r="AK28">
        <v>34.56</v>
      </c>
      <c r="AL28">
        <v>34.56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8.7100000000000009</v>
      </c>
      <c r="BD28" t="s">
        <v>3</v>
      </c>
      <c r="BE28" t="s">
        <v>3</v>
      </c>
      <c r="BF28" t="s">
        <v>3</v>
      </c>
      <c r="BG28" t="s">
        <v>3</v>
      </c>
      <c r="BH28">
        <v>3</v>
      </c>
      <c r="BI28">
        <v>1</v>
      </c>
      <c r="BJ28" t="s">
        <v>3</v>
      </c>
      <c r="BM28">
        <v>1100</v>
      </c>
      <c r="BN28">
        <v>0</v>
      </c>
      <c r="BO28" t="s">
        <v>3</v>
      </c>
      <c r="BP28">
        <v>0</v>
      </c>
      <c r="BQ28">
        <v>8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29"/>
        <v>2826.74</v>
      </c>
      <c r="CQ28">
        <f t="shared" si="30"/>
        <v>301.01760000000007</v>
      </c>
      <c r="CR28">
        <f>(((ET28)*BB28-(EU28)*BS28)+AE28*BS28)</f>
        <v>0</v>
      </c>
      <c r="CS28">
        <f t="shared" si="31"/>
        <v>0</v>
      </c>
      <c r="CT28">
        <f t="shared" si="32"/>
        <v>0</v>
      </c>
      <c r="CU28">
        <f t="shared" si="33"/>
        <v>0</v>
      </c>
      <c r="CV28">
        <f t="shared" si="34"/>
        <v>0</v>
      </c>
      <c r="CW28">
        <f t="shared" si="35"/>
        <v>0</v>
      </c>
      <c r="CX28">
        <f t="shared" si="36"/>
        <v>0</v>
      </c>
      <c r="CY28">
        <f t="shared" si="37"/>
        <v>0</v>
      </c>
      <c r="CZ28">
        <f t="shared" si="38"/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1009</v>
      </c>
      <c r="DV28" t="s">
        <v>43</v>
      </c>
      <c r="DW28" t="s">
        <v>43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140625274</v>
      </c>
      <c r="EF28">
        <v>8</v>
      </c>
      <c r="EG28" t="s">
        <v>48</v>
      </c>
      <c r="EH28">
        <v>0</v>
      </c>
      <c r="EI28" t="s">
        <v>3</v>
      </c>
      <c r="EJ28">
        <v>1</v>
      </c>
      <c r="EK28">
        <v>1100</v>
      </c>
      <c r="EL28" t="s">
        <v>49</v>
      </c>
      <c r="EM28" t="s">
        <v>50</v>
      </c>
      <c r="EO28" t="s">
        <v>3</v>
      </c>
      <c r="EQ28">
        <v>0</v>
      </c>
      <c r="ER28">
        <v>34.56</v>
      </c>
      <c r="ES28">
        <v>34.56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5</v>
      </c>
      <c r="FC28">
        <v>1</v>
      </c>
      <c r="FD28">
        <v>18</v>
      </c>
      <c r="FF28">
        <v>337.33</v>
      </c>
      <c r="FQ28">
        <v>0</v>
      </c>
      <c r="FR28">
        <f t="shared" si="39"/>
        <v>0</v>
      </c>
      <c r="FS28">
        <v>0</v>
      </c>
      <c r="FX28">
        <v>0</v>
      </c>
      <c r="FY28">
        <v>0</v>
      </c>
      <c r="GA28" t="s">
        <v>51</v>
      </c>
      <c r="GD28">
        <v>1</v>
      </c>
      <c r="GF28">
        <v>1334868333</v>
      </c>
      <c r="GG28">
        <v>2</v>
      </c>
      <c r="GH28">
        <v>3</v>
      </c>
      <c r="GI28">
        <v>4</v>
      </c>
      <c r="GJ28">
        <v>0</v>
      </c>
      <c r="GK28">
        <v>0</v>
      </c>
      <c r="GL28">
        <f t="shared" si="40"/>
        <v>0</v>
      </c>
      <c r="GM28">
        <f t="shared" si="41"/>
        <v>2826.74</v>
      </c>
      <c r="GN28">
        <f t="shared" si="42"/>
        <v>2826.74</v>
      </c>
      <c r="GO28">
        <f t="shared" si="43"/>
        <v>0</v>
      </c>
      <c r="GP28">
        <f t="shared" si="44"/>
        <v>0</v>
      </c>
      <c r="GR28">
        <v>1</v>
      </c>
      <c r="GS28">
        <v>1</v>
      </c>
      <c r="GT28">
        <v>0</v>
      </c>
      <c r="GU28" t="s">
        <v>3</v>
      </c>
      <c r="GV28">
        <f t="shared" si="45"/>
        <v>0</v>
      </c>
      <c r="GW28">
        <v>1</v>
      </c>
      <c r="GX28">
        <f t="shared" si="46"/>
        <v>0</v>
      </c>
      <c r="HA28">
        <v>0</v>
      </c>
      <c r="HB28">
        <v>0</v>
      </c>
      <c r="HC28">
        <f t="shared" si="47"/>
        <v>0</v>
      </c>
      <c r="HE28" t="s">
        <v>52</v>
      </c>
      <c r="HF28" t="s">
        <v>29</v>
      </c>
      <c r="HM28" t="s">
        <v>3</v>
      </c>
      <c r="HN28" t="s">
        <v>3</v>
      </c>
      <c r="HO28" t="s">
        <v>3</v>
      </c>
      <c r="HP28" t="s">
        <v>3</v>
      </c>
      <c r="HQ28" t="s">
        <v>3</v>
      </c>
      <c r="IK28">
        <v>0</v>
      </c>
    </row>
    <row r="29" spans="1:245" x14ac:dyDescent="0.2">
      <c r="A29">
        <v>17</v>
      </c>
      <c r="B29">
        <v>1</v>
      </c>
      <c r="C29">
        <f>ROW(SmtRes!A13)</f>
        <v>13</v>
      </c>
      <c r="D29">
        <f>ROW(EtalonRes!A13)</f>
        <v>13</v>
      </c>
      <c r="E29" t="s">
        <v>53</v>
      </c>
      <c r="F29" t="s">
        <v>54</v>
      </c>
      <c r="G29" t="s">
        <v>55</v>
      </c>
      <c r="H29" t="s">
        <v>19</v>
      </c>
      <c r="I29">
        <f>ROUND(12.69/100,9)</f>
        <v>0.12690000000000001</v>
      </c>
      <c r="J29">
        <v>0</v>
      </c>
      <c r="K29">
        <f>ROUND(12.69/100,9)</f>
        <v>0.12690000000000001</v>
      </c>
      <c r="O29">
        <f t="shared" si="14"/>
        <v>2090.52</v>
      </c>
      <c r="P29">
        <f t="shared" si="15"/>
        <v>0</v>
      </c>
      <c r="Q29">
        <f t="shared" si="16"/>
        <v>176.79</v>
      </c>
      <c r="R29">
        <f t="shared" si="17"/>
        <v>78.56</v>
      </c>
      <c r="S29">
        <f t="shared" si="18"/>
        <v>1913.73</v>
      </c>
      <c r="T29">
        <f t="shared" si="19"/>
        <v>0</v>
      </c>
      <c r="U29">
        <f t="shared" si="20"/>
        <v>6.9859084500000002</v>
      </c>
      <c r="V29">
        <f t="shared" si="21"/>
        <v>0.2218212</v>
      </c>
      <c r="W29">
        <f t="shared" si="22"/>
        <v>0</v>
      </c>
      <c r="X29">
        <f t="shared" si="23"/>
        <v>2052.06</v>
      </c>
      <c r="Y29">
        <f t="shared" si="24"/>
        <v>1175.45</v>
      </c>
      <c r="AA29">
        <v>145033679</v>
      </c>
      <c r="AB29">
        <f t="shared" si="25"/>
        <v>608.66</v>
      </c>
      <c r="AC29">
        <f t="shared" si="26"/>
        <v>0</v>
      </c>
      <c r="AD29">
        <f>ROUND(((((ET29*1.15))-((EU29*1.15)))+AE29),2)</f>
        <v>114.86</v>
      </c>
      <c r="AE29">
        <f t="shared" ref="AE29:AF31" si="48">ROUND(((EU29*1.15)),2)</f>
        <v>20.27</v>
      </c>
      <c r="AF29">
        <f t="shared" si="48"/>
        <v>493.8</v>
      </c>
      <c r="AG29">
        <f t="shared" si="27"/>
        <v>0</v>
      </c>
      <c r="AH29">
        <f t="shared" ref="AH29:AI31" si="49">((EW29*1.15))</f>
        <v>55.050499999999992</v>
      </c>
      <c r="AI29">
        <f t="shared" si="49"/>
        <v>1.7479999999999998</v>
      </c>
      <c r="AJ29">
        <f t="shared" si="28"/>
        <v>0</v>
      </c>
      <c r="AK29">
        <v>529.27</v>
      </c>
      <c r="AL29">
        <v>0</v>
      </c>
      <c r="AM29">
        <v>99.88</v>
      </c>
      <c r="AN29">
        <v>17.63</v>
      </c>
      <c r="AO29">
        <v>429.39</v>
      </c>
      <c r="AP29">
        <v>0</v>
      </c>
      <c r="AQ29">
        <v>47.87</v>
      </c>
      <c r="AR29">
        <v>1.52</v>
      </c>
      <c r="AS29">
        <v>0</v>
      </c>
      <c r="AT29">
        <v>103</v>
      </c>
      <c r="AU29">
        <v>59</v>
      </c>
      <c r="AV29">
        <v>1</v>
      </c>
      <c r="AW29">
        <v>1</v>
      </c>
      <c r="AZ29">
        <v>1</v>
      </c>
      <c r="BA29">
        <v>30.54</v>
      </c>
      <c r="BB29">
        <v>12.13</v>
      </c>
      <c r="BC29">
        <v>8.7100000000000009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56</v>
      </c>
      <c r="BM29">
        <v>46001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30.54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103</v>
      </c>
      <c r="CA29">
        <v>59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1102</v>
      </c>
      <c r="CO29">
        <v>0</v>
      </c>
      <c r="CP29">
        <f t="shared" si="29"/>
        <v>2090.52</v>
      </c>
      <c r="CQ29">
        <f t="shared" si="30"/>
        <v>0</v>
      </c>
      <c r="CR29">
        <f>((((ET29*1.15))*BB29-((EU29*1.15))*BS29)+AE29*BS29)</f>
        <v>1393.1386299999999</v>
      </c>
      <c r="CS29">
        <f t="shared" si="31"/>
        <v>619.04579999999999</v>
      </c>
      <c r="CT29">
        <f t="shared" si="32"/>
        <v>15080.652</v>
      </c>
      <c r="CU29">
        <f t="shared" si="33"/>
        <v>0</v>
      </c>
      <c r="CV29">
        <f t="shared" si="34"/>
        <v>55.050499999999992</v>
      </c>
      <c r="CW29">
        <f t="shared" si="35"/>
        <v>1.7479999999999998</v>
      </c>
      <c r="CX29">
        <f t="shared" si="36"/>
        <v>0</v>
      </c>
      <c r="CY29">
        <f t="shared" si="37"/>
        <v>2052.0587</v>
      </c>
      <c r="CZ29">
        <f t="shared" si="38"/>
        <v>1175.4511</v>
      </c>
      <c r="DC29" t="s">
        <v>3</v>
      </c>
      <c r="DD29" t="s">
        <v>3</v>
      </c>
      <c r="DE29" t="s">
        <v>21</v>
      </c>
      <c r="DF29" t="s">
        <v>21</v>
      </c>
      <c r="DG29" t="s">
        <v>21</v>
      </c>
      <c r="DH29" t="s">
        <v>3</v>
      </c>
      <c r="DI29" t="s">
        <v>21</v>
      </c>
      <c r="DJ29" t="s">
        <v>21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19</v>
      </c>
      <c r="DW29" t="s">
        <v>19</v>
      </c>
      <c r="DX29">
        <v>100</v>
      </c>
      <c r="DZ29" t="s">
        <v>3</v>
      </c>
      <c r="EA29" t="s">
        <v>3</v>
      </c>
      <c r="EB29" t="s">
        <v>3</v>
      </c>
      <c r="EC29" t="s">
        <v>3</v>
      </c>
      <c r="EE29">
        <v>140625131</v>
      </c>
      <c r="EF29">
        <v>2</v>
      </c>
      <c r="EG29" t="s">
        <v>22</v>
      </c>
      <c r="EH29">
        <v>40</v>
      </c>
      <c r="EI29" t="s">
        <v>23</v>
      </c>
      <c r="EJ29">
        <v>1</v>
      </c>
      <c r="EK29">
        <v>46001</v>
      </c>
      <c r="EL29" t="s">
        <v>57</v>
      </c>
      <c r="EM29" t="s">
        <v>25</v>
      </c>
      <c r="EO29" t="s">
        <v>26</v>
      </c>
      <c r="EQ29">
        <v>0</v>
      </c>
      <c r="ER29">
        <v>529.27</v>
      </c>
      <c r="ES29">
        <v>0</v>
      </c>
      <c r="ET29">
        <v>99.88</v>
      </c>
      <c r="EU29">
        <v>17.63</v>
      </c>
      <c r="EV29">
        <v>429.39</v>
      </c>
      <c r="EW29">
        <v>47.87</v>
      </c>
      <c r="EX29">
        <v>1.52</v>
      </c>
      <c r="EY29">
        <v>0</v>
      </c>
      <c r="FQ29">
        <v>0</v>
      </c>
      <c r="FR29">
        <f t="shared" si="39"/>
        <v>0</v>
      </c>
      <c r="FS29">
        <v>0</v>
      </c>
      <c r="FX29">
        <v>103</v>
      </c>
      <c r="FY29">
        <v>59</v>
      </c>
      <c r="GA29" t="s">
        <v>3</v>
      </c>
      <c r="GD29">
        <v>1</v>
      </c>
      <c r="GF29">
        <v>-938417999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0"/>
        <v>0</v>
      </c>
      <c r="GM29">
        <f t="shared" si="41"/>
        <v>5318.03</v>
      </c>
      <c r="GN29">
        <f t="shared" si="42"/>
        <v>5318.03</v>
      </c>
      <c r="GO29">
        <f t="shared" si="43"/>
        <v>0</v>
      </c>
      <c r="GP29">
        <f t="shared" si="44"/>
        <v>0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HC29">
        <f t="shared" si="47"/>
        <v>0</v>
      </c>
      <c r="HE29" t="s">
        <v>3</v>
      </c>
      <c r="HF29" t="s">
        <v>3</v>
      </c>
      <c r="HM29" t="s">
        <v>3</v>
      </c>
      <c r="HN29" t="s">
        <v>58</v>
      </c>
      <c r="HO29" t="s">
        <v>59</v>
      </c>
      <c r="HP29" t="s">
        <v>57</v>
      </c>
      <c r="HQ29" t="s">
        <v>57</v>
      </c>
      <c r="IK29">
        <v>0</v>
      </c>
    </row>
    <row r="30" spans="1:245" x14ac:dyDescent="0.2">
      <c r="A30">
        <v>17</v>
      </c>
      <c r="B30">
        <v>1</v>
      </c>
      <c r="C30">
        <f>ROW(SmtRes!A18)</f>
        <v>18</v>
      </c>
      <c r="D30">
        <f>ROW(EtalonRes!A18)</f>
        <v>18</v>
      </c>
      <c r="E30" t="s">
        <v>52</v>
      </c>
      <c r="F30" t="s">
        <v>60</v>
      </c>
      <c r="G30" t="s">
        <v>61</v>
      </c>
      <c r="H30" t="s">
        <v>19</v>
      </c>
      <c r="I30">
        <f>ROUND(12.69/100,9)</f>
        <v>0.12690000000000001</v>
      </c>
      <c r="J30">
        <v>0</v>
      </c>
      <c r="K30">
        <f>ROUND(12.69/100,9)</f>
        <v>0.12690000000000001</v>
      </c>
      <c r="O30">
        <f t="shared" si="14"/>
        <v>219.3</v>
      </c>
      <c r="P30">
        <f t="shared" si="15"/>
        <v>0</v>
      </c>
      <c r="Q30">
        <f t="shared" si="16"/>
        <v>44.2</v>
      </c>
      <c r="R30">
        <f t="shared" si="17"/>
        <v>19.649999999999999</v>
      </c>
      <c r="S30">
        <f t="shared" si="18"/>
        <v>175.1</v>
      </c>
      <c r="T30">
        <f t="shared" si="19"/>
        <v>0</v>
      </c>
      <c r="U30">
        <f t="shared" si="20"/>
        <v>0.63919530000000002</v>
      </c>
      <c r="V30">
        <f t="shared" si="21"/>
        <v>5.5455299999999999E-2</v>
      </c>
      <c r="W30">
        <f t="shared" si="22"/>
        <v>0</v>
      </c>
      <c r="X30">
        <f t="shared" si="23"/>
        <v>200.59</v>
      </c>
      <c r="Y30">
        <f t="shared" si="24"/>
        <v>114.9</v>
      </c>
      <c r="AA30">
        <v>145033679</v>
      </c>
      <c r="AB30">
        <f t="shared" si="25"/>
        <v>73.89</v>
      </c>
      <c r="AC30">
        <f t="shared" si="26"/>
        <v>0</v>
      </c>
      <c r="AD30">
        <f>ROUND(((((ET30*1.15))-((EU30*1.15)))+AE30),2)</f>
        <v>28.71</v>
      </c>
      <c r="AE30">
        <f t="shared" si="48"/>
        <v>5.07</v>
      </c>
      <c r="AF30">
        <f t="shared" si="48"/>
        <v>45.18</v>
      </c>
      <c r="AG30">
        <f t="shared" si="27"/>
        <v>0</v>
      </c>
      <c r="AH30">
        <f t="shared" si="49"/>
        <v>5.0369999999999999</v>
      </c>
      <c r="AI30">
        <f t="shared" si="49"/>
        <v>0.43699999999999994</v>
      </c>
      <c r="AJ30">
        <f t="shared" si="28"/>
        <v>0</v>
      </c>
      <c r="AK30">
        <v>64.260000000000005</v>
      </c>
      <c r="AL30">
        <v>0</v>
      </c>
      <c r="AM30">
        <v>24.97</v>
      </c>
      <c r="AN30">
        <v>4.41</v>
      </c>
      <c r="AO30">
        <v>39.29</v>
      </c>
      <c r="AP30">
        <v>0</v>
      </c>
      <c r="AQ30">
        <v>4.38</v>
      </c>
      <c r="AR30">
        <v>0.38</v>
      </c>
      <c r="AS30">
        <v>0</v>
      </c>
      <c r="AT30">
        <v>103</v>
      </c>
      <c r="AU30">
        <v>59</v>
      </c>
      <c r="AV30">
        <v>1</v>
      </c>
      <c r="AW30">
        <v>1</v>
      </c>
      <c r="AZ30">
        <v>1</v>
      </c>
      <c r="BA30">
        <v>30.54</v>
      </c>
      <c r="BB30">
        <v>12.13</v>
      </c>
      <c r="BC30">
        <v>8.7100000000000009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62</v>
      </c>
      <c r="BM30">
        <v>46001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30.54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103</v>
      </c>
      <c r="CA30">
        <v>59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1102</v>
      </c>
      <c r="CO30">
        <v>0</v>
      </c>
      <c r="CP30">
        <f t="shared" si="29"/>
        <v>219.3</v>
      </c>
      <c r="CQ30">
        <f t="shared" si="30"/>
        <v>0</v>
      </c>
      <c r="CR30">
        <f>((((ET30*1.15))*BB30-((EU30*1.15))*BS30)+AE30*BS30)</f>
        <v>348.27320500000002</v>
      </c>
      <c r="CS30">
        <f t="shared" si="31"/>
        <v>154.83780000000002</v>
      </c>
      <c r="CT30">
        <f t="shared" si="32"/>
        <v>1379.7972</v>
      </c>
      <c r="CU30">
        <f t="shared" si="33"/>
        <v>0</v>
      </c>
      <c r="CV30">
        <f t="shared" si="34"/>
        <v>5.0369999999999999</v>
      </c>
      <c r="CW30">
        <f t="shared" si="35"/>
        <v>0.43699999999999994</v>
      </c>
      <c r="CX30">
        <f t="shared" si="36"/>
        <v>0</v>
      </c>
      <c r="CY30">
        <f t="shared" si="37"/>
        <v>200.5925</v>
      </c>
      <c r="CZ30">
        <f t="shared" si="38"/>
        <v>114.9025</v>
      </c>
      <c r="DC30" t="s">
        <v>3</v>
      </c>
      <c r="DD30" t="s">
        <v>3</v>
      </c>
      <c r="DE30" t="s">
        <v>21</v>
      </c>
      <c r="DF30" t="s">
        <v>21</v>
      </c>
      <c r="DG30" t="s">
        <v>21</v>
      </c>
      <c r="DH30" t="s">
        <v>3</v>
      </c>
      <c r="DI30" t="s">
        <v>21</v>
      </c>
      <c r="DJ30" t="s">
        <v>21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19</v>
      </c>
      <c r="DW30" t="s">
        <v>19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140625131</v>
      </c>
      <c r="EF30">
        <v>2</v>
      </c>
      <c r="EG30" t="s">
        <v>22</v>
      </c>
      <c r="EH30">
        <v>40</v>
      </c>
      <c r="EI30" t="s">
        <v>23</v>
      </c>
      <c r="EJ30">
        <v>1</v>
      </c>
      <c r="EK30">
        <v>46001</v>
      </c>
      <c r="EL30" t="s">
        <v>57</v>
      </c>
      <c r="EM30" t="s">
        <v>25</v>
      </c>
      <c r="EO30" t="s">
        <v>26</v>
      </c>
      <c r="EQ30">
        <v>0</v>
      </c>
      <c r="ER30">
        <v>64.260000000000005</v>
      </c>
      <c r="ES30">
        <v>0</v>
      </c>
      <c r="ET30">
        <v>24.97</v>
      </c>
      <c r="EU30">
        <v>4.41</v>
      </c>
      <c r="EV30">
        <v>39.29</v>
      </c>
      <c r="EW30">
        <v>4.38</v>
      </c>
      <c r="EX30">
        <v>0.38</v>
      </c>
      <c r="EY30">
        <v>0</v>
      </c>
      <c r="FQ30">
        <v>0</v>
      </c>
      <c r="FR30">
        <f t="shared" si="39"/>
        <v>0</v>
      </c>
      <c r="FS30">
        <v>0</v>
      </c>
      <c r="FX30">
        <v>103</v>
      </c>
      <c r="FY30">
        <v>59</v>
      </c>
      <c r="GA30" t="s">
        <v>3</v>
      </c>
      <c r="GD30">
        <v>1</v>
      </c>
      <c r="GF30">
        <v>1822112416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40"/>
        <v>0</v>
      </c>
      <c r="GM30">
        <f t="shared" si="41"/>
        <v>534.79</v>
      </c>
      <c r="GN30">
        <f t="shared" si="42"/>
        <v>534.79</v>
      </c>
      <c r="GO30">
        <f t="shared" si="43"/>
        <v>0</v>
      </c>
      <c r="GP30">
        <f t="shared" si="44"/>
        <v>0</v>
      </c>
      <c r="GR30">
        <v>0</v>
      </c>
      <c r="GS30">
        <v>3</v>
      </c>
      <c r="GT30">
        <v>0</v>
      </c>
      <c r="GU30" t="s">
        <v>3</v>
      </c>
      <c r="GV30">
        <f t="shared" si="45"/>
        <v>0</v>
      </c>
      <c r="GW30">
        <v>1</v>
      </c>
      <c r="GX30">
        <f t="shared" si="46"/>
        <v>0</v>
      </c>
      <c r="HA30">
        <v>0</v>
      </c>
      <c r="HB30">
        <v>0</v>
      </c>
      <c r="HC30">
        <f t="shared" si="47"/>
        <v>0</v>
      </c>
      <c r="HE30" t="s">
        <v>3</v>
      </c>
      <c r="HF30" t="s">
        <v>3</v>
      </c>
      <c r="HM30" t="s">
        <v>3</v>
      </c>
      <c r="HN30" t="s">
        <v>58</v>
      </c>
      <c r="HO30" t="s">
        <v>59</v>
      </c>
      <c r="HP30" t="s">
        <v>57</v>
      </c>
      <c r="HQ30" t="s">
        <v>57</v>
      </c>
      <c r="IK30">
        <v>0</v>
      </c>
    </row>
    <row r="31" spans="1:245" x14ac:dyDescent="0.2">
      <c r="A31">
        <v>17</v>
      </c>
      <c r="B31">
        <v>1</v>
      </c>
      <c r="C31">
        <f>ROW(SmtRes!A19)</f>
        <v>19</v>
      </c>
      <c r="D31">
        <f>ROW(EtalonRes!A19)</f>
        <v>19</v>
      </c>
      <c r="E31" t="s">
        <v>63</v>
      </c>
      <c r="F31" t="s">
        <v>64</v>
      </c>
      <c r="G31" t="s">
        <v>65</v>
      </c>
      <c r="H31" t="s">
        <v>66</v>
      </c>
      <c r="I31">
        <f>ROUND(12.69*0.025,9)</f>
        <v>0.31724999999999998</v>
      </c>
      <c r="J31">
        <v>0</v>
      </c>
      <c r="K31">
        <f>ROUND(12.69*0.025,9)</f>
        <v>0.31724999999999998</v>
      </c>
      <c r="O31">
        <f t="shared" si="14"/>
        <v>763.28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763.28</v>
      </c>
      <c r="T31">
        <f t="shared" si="19"/>
        <v>0</v>
      </c>
      <c r="U31">
        <f t="shared" si="20"/>
        <v>2.9296451249999995</v>
      </c>
      <c r="V31">
        <f t="shared" si="21"/>
        <v>0</v>
      </c>
      <c r="W31">
        <f t="shared" si="22"/>
        <v>0</v>
      </c>
      <c r="X31">
        <f t="shared" si="23"/>
        <v>557.19000000000005</v>
      </c>
      <c r="Y31">
        <f t="shared" si="24"/>
        <v>259.52</v>
      </c>
      <c r="AA31">
        <v>145033679</v>
      </c>
      <c r="AB31">
        <f t="shared" si="25"/>
        <v>78.78</v>
      </c>
      <c r="AC31">
        <f t="shared" si="26"/>
        <v>0</v>
      </c>
      <c r="AD31">
        <f>ROUND(((((ET31*1.15))-((EU31*1.15)))+AE31),2)</f>
        <v>0</v>
      </c>
      <c r="AE31">
        <f t="shared" si="48"/>
        <v>0</v>
      </c>
      <c r="AF31">
        <f t="shared" si="48"/>
        <v>78.78</v>
      </c>
      <c r="AG31">
        <f t="shared" si="27"/>
        <v>0</v>
      </c>
      <c r="AH31">
        <f t="shared" si="49"/>
        <v>9.2344999999999988</v>
      </c>
      <c r="AI31">
        <f t="shared" si="49"/>
        <v>0</v>
      </c>
      <c r="AJ31">
        <f t="shared" si="28"/>
        <v>0</v>
      </c>
      <c r="AK31">
        <v>68.5</v>
      </c>
      <c r="AL31">
        <v>0</v>
      </c>
      <c r="AM31">
        <v>0</v>
      </c>
      <c r="AN31">
        <v>0</v>
      </c>
      <c r="AO31">
        <v>68.5</v>
      </c>
      <c r="AP31">
        <v>0</v>
      </c>
      <c r="AQ31">
        <v>8.0299999999999994</v>
      </c>
      <c r="AR31">
        <v>0</v>
      </c>
      <c r="AS31">
        <v>0</v>
      </c>
      <c r="AT31">
        <v>73</v>
      </c>
      <c r="AU31">
        <v>34</v>
      </c>
      <c r="AV31">
        <v>1</v>
      </c>
      <c r="AW31">
        <v>1</v>
      </c>
      <c r="AZ31">
        <v>1</v>
      </c>
      <c r="BA31">
        <v>30.54</v>
      </c>
      <c r="BB31">
        <v>12.13</v>
      </c>
      <c r="BC31">
        <v>8.7100000000000009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67</v>
      </c>
      <c r="BM31">
        <v>46002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v>30.54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73</v>
      </c>
      <c r="CA31">
        <v>34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1102</v>
      </c>
      <c r="CO31">
        <v>0</v>
      </c>
      <c r="CP31">
        <f t="shared" si="29"/>
        <v>763.28</v>
      </c>
      <c r="CQ31">
        <f t="shared" si="30"/>
        <v>0</v>
      </c>
      <c r="CR31">
        <f>((((ET31*1.15))*BB31-((EU31*1.15))*BS31)+AE31*BS31)</f>
        <v>0</v>
      </c>
      <c r="CS31">
        <f t="shared" si="31"/>
        <v>0</v>
      </c>
      <c r="CT31">
        <f t="shared" si="32"/>
        <v>2405.9411999999998</v>
      </c>
      <c r="CU31">
        <f t="shared" si="33"/>
        <v>0</v>
      </c>
      <c r="CV31">
        <f t="shared" si="34"/>
        <v>9.2344999999999988</v>
      </c>
      <c r="CW31">
        <f t="shared" si="35"/>
        <v>0</v>
      </c>
      <c r="CX31">
        <f t="shared" si="36"/>
        <v>0</v>
      </c>
      <c r="CY31">
        <f t="shared" si="37"/>
        <v>557.19439999999997</v>
      </c>
      <c r="CZ31">
        <f t="shared" si="38"/>
        <v>259.51519999999999</v>
      </c>
      <c r="DC31" t="s">
        <v>3</v>
      </c>
      <c r="DD31" t="s">
        <v>3</v>
      </c>
      <c r="DE31" t="s">
        <v>21</v>
      </c>
      <c r="DF31" t="s">
        <v>21</v>
      </c>
      <c r="DG31" t="s">
        <v>21</v>
      </c>
      <c r="DH31" t="s">
        <v>3</v>
      </c>
      <c r="DI31" t="s">
        <v>21</v>
      </c>
      <c r="DJ31" t="s">
        <v>21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66</v>
      </c>
      <c r="DW31" t="s">
        <v>66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140625310</v>
      </c>
      <c r="EF31">
        <v>2</v>
      </c>
      <c r="EG31" t="s">
        <v>22</v>
      </c>
      <c r="EH31">
        <v>108</v>
      </c>
      <c r="EI31" t="s">
        <v>68</v>
      </c>
      <c r="EJ31">
        <v>1</v>
      </c>
      <c r="EK31">
        <v>46002</v>
      </c>
      <c r="EL31" t="s">
        <v>68</v>
      </c>
      <c r="EM31" t="s">
        <v>69</v>
      </c>
      <c r="EO31" t="s">
        <v>26</v>
      </c>
      <c r="EQ31">
        <v>0</v>
      </c>
      <c r="ER31">
        <v>68.5</v>
      </c>
      <c r="ES31">
        <v>0</v>
      </c>
      <c r="ET31">
        <v>0</v>
      </c>
      <c r="EU31">
        <v>0</v>
      </c>
      <c r="EV31">
        <v>68.5</v>
      </c>
      <c r="EW31">
        <v>8.0299999999999994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X31">
        <v>73</v>
      </c>
      <c r="FY31">
        <v>34</v>
      </c>
      <c r="GA31" t="s">
        <v>3</v>
      </c>
      <c r="GD31">
        <v>1</v>
      </c>
      <c r="GF31">
        <v>158402091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0"/>
        <v>0</v>
      </c>
      <c r="GM31">
        <f t="shared" si="41"/>
        <v>1579.99</v>
      </c>
      <c r="GN31">
        <f t="shared" si="42"/>
        <v>1579.99</v>
      </c>
      <c r="GO31">
        <f t="shared" si="43"/>
        <v>0</v>
      </c>
      <c r="GP31">
        <f t="shared" si="44"/>
        <v>0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HC31">
        <f t="shared" si="47"/>
        <v>0</v>
      </c>
      <c r="HE31" t="s">
        <v>3</v>
      </c>
      <c r="HF31" t="s">
        <v>3</v>
      </c>
      <c r="HM31" t="s">
        <v>3</v>
      </c>
      <c r="HN31" t="s">
        <v>70</v>
      </c>
      <c r="HO31" t="s">
        <v>71</v>
      </c>
      <c r="HP31" t="s">
        <v>72</v>
      </c>
      <c r="HQ31" t="s">
        <v>72</v>
      </c>
      <c r="IK31">
        <v>0</v>
      </c>
    </row>
    <row r="32" spans="1:245" x14ac:dyDescent="0.2">
      <c r="A32">
        <v>17</v>
      </c>
      <c r="B32">
        <v>1</v>
      </c>
      <c r="E32" t="s">
        <v>73</v>
      </c>
      <c r="F32" t="s">
        <v>46</v>
      </c>
      <c r="G32" t="s">
        <v>74</v>
      </c>
      <c r="H32" t="s">
        <v>43</v>
      </c>
      <c r="I32">
        <f>ROUND(I31*2000,9)</f>
        <v>634.5</v>
      </c>
      <c r="J32">
        <v>0</v>
      </c>
      <c r="K32">
        <f>ROUND(I31*2000,9)</f>
        <v>634.5</v>
      </c>
      <c r="O32">
        <f t="shared" si="14"/>
        <v>60128.27</v>
      </c>
      <c r="P32">
        <f t="shared" si="15"/>
        <v>60128.27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2"/>
        <v>0</v>
      </c>
      <c r="X32">
        <f t="shared" si="23"/>
        <v>0</v>
      </c>
      <c r="Y32">
        <f t="shared" si="24"/>
        <v>0</v>
      </c>
      <c r="AA32">
        <v>145033679</v>
      </c>
      <c r="AB32">
        <f t="shared" si="25"/>
        <v>10.88</v>
      </c>
      <c r="AC32">
        <f t="shared" si="26"/>
        <v>10.88</v>
      </c>
      <c r="AD32">
        <f>ROUND((((ET32)-(EU32))+AE32),2)</f>
        <v>0</v>
      </c>
      <c r="AE32">
        <f>ROUND((EU32),2)</f>
        <v>0</v>
      </c>
      <c r="AF32">
        <f>ROUND((EV32),2)</f>
        <v>0</v>
      </c>
      <c r="AG32">
        <f t="shared" si="27"/>
        <v>0</v>
      </c>
      <c r="AH32">
        <f>(EW32)</f>
        <v>0</v>
      </c>
      <c r="AI32">
        <f>(EX32)</f>
        <v>0</v>
      </c>
      <c r="AJ32">
        <f t="shared" si="28"/>
        <v>0</v>
      </c>
      <c r="AK32">
        <v>10.88</v>
      </c>
      <c r="AL32">
        <v>10.88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8.7100000000000009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1</v>
      </c>
      <c r="BJ32" t="s">
        <v>3</v>
      </c>
      <c r="BM32">
        <v>1100</v>
      </c>
      <c r="BN32">
        <v>0</v>
      </c>
      <c r="BO32" t="s">
        <v>3</v>
      </c>
      <c r="BP32">
        <v>0</v>
      </c>
      <c r="BQ32">
        <v>8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29"/>
        <v>60128.27</v>
      </c>
      <c r="CQ32">
        <f t="shared" si="30"/>
        <v>94.764800000000022</v>
      </c>
      <c r="CR32">
        <f>(((ET32)*BB32-(EU32)*BS32)+AE32*BS32)</f>
        <v>0</v>
      </c>
      <c r="CS32">
        <f t="shared" si="31"/>
        <v>0</v>
      </c>
      <c r="CT32">
        <f t="shared" si="32"/>
        <v>0</v>
      </c>
      <c r="CU32">
        <f t="shared" si="33"/>
        <v>0</v>
      </c>
      <c r="CV32">
        <f t="shared" si="34"/>
        <v>0</v>
      </c>
      <c r="CW32">
        <f t="shared" si="35"/>
        <v>0</v>
      </c>
      <c r="CX32">
        <f t="shared" si="36"/>
        <v>0</v>
      </c>
      <c r="CY32">
        <f t="shared" si="37"/>
        <v>0</v>
      </c>
      <c r="CZ32">
        <f t="shared" si="38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43</v>
      </c>
      <c r="DW32" t="s">
        <v>43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140625274</v>
      </c>
      <c r="EF32">
        <v>8</v>
      </c>
      <c r="EG32" t="s">
        <v>48</v>
      </c>
      <c r="EH32">
        <v>0</v>
      </c>
      <c r="EI32" t="s">
        <v>3</v>
      </c>
      <c r="EJ32">
        <v>1</v>
      </c>
      <c r="EK32">
        <v>1100</v>
      </c>
      <c r="EL32" t="s">
        <v>49</v>
      </c>
      <c r="EM32" t="s">
        <v>50</v>
      </c>
      <c r="EO32" t="s">
        <v>3</v>
      </c>
      <c r="EQ32">
        <v>0</v>
      </c>
      <c r="ER32">
        <v>10.88</v>
      </c>
      <c r="ES32">
        <v>10.88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5</v>
      </c>
      <c r="FC32">
        <v>1</v>
      </c>
      <c r="FD32">
        <v>18</v>
      </c>
      <c r="FF32">
        <v>106.2</v>
      </c>
      <c r="FQ32">
        <v>0</v>
      </c>
      <c r="FR32">
        <f t="shared" si="39"/>
        <v>0</v>
      </c>
      <c r="FS32">
        <v>0</v>
      </c>
      <c r="FX32">
        <v>0</v>
      </c>
      <c r="FY32">
        <v>0</v>
      </c>
      <c r="GA32" t="s">
        <v>75</v>
      </c>
      <c r="GD32">
        <v>1</v>
      </c>
      <c r="GF32">
        <v>1195488416</v>
      </c>
      <c r="GG32">
        <v>2</v>
      </c>
      <c r="GH32">
        <v>3</v>
      </c>
      <c r="GI32">
        <v>4</v>
      </c>
      <c r="GJ32">
        <v>0</v>
      </c>
      <c r="GK32">
        <v>0</v>
      </c>
      <c r="GL32">
        <f t="shared" si="40"/>
        <v>0</v>
      </c>
      <c r="GM32">
        <f t="shared" si="41"/>
        <v>60128.27</v>
      </c>
      <c r="GN32">
        <f t="shared" si="42"/>
        <v>60128.27</v>
      </c>
      <c r="GO32">
        <f t="shared" si="43"/>
        <v>0</v>
      </c>
      <c r="GP32">
        <f t="shared" si="44"/>
        <v>0</v>
      </c>
      <c r="GR32">
        <v>1</v>
      </c>
      <c r="GS32">
        <v>1</v>
      </c>
      <c r="GT32">
        <v>0</v>
      </c>
      <c r="GU32" t="s">
        <v>3</v>
      </c>
      <c r="GV32">
        <f t="shared" si="45"/>
        <v>0</v>
      </c>
      <c r="GW32">
        <v>1</v>
      </c>
      <c r="GX32">
        <f t="shared" si="46"/>
        <v>0</v>
      </c>
      <c r="HA32">
        <v>0</v>
      </c>
      <c r="HB32">
        <v>0</v>
      </c>
      <c r="HC32">
        <f t="shared" si="47"/>
        <v>0</v>
      </c>
      <c r="HE32" t="s">
        <v>52</v>
      </c>
      <c r="HF32" t="s">
        <v>29</v>
      </c>
      <c r="HM32" t="s">
        <v>3</v>
      </c>
      <c r="HN32" t="s">
        <v>3</v>
      </c>
      <c r="HO32" t="s">
        <v>3</v>
      </c>
      <c r="HP32" t="s">
        <v>3</v>
      </c>
      <c r="HQ32" t="s">
        <v>3</v>
      </c>
      <c r="IK32">
        <v>0</v>
      </c>
    </row>
    <row r="33" spans="1:245" x14ac:dyDescent="0.2">
      <c r="A33">
        <v>17</v>
      </c>
      <c r="B33">
        <v>1</v>
      </c>
      <c r="E33" t="s">
        <v>76</v>
      </c>
      <c r="F33" t="s">
        <v>77</v>
      </c>
      <c r="G33" t="s">
        <v>78</v>
      </c>
      <c r="H33" t="s">
        <v>79</v>
      </c>
      <c r="I33">
        <v>13.29</v>
      </c>
      <c r="J33">
        <v>0</v>
      </c>
      <c r="K33">
        <v>13.29</v>
      </c>
      <c r="O33">
        <f t="shared" si="14"/>
        <v>18239.04</v>
      </c>
      <c r="P33">
        <f t="shared" si="15"/>
        <v>0</v>
      </c>
      <c r="Q33">
        <f t="shared" si="16"/>
        <v>18239.04</v>
      </c>
      <c r="R33">
        <f t="shared" si="17"/>
        <v>4083.12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145033679</v>
      </c>
      <c r="AB33">
        <f t="shared" si="25"/>
        <v>113.14</v>
      </c>
      <c r="AC33">
        <f t="shared" si="26"/>
        <v>0</v>
      </c>
      <c r="AD33">
        <f>ROUND((((ET33)-(EU33))+AE33),2)</f>
        <v>113.14</v>
      </c>
      <c r="AE33">
        <f>ROUND((EU33),2)</f>
        <v>10.06</v>
      </c>
      <c r="AF33">
        <f>ROUND((EV33),2)</f>
        <v>0</v>
      </c>
      <c r="AG33">
        <f t="shared" si="27"/>
        <v>0</v>
      </c>
      <c r="AH33">
        <f>(EW33)</f>
        <v>0</v>
      </c>
      <c r="AI33">
        <f>(EX33)</f>
        <v>0</v>
      </c>
      <c r="AJ33">
        <f t="shared" si="28"/>
        <v>0</v>
      </c>
      <c r="AK33">
        <v>113.14</v>
      </c>
      <c r="AL33">
        <v>0</v>
      </c>
      <c r="AM33">
        <v>113.14</v>
      </c>
      <c r="AN33">
        <v>10.06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12.13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2</v>
      </c>
      <c r="BI33">
        <v>1</v>
      </c>
      <c r="BJ33" t="s">
        <v>80</v>
      </c>
      <c r="BM33">
        <v>400001</v>
      </c>
      <c r="BN33">
        <v>0</v>
      </c>
      <c r="BO33" t="s">
        <v>3</v>
      </c>
      <c r="BP33">
        <v>0</v>
      </c>
      <c r="BQ33">
        <v>7</v>
      </c>
      <c r="BR33">
        <v>0</v>
      </c>
      <c r="BS33">
        <v>30.54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9"/>
        <v>18239.04</v>
      </c>
      <c r="CQ33">
        <f t="shared" si="30"/>
        <v>0</v>
      </c>
      <c r="CR33">
        <f>(((ET33)*BB33-(EU33)*BS33)+AE33*BS33)</f>
        <v>1372.3881999999999</v>
      </c>
      <c r="CS33">
        <f t="shared" si="31"/>
        <v>307.23239999999998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1011</v>
      </c>
      <c r="DV33" t="s">
        <v>79</v>
      </c>
      <c r="DW33" t="s">
        <v>79</v>
      </c>
      <c r="DX33">
        <v>1</v>
      </c>
      <c r="DZ33" t="s">
        <v>3</v>
      </c>
      <c r="EA33" t="s">
        <v>3</v>
      </c>
      <c r="EB33" t="s">
        <v>3</v>
      </c>
      <c r="EC33" t="s">
        <v>3</v>
      </c>
      <c r="EE33">
        <v>140624937</v>
      </c>
      <c r="EF33">
        <v>7</v>
      </c>
      <c r="EG33" t="s">
        <v>81</v>
      </c>
      <c r="EH33">
        <v>0</v>
      </c>
      <c r="EI33" t="s">
        <v>3</v>
      </c>
      <c r="EJ33">
        <v>1</v>
      </c>
      <c r="EK33">
        <v>400001</v>
      </c>
      <c r="EL33" t="s">
        <v>82</v>
      </c>
      <c r="EM33" t="s">
        <v>83</v>
      </c>
      <c r="EO33" t="s">
        <v>3</v>
      </c>
      <c r="EQ33">
        <v>0</v>
      </c>
      <c r="ER33">
        <v>113.14</v>
      </c>
      <c r="ES33">
        <v>0</v>
      </c>
      <c r="ET33">
        <v>113.14</v>
      </c>
      <c r="EU33">
        <v>10.06</v>
      </c>
      <c r="EV33">
        <v>0</v>
      </c>
      <c r="EW33">
        <v>0</v>
      </c>
      <c r="EX33">
        <v>0</v>
      </c>
      <c r="EY33">
        <v>0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3</v>
      </c>
      <c r="GD33">
        <v>1</v>
      </c>
      <c r="GF33">
        <v>1811481695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0"/>
        <v>0</v>
      </c>
      <c r="GM33">
        <f t="shared" si="41"/>
        <v>18239.04</v>
      </c>
      <c r="GN33">
        <f t="shared" si="42"/>
        <v>18239.04</v>
      </c>
      <c r="GO33">
        <f t="shared" si="43"/>
        <v>0</v>
      </c>
      <c r="GP33">
        <f t="shared" si="44"/>
        <v>0</v>
      </c>
      <c r="GR33">
        <v>0</v>
      </c>
      <c r="GS33">
        <v>3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HC33">
        <f t="shared" si="47"/>
        <v>0</v>
      </c>
      <c r="HE33" t="s">
        <v>3</v>
      </c>
      <c r="HF33" t="s">
        <v>3</v>
      </c>
      <c r="HM33" t="s">
        <v>3</v>
      </c>
      <c r="HN33" t="s">
        <v>3</v>
      </c>
      <c r="HO33" t="s">
        <v>3</v>
      </c>
      <c r="HP33" t="s">
        <v>3</v>
      </c>
      <c r="HQ33" t="s">
        <v>3</v>
      </c>
      <c r="IK33">
        <v>0</v>
      </c>
    </row>
    <row r="34" spans="1:245" x14ac:dyDescent="0.2">
      <c r="A34">
        <v>19</v>
      </c>
      <c r="B34">
        <v>1</v>
      </c>
      <c r="F34" t="s">
        <v>3</v>
      </c>
      <c r="G34" t="s">
        <v>84</v>
      </c>
      <c r="H34" t="s">
        <v>3</v>
      </c>
      <c r="AA34">
        <v>1</v>
      </c>
      <c r="IK34">
        <v>0</v>
      </c>
    </row>
    <row r="35" spans="1:245" x14ac:dyDescent="0.2">
      <c r="A35">
        <v>17</v>
      </c>
      <c r="B35">
        <v>1</v>
      </c>
      <c r="C35">
        <f>ROW(SmtRes!A28)</f>
        <v>28</v>
      </c>
      <c r="D35">
        <f>ROW(EtalonRes!A28)</f>
        <v>28</v>
      </c>
      <c r="E35" t="s">
        <v>85</v>
      </c>
      <c r="F35" t="s">
        <v>86</v>
      </c>
      <c r="G35" t="s">
        <v>87</v>
      </c>
      <c r="H35" t="s">
        <v>88</v>
      </c>
      <c r="I35">
        <f>ROUND(396/100,9)</f>
        <v>3.96</v>
      </c>
      <c r="J35">
        <v>0</v>
      </c>
      <c r="K35">
        <f>ROUND(396/100,9)</f>
        <v>3.96</v>
      </c>
      <c r="O35">
        <f>ROUND(CP35,2)</f>
        <v>12379.04</v>
      </c>
      <c r="P35">
        <f>ROUND(CQ35*I35,2)</f>
        <v>669.48</v>
      </c>
      <c r="Q35">
        <f>ROUND(CR35*I35,2)</f>
        <v>3349.09</v>
      </c>
      <c r="R35">
        <f>ROUND(CS35*I35,2)</f>
        <v>919.13</v>
      </c>
      <c r="S35">
        <f>ROUND(CT35*I35,2)</f>
        <v>8360.4699999999993</v>
      </c>
      <c r="T35">
        <f>ROUND(CU35*I35,2)</f>
        <v>0</v>
      </c>
      <c r="U35">
        <f>CV35*I35</f>
        <v>30.898889999999998</v>
      </c>
      <c r="V35">
        <f>CW35*I35</f>
        <v>2.3339249999999994</v>
      </c>
      <c r="W35">
        <f>ROUND(CX35*I35,2)</f>
        <v>0</v>
      </c>
      <c r="X35">
        <f t="shared" ref="X35:Y39" si="50">ROUND(CY35,2)</f>
        <v>10114.76</v>
      </c>
      <c r="Y35">
        <f t="shared" si="50"/>
        <v>4495.97</v>
      </c>
      <c r="AA35">
        <v>145033679</v>
      </c>
      <c r="AB35">
        <f>ROUND((AC35+AD35+AF35),2)</f>
        <v>158.27000000000001</v>
      </c>
      <c r="AC35">
        <f>ROUND((ES35),2)</f>
        <v>19.41</v>
      </c>
      <c r="AD35">
        <f>ROUND((((((ET35*1.25)*1.15))-(((EU35*1.25)*1.15)))+AE35),2)</f>
        <v>69.73</v>
      </c>
      <c r="AE35">
        <f>ROUND((((EU35*1.25)*1.15)),2)</f>
        <v>7.6</v>
      </c>
      <c r="AF35">
        <f>ROUND((((EV35*1.15)*1.15)),2)</f>
        <v>69.13</v>
      </c>
      <c r="AG35">
        <f>ROUND((AP35),2)</f>
        <v>0</v>
      </c>
      <c r="AH35">
        <f>(((EW35*1.15)*1.15))</f>
        <v>7.8027499999999996</v>
      </c>
      <c r="AI35">
        <f>(((EX35*1.25)*1.15))</f>
        <v>0.58937499999999987</v>
      </c>
      <c r="AJ35">
        <f>(AS35)</f>
        <v>0</v>
      </c>
      <c r="AK35">
        <v>120.19</v>
      </c>
      <c r="AL35">
        <v>19.41</v>
      </c>
      <c r="AM35">
        <v>48.51</v>
      </c>
      <c r="AN35">
        <v>5.29</v>
      </c>
      <c r="AO35">
        <v>52.27</v>
      </c>
      <c r="AP35">
        <v>0</v>
      </c>
      <c r="AQ35">
        <v>5.9</v>
      </c>
      <c r="AR35">
        <v>0.41</v>
      </c>
      <c r="AS35">
        <v>0</v>
      </c>
      <c r="AT35">
        <v>109</v>
      </c>
      <c r="AU35">
        <v>48.45</v>
      </c>
      <c r="AV35">
        <v>1</v>
      </c>
      <c r="AW35">
        <v>1</v>
      </c>
      <c r="AZ35">
        <v>1</v>
      </c>
      <c r="BA35">
        <v>30.54</v>
      </c>
      <c r="BB35">
        <v>12.13</v>
      </c>
      <c r="BC35">
        <v>8.7100000000000009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89</v>
      </c>
      <c r="BM35">
        <v>12001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v>30.54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109</v>
      </c>
      <c r="CA35">
        <v>57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1104</v>
      </c>
      <c r="CO35">
        <v>0</v>
      </c>
      <c r="CP35">
        <f>(P35+Q35+S35)</f>
        <v>12379.039999999999</v>
      </c>
      <c r="CQ35">
        <f>AC35*BC35</f>
        <v>169.06110000000001</v>
      </c>
      <c r="CR35">
        <f>(((((ET35*1.25)*1.15))*BB35-(((EU35*1.25)*1.15))*BS35)+AE35*BS35)</f>
        <v>845.72919374999992</v>
      </c>
      <c r="CS35">
        <f>AE35*BS35</f>
        <v>232.10399999999998</v>
      </c>
      <c r="CT35">
        <f>AF35*BA35</f>
        <v>2111.2302</v>
      </c>
      <c r="CU35">
        <f t="shared" ref="CU35:CX39" si="51">AG35</f>
        <v>0</v>
      </c>
      <c r="CV35">
        <f t="shared" si="51"/>
        <v>7.8027499999999996</v>
      </c>
      <c r="CW35">
        <f t="shared" si="51"/>
        <v>0.58937499999999987</v>
      </c>
      <c r="CX35">
        <f t="shared" si="51"/>
        <v>0</v>
      </c>
      <c r="CY35">
        <f>(((S35+R35)*AT35)/100)</f>
        <v>10114.763999999997</v>
      </c>
      <c r="CZ35">
        <f>(((S35+R35)*AU35)/100)</f>
        <v>4495.9661999999989</v>
      </c>
      <c r="DC35" t="s">
        <v>3</v>
      </c>
      <c r="DD35" t="s">
        <v>3</v>
      </c>
      <c r="DE35" t="s">
        <v>90</v>
      </c>
      <c r="DF35" t="s">
        <v>90</v>
      </c>
      <c r="DG35" t="s">
        <v>91</v>
      </c>
      <c r="DH35" t="s">
        <v>3</v>
      </c>
      <c r="DI35" t="s">
        <v>91</v>
      </c>
      <c r="DJ35" t="s">
        <v>90</v>
      </c>
      <c r="DK35" t="s">
        <v>3</v>
      </c>
      <c r="DL35" t="s">
        <v>3</v>
      </c>
      <c r="DM35" t="s">
        <v>92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88</v>
      </c>
      <c r="DW35" t="s">
        <v>88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140625032</v>
      </c>
      <c r="EF35">
        <v>2</v>
      </c>
      <c r="EG35" t="s">
        <v>22</v>
      </c>
      <c r="EH35">
        <v>12</v>
      </c>
      <c r="EI35" t="s">
        <v>93</v>
      </c>
      <c r="EJ35">
        <v>1</v>
      </c>
      <c r="EK35">
        <v>12001</v>
      </c>
      <c r="EL35" t="s">
        <v>93</v>
      </c>
      <c r="EM35" t="s">
        <v>94</v>
      </c>
      <c r="EO35" t="s">
        <v>95</v>
      </c>
      <c r="EQ35">
        <v>0</v>
      </c>
      <c r="ER35">
        <v>120.19</v>
      </c>
      <c r="ES35">
        <v>19.41</v>
      </c>
      <c r="ET35">
        <v>48.51</v>
      </c>
      <c r="EU35">
        <v>5.29</v>
      </c>
      <c r="EV35">
        <v>52.27</v>
      </c>
      <c r="EW35">
        <v>5.9</v>
      </c>
      <c r="EX35">
        <v>0.41</v>
      </c>
      <c r="EY35">
        <v>0</v>
      </c>
      <c r="FQ35">
        <v>0</v>
      </c>
      <c r="FR35">
        <f>ROUND(IF(BI35=3,GM35,0),2)</f>
        <v>0</v>
      </c>
      <c r="FS35">
        <v>0</v>
      </c>
      <c r="FX35">
        <v>109</v>
      </c>
      <c r="FY35">
        <v>48.45</v>
      </c>
      <c r="GA35" t="s">
        <v>3</v>
      </c>
      <c r="GD35">
        <v>1</v>
      </c>
      <c r="GF35">
        <v>2103090415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>ROUND(IF(AND(BH35=3,BI35=3,FS35&lt;&gt;0),P35,0),2)</f>
        <v>0</v>
      </c>
      <c r="GM35">
        <f>ROUND(O35+X35+Y35,2)+GX35</f>
        <v>26989.77</v>
      </c>
      <c r="GN35">
        <f>IF(OR(BI35=0,BI35=1),ROUND(O35+X35+Y35,2),0)</f>
        <v>26989.77</v>
      </c>
      <c r="GO35">
        <f>IF(BI35=2,ROUND(O35+X35+Y35,2),0)</f>
        <v>0</v>
      </c>
      <c r="GP35">
        <f>IF(BI35=4,ROUND(O35+X35+Y35,2)+GX35,0)</f>
        <v>0</v>
      </c>
      <c r="GR35">
        <v>0</v>
      </c>
      <c r="GS35">
        <v>3</v>
      </c>
      <c r="GT35">
        <v>0</v>
      </c>
      <c r="GU35" t="s">
        <v>3</v>
      </c>
      <c r="GV35">
        <f>ROUND((GT35),2)</f>
        <v>0</v>
      </c>
      <c r="GW35">
        <v>1</v>
      </c>
      <c r="GX35">
        <f>ROUND(HC35*I35,2)</f>
        <v>0</v>
      </c>
      <c r="HA35">
        <v>0</v>
      </c>
      <c r="HB35">
        <v>0</v>
      </c>
      <c r="HC35">
        <f>GV35*GW35</f>
        <v>0</v>
      </c>
      <c r="HE35" t="s">
        <v>3</v>
      </c>
      <c r="HF35" t="s">
        <v>3</v>
      </c>
      <c r="HM35" t="s">
        <v>3</v>
      </c>
      <c r="HN35" t="s">
        <v>96</v>
      </c>
      <c r="HO35" t="s">
        <v>97</v>
      </c>
      <c r="HP35" t="s">
        <v>93</v>
      </c>
      <c r="HQ35" t="s">
        <v>93</v>
      </c>
      <c r="IK35">
        <v>0</v>
      </c>
    </row>
    <row r="36" spans="1:245" x14ac:dyDescent="0.2">
      <c r="A36">
        <v>17</v>
      </c>
      <c r="B36">
        <v>1</v>
      </c>
      <c r="E36" t="s">
        <v>98</v>
      </c>
      <c r="F36" t="s">
        <v>46</v>
      </c>
      <c r="G36" t="s">
        <v>99</v>
      </c>
      <c r="H36" t="s">
        <v>100</v>
      </c>
      <c r="I36">
        <f>ROUND(I35*400,9)</f>
        <v>1584</v>
      </c>
      <c r="J36">
        <v>0</v>
      </c>
      <c r="K36">
        <f>ROUND(I35*400,9)</f>
        <v>1584</v>
      </c>
      <c r="O36">
        <f>ROUND(CP36,2)</f>
        <v>3725.09</v>
      </c>
      <c r="P36">
        <f>ROUND(CQ36*I36,2)</f>
        <v>3725.09</v>
      </c>
      <c r="Q36">
        <f>ROUND(CR36*I36,2)</f>
        <v>0</v>
      </c>
      <c r="R36">
        <f>ROUND(CS36*I36,2)</f>
        <v>0</v>
      </c>
      <c r="S36">
        <f>ROUND(CT36*I36,2)</f>
        <v>0</v>
      </c>
      <c r="T36">
        <f>ROUND(CU36*I36,2)</f>
        <v>0</v>
      </c>
      <c r="U36">
        <f>CV36*I36</f>
        <v>0</v>
      </c>
      <c r="V36">
        <f>CW36*I36</f>
        <v>0</v>
      </c>
      <c r="W36">
        <f>ROUND(CX36*I36,2)</f>
        <v>0</v>
      </c>
      <c r="X36">
        <f t="shared" si="50"/>
        <v>0</v>
      </c>
      <c r="Y36">
        <f t="shared" si="50"/>
        <v>0</v>
      </c>
      <c r="AA36">
        <v>145033679</v>
      </c>
      <c r="AB36">
        <f>ROUND((AC36+AD36+AF36),2)</f>
        <v>0.27</v>
      </c>
      <c r="AC36">
        <f>ROUND((ES36),2)</f>
        <v>0.27</v>
      </c>
      <c r="AD36">
        <f>ROUND((((ET36)-(EU36))+AE36),2)</f>
        <v>0</v>
      </c>
      <c r="AE36">
        <f t="shared" ref="AE36:AF39" si="52">ROUND((EU36),2)</f>
        <v>0</v>
      </c>
      <c r="AF36">
        <f t="shared" si="52"/>
        <v>0</v>
      </c>
      <c r="AG36">
        <f>ROUND((AP36),2)</f>
        <v>0</v>
      </c>
      <c r="AH36">
        <f t="shared" ref="AH36:AI39" si="53">(EW36)</f>
        <v>0</v>
      </c>
      <c r="AI36">
        <f t="shared" si="53"/>
        <v>0</v>
      </c>
      <c r="AJ36">
        <f>(AS36)</f>
        <v>0</v>
      </c>
      <c r="AK36">
        <v>0.27</v>
      </c>
      <c r="AL36">
        <v>0.27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8.7100000000000009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3</v>
      </c>
      <c r="BM36">
        <v>1100</v>
      </c>
      <c r="BN36">
        <v>0</v>
      </c>
      <c r="BO36" t="s">
        <v>3</v>
      </c>
      <c r="BP36">
        <v>0</v>
      </c>
      <c r="BQ36">
        <v>8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>(P36+Q36+S36)</f>
        <v>3725.09</v>
      </c>
      <c r="CQ36">
        <f>AC36*BC36</f>
        <v>2.3517000000000006</v>
      </c>
      <c r="CR36">
        <f>(((ET36)*BB36-(EU36)*BS36)+AE36*BS36)</f>
        <v>0</v>
      </c>
      <c r="CS36">
        <f>AE36*BS36</f>
        <v>0</v>
      </c>
      <c r="CT36">
        <f>AF36*BA36</f>
        <v>0</v>
      </c>
      <c r="CU36">
        <f t="shared" si="51"/>
        <v>0</v>
      </c>
      <c r="CV36">
        <f t="shared" si="51"/>
        <v>0</v>
      </c>
      <c r="CW36">
        <f t="shared" si="51"/>
        <v>0</v>
      </c>
      <c r="CX36">
        <f t="shared" si="51"/>
        <v>0</v>
      </c>
      <c r="CY36">
        <f>(((S36+R36)*AT36)/100)</f>
        <v>0</v>
      </c>
      <c r="CZ36">
        <f>(((S36+R36)*AU36)/100)</f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1010</v>
      </c>
      <c r="DV36" t="s">
        <v>100</v>
      </c>
      <c r="DW36" t="s">
        <v>100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140625274</v>
      </c>
      <c r="EF36">
        <v>8</v>
      </c>
      <c r="EG36" t="s">
        <v>48</v>
      </c>
      <c r="EH36">
        <v>0</v>
      </c>
      <c r="EI36" t="s">
        <v>3</v>
      </c>
      <c r="EJ36">
        <v>1</v>
      </c>
      <c r="EK36">
        <v>1100</v>
      </c>
      <c r="EL36" t="s">
        <v>49</v>
      </c>
      <c r="EM36" t="s">
        <v>50</v>
      </c>
      <c r="EO36" t="s">
        <v>3</v>
      </c>
      <c r="EQ36">
        <v>0</v>
      </c>
      <c r="ER36">
        <v>0.27</v>
      </c>
      <c r="ES36">
        <v>0.27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5</v>
      </c>
      <c r="FC36">
        <v>1</v>
      </c>
      <c r="FD36">
        <v>18</v>
      </c>
      <c r="FF36">
        <v>2.61</v>
      </c>
      <c r="FQ36">
        <v>0</v>
      </c>
      <c r="FR36">
        <f>ROUND(IF(BI36=3,GM36,0),2)</f>
        <v>0</v>
      </c>
      <c r="FS36">
        <v>0</v>
      </c>
      <c r="FX36">
        <v>0</v>
      </c>
      <c r="FY36">
        <v>0</v>
      </c>
      <c r="GA36" t="s">
        <v>101</v>
      </c>
      <c r="GD36">
        <v>1</v>
      </c>
      <c r="GF36">
        <v>62271543</v>
      </c>
      <c r="GG36">
        <v>2</v>
      </c>
      <c r="GH36">
        <v>3</v>
      </c>
      <c r="GI36">
        <v>4</v>
      </c>
      <c r="GJ36">
        <v>0</v>
      </c>
      <c r="GK36">
        <v>0</v>
      </c>
      <c r="GL36">
        <f>ROUND(IF(AND(BH36=3,BI36=3,FS36&lt;&gt;0),P36,0),2)</f>
        <v>0</v>
      </c>
      <c r="GM36">
        <f>ROUND(O36+X36+Y36,2)+GX36</f>
        <v>3725.09</v>
      </c>
      <c r="GN36">
        <f>IF(OR(BI36=0,BI36=1),ROUND(O36+X36+Y36,2),0)</f>
        <v>3725.09</v>
      </c>
      <c r="GO36">
        <f>IF(BI36=2,ROUND(O36+X36+Y36,2),0)</f>
        <v>0</v>
      </c>
      <c r="GP36">
        <f>IF(BI36=4,ROUND(O36+X36+Y36,2)+GX36,0)</f>
        <v>0</v>
      </c>
      <c r="GR36">
        <v>1</v>
      </c>
      <c r="GS36">
        <v>1</v>
      </c>
      <c r="GT36">
        <v>0</v>
      </c>
      <c r="GU36" t="s">
        <v>3</v>
      </c>
      <c r="GV36">
        <f>ROUND((GT36),2)</f>
        <v>0</v>
      </c>
      <c r="GW36">
        <v>1</v>
      </c>
      <c r="GX36">
        <f>ROUND(HC36*I36,2)</f>
        <v>0</v>
      </c>
      <c r="HA36">
        <v>0</v>
      </c>
      <c r="HB36">
        <v>0</v>
      </c>
      <c r="HC36">
        <f>GV36*GW36</f>
        <v>0</v>
      </c>
      <c r="HE36" t="s">
        <v>52</v>
      </c>
      <c r="HF36" t="s">
        <v>29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 x14ac:dyDescent="0.2">
      <c r="A37">
        <v>17</v>
      </c>
      <c r="B37">
        <v>1</v>
      </c>
      <c r="C37">
        <f>ROW(SmtRes!A41)</f>
        <v>41</v>
      </c>
      <c r="D37">
        <f>ROW(EtalonRes!A41)</f>
        <v>41</v>
      </c>
      <c r="E37" t="s">
        <v>102</v>
      </c>
      <c r="F37" t="s">
        <v>103</v>
      </c>
      <c r="G37" t="s">
        <v>104</v>
      </c>
      <c r="H37" t="s">
        <v>105</v>
      </c>
      <c r="I37">
        <v>2.2610000000000001</v>
      </c>
      <c r="J37">
        <v>0</v>
      </c>
      <c r="K37">
        <v>2.2610000000000001</v>
      </c>
      <c r="O37">
        <f>ROUND(CP37,2)</f>
        <v>139158.92000000001</v>
      </c>
      <c r="P37">
        <f>ROUND(CQ37*I37,2)</f>
        <v>4232.68</v>
      </c>
      <c r="Q37">
        <f>ROUND(CR37*I37,2)</f>
        <v>50545.99</v>
      </c>
      <c r="R37">
        <f>ROUND(CS37*I37,2)</f>
        <v>1422.45</v>
      </c>
      <c r="S37">
        <f>ROUND(CT37*I37,2)</f>
        <v>84380.25</v>
      </c>
      <c r="T37">
        <f>ROUND(CU37*I37,2)</f>
        <v>0</v>
      </c>
      <c r="U37">
        <f>CV37*I37</f>
        <v>293.93</v>
      </c>
      <c r="V37">
        <f>CW37*I37</f>
        <v>4.0698000000000008</v>
      </c>
      <c r="W37">
        <f>ROUND(CX37*I37,2)</f>
        <v>0</v>
      </c>
      <c r="X37">
        <f t="shared" si="50"/>
        <v>77222.429999999993</v>
      </c>
      <c r="Y37">
        <f t="shared" si="50"/>
        <v>38611.22</v>
      </c>
      <c r="AA37">
        <v>145033679</v>
      </c>
      <c r="AB37">
        <f>ROUND((AC37+AD37+AF37),2)</f>
        <v>3279.93</v>
      </c>
      <c r="AC37">
        <f>ROUND((ES37),2)</f>
        <v>214.93</v>
      </c>
      <c r="AD37">
        <f>ROUND((((ET37)-(EU37))+AE37),2)</f>
        <v>1843</v>
      </c>
      <c r="AE37">
        <f t="shared" si="52"/>
        <v>20.6</v>
      </c>
      <c r="AF37">
        <f t="shared" si="52"/>
        <v>1222</v>
      </c>
      <c r="AG37">
        <f>ROUND((AP37),2)</f>
        <v>0</v>
      </c>
      <c r="AH37">
        <f t="shared" si="53"/>
        <v>130</v>
      </c>
      <c r="AI37">
        <f t="shared" si="53"/>
        <v>1.8</v>
      </c>
      <c r="AJ37">
        <f>(AS37)</f>
        <v>0</v>
      </c>
      <c r="AK37">
        <v>3279.93</v>
      </c>
      <c r="AL37">
        <v>214.93</v>
      </c>
      <c r="AM37">
        <v>1843</v>
      </c>
      <c r="AN37">
        <v>20.6</v>
      </c>
      <c r="AO37">
        <v>1222</v>
      </c>
      <c r="AP37">
        <v>0</v>
      </c>
      <c r="AQ37">
        <v>130</v>
      </c>
      <c r="AR37">
        <v>1.8</v>
      </c>
      <c r="AS37">
        <v>0</v>
      </c>
      <c r="AT37">
        <v>90</v>
      </c>
      <c r="AU37">
        <v>45</v>
      </c>
      <c r="AV37">
        <v>1</v>
      </c>
      <c r="AW37">
        <v>1</v>
      </c>
      <c r="AZ37">
        <v>1</v>
      </c>
      <c r="BA37">
        <v>30.54</v>
      </c>
      <c r="BB37">
        <v>12.13</v>
      </c>
      <c r="BC37">
        <v>8.7100000000000009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106</v>
      </c>
      <c r="BM37">
        <v>138001</v>
      </c>
      <c r="BN37">
        <v>0</v>
      </c>
      <c r="BO37" t="s">
        <v>3</v>
      </c>
      <c r="BP37">
        <v>0</v>
      </c>
      <c r="BQ37">
        <v>3</v>
      </c>
      <c r="BR37">
        <v>0</v>
      </c>
      <c r="BS37">
        <v>30.54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90</v>
      </c>
      <c r="CA37">
        <v>45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>(P37+Q37+S37)</f>
        <v>139158.91999999998</v>
      </c>
      <c r="CQ37">
        <f>AC37*BC37</f>
        <v>1872.0403000000003</v>
      </c>
      <c r="CR37">
        <f>(((ET37)*BB37-(EU37)*BS37)+AE37*BS37)</f>
        <v>22355.59</v>
      </c>
      <c r="CS37">
        <f>AE37*BS37</f>
        <v>629.12400000000002</v>
      </c>
      <c r="CT37">
        <f>AF37*BA37</f>
        <v>37319.879999999997</v>
      </c>
      <c r="CU37">
        <f t="shared" si="51"/>
        <v>0</v>
      </c>
      <c r="CV37">
        <f t="shared" si="51"/>
        <v>130</v>
      </c>
      <c r="CW37">
        <f t="shared" si="51"/>
        <v>1.8</v>
      </c>
      <c r="CX37">
        <f t="shared" si="51"/>
        <v>0</v>
      </c>
      <c r="CY37">
        <f>(((S37+R37)*AT37)/100)</f>
        <v>77222.429999999993</v>
      </c>
      <c r="CZ37">
        <f>(((S37+R37)*AU37)/100)</f>
        <v>38611.214999999997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105</v>
      </c>
      <c r="DW37" t="s">
        <v>105</v>
      </c>
      <c r="DX37">
        <v>1000</v>
      </c>
      <c r="DZ37" t="s">
        <v>3</v>
      </c>
      <c r="EA37" t="s">
        <v>3</v>
      </c>
      <c r="EB37" t="s">
        <v>3</v>
      </c>
      <c r="EC37" t="s">
        <v>3</v>
      </c>
      <c r="EE37">
        <v>140624915</v>
      </c>
      <c r="EF37">
        <v>3</v>
      </c>
      <c r="EG37" t="s">
        <v>107</v>
      </c>
      <c r="EH37">
        <v>80</v>
      </c>
      <c r="EI37" t="s">
        <v>108</v>
      </c>
      <c r="EJ37">
        <v>2</v>
      </c>
      <c r="EK37">
        <v>138001</v>
      </c>
      <c r="EL37" t="s">
        <v>108</v>
      </c>
      <c r="EM37" t="s">
        <v>109</v>
      </c>
      <c r="EO37" t="s">
        <v>3</v>
      </c>
      <c r="EQ37">
        <v>0</v>
      </c>
      <c r="ER37">
        <v>3279.93</v>
      </c>
      <c r="ES37">
        <v>214.93</v>
      </c>
      <c r="ET37">
        <v>1843</v>
      </c>
      <c r="EU37">
        <v>20.6</v>
      </c>
      <c r="EV37">
        <v>1222</v>
      </c>
      <c r="EW37">
        <v>130</v>
      </c>
      <c r="EX37">
        <v>1.8</v>
      </c>
      <c r="EY37">
        <v>0</v>
      </c>
      <c r="FQ37">
        <v>0</v>
      </c>
      <c r="FR37">
        <f>ROUND(IF(BI37=3,GM37,0),2)</f>
        <v>0</v>
      </c>
      <c r="FS37">
        <v>0</v>
      </c>
      <c r="FX37">
        <v>90</v>
      </c>
      <c r="FY37">
        <v>45</v>
      </c>
      <c r="GA37" t="s">
        <v>3</v>
      </c>
      <c r="GD37">
        <v>1</v>
      </c>
      <c r="GF37">
        <v>-928192920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>ROUND(IF(AND(BH37=3,BI37=3,FS37&lt;&gt;0),P37,0),2)</f>
        <v>0</v>
      </c>
      <c r="GM37">
        <f>ROUND(O37+X37+Y37,2)+GX37</f>
        <v>254992.57</v>
      </c>
      <c r="GN37">
        <f>IF(OR(BI37=0,BI37=1),ROUND(O37+X37+Y37,2),0)</f>
        <v>0</v>
      </c>
      <c r="GO37">
        <f>IF(BI37=2,ROUND(O37+X37+Y37,2),0)</f>
        <v>254992.57</v>
      </c>
      <c r="GP37">
        <f>IF(BI37=4,ROUND(O37+X37+Y37,2)+GX37,0)</f>
        <v>0</v>
      </c>
      <c r="GR37">
        <v>0</v>
      </c>
      <c r="GS37">
        <v>3</v>
      </c>
      <c r="GT37">
        <v>0</v>
      </c>
      <c r="GU37" t="s">
        <v>3</v>
      </c>
      <c r="GV37">
        <f>ROUND((GT37),2)</f>
        <v>0</v>
      </c>
      <c r="GW37">
        <v>1</v>
      </c>
      <c r="GX37">
        <f>ROUND(HC37*I37,2)</f>
        <v>0</v>
      </c>
      <c r="HA37">
        <v>0</v>
      </c>
      <c r="HB37">
        <v>0</v>
      </c>
      <c r="HC37">
        <f>GV37*GW37</f>
        <v>0</v>
      </c>
      <c r="HE37" t="s">
        <v>3</v>
      </c>
      <c r="HF37" t="s">
        <v>3</v>
      </c>
      <c r="HM37" t="s">
        <v>3</v>
      </c>
      <c r="HN37" t="s">
        <v>110</v>
      </c>
      <c r="HO37" t="s">
        <v>111</v>
      </c>
      <c r="HP37" t="s">
        <v>108</v>
      </c>
      <c r="HQ37" t="s">
        <v>108</v>
      </c>
      <c r="IK37">
        <v>0</v>
      </c>
    </row>
    <row r="38" spans="1:245" x14ac:dyDescent="0.2">
      <c r="A38">
        <v>17</v>
      </c>
      <c r="B38">
        <v>1</v>
      </c>
      <c r="E38" t="s">
        <v>112</v>
      </c>
      <c r="F38" t="s">
        <v>46</v>
      </c>
      <c r="G38" t="s">
        <v>113</v>
      </c>
      <c r="H38" t="s">
        <v>105</v>
      </c>
      <c r="I38">
        <f>ROUND(ROUND(0.35868*1.06,4),9)</f>
        <v>0.38019999999999998</v>
      </c>
      <c r="J38">
        <v>0</v>
      </c>
      <c r="K38">
        <f>ROUND(ROUND(0.35868*1.06,4),9)</f>
        <v>0.38019999999999998</v>
      </c>
      <c r="O38">
        <f>ROUND(CP38,2)</f>
        <v>21953.64</v>
      </c>
      <c r="P38">
        <f>ROUND(CQ38*I38,2)</f>
        <v>21953.64</v>
      </c>
      <c r="Q38">
        <f>ROUND(CR38*I38,2)</f>
        <v>0</v>
      </c>
      <c r="R38">
        <f>ROUND(CS38*I38,2)</f>
        <v>0</v>
      </c>
      <c r="S38">
        <f>ROUND(CT38*I38,2)</f>
        <v>0</v>
      </c>
      <c r="T38">
        <f>ROUND(CU38*I38,2)</f>
        <v>0</v>
      </c>
      <c r="U38">
        <f>CV38*I38</f>
        <v>0</v>
      </c>
      <c r="V38">
        <f>CW38*I38</f>
        <v>0</v>
      </c>
      <c r="W38">
        <f>ROUND(CX38*I38,2)</f>
        <v>0</v>
      </c>
      <c r="X38">
        <f t="shared" si="50"/>
        <v>0</v>
      </c>
      <c r="Y38">
        <f t="shared" si="50"/>
        <v>0</v>
      </c>
      <c r="AA38">
        <v>145033679</v>
      </c>
      <c r="AB38">
        <f>ROUND((AC38+AD38+AF38),2)</f>
        <v>6629.43</v>
      </c>
      <c r="AC38">
        <f>ROUND((ES38),2)</f>
        <v>6629.43</v>
      </c>
      <c r="AD38">
        <f>ROUND((((ET38)-(EU38))+AE38),2)</f>
        <v>0</v>
      </c>
      <c r="AE38">
        <f t="shared" si="52"/>
        <v>0</v>
      </c>
      <c r="AF38">
        <f t="shared" si="52"/>
        <v>0</v>
      </c>
      <c r="AG38">
        <f>ROUND((AP38),2)</f>
        <v>0</v>
      </c>
      <c r="AH38">
        <f t="shared" si="53"/>
        <v>0</v>
      </c>
      <c r="AI38">
        <f t="shared" si="53"/>
        <v>0</v>
      </c>
      <c r="AJ38">
        <f>(AS38)</f>
        <v>0</v>
      </c>
      <c r="AK38">
        <v>6629.43</v>
      </c>
      <c r="AL38">
        <v>6629.43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8.7100000000000009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3</v>
      </c>
      <c r="BM38">
        <v>1100</v>
      </c>
      <c r="BN38">
        <v>0</v>
      </c>
      <c r="BO38" t="s">
        <v>3</v>
      </c>
      <c r="BP38">
        <v>0</v>
      </c>
      <c r="BQ38">
        <v>8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>(P38+Q38+S38)</f>
        <v>21953.64</v>
      </c>
      <c r="CQ38">
        <f>AC38*BC38</f>
        <v>57742.335300000006</v>
      </c>
      <c r="CR38">
        <f>(((ET38)*BB38-(EU38)*BS38)+AE38*BS38)</f>
        <v>0</v>
      </c>
      <c r="CS38">
        <f>AE38*BS38</f>
        <v>0</v>
      </c>
      <c r="CT38">
        <f>AF38*BA38</f>
        <v>0</v>
      </c>
      <c r="CU38">
        <f t="shared" si="51"/>
        <v>0</v>
      </c>
      <c r="CV38">
        <f t="shared" si="51"/>
        <v>0</v>
      </c>
      <c r="CW38">
        <f t="shared" si="51"/>
        <v>0</v>
      </c>
      <c r="CX38">
        <f t="shared" si="51"/>
        <v>0</v>
      </c>
      <c r="CY38">
        <f>(((S38+R38)*AT38)/100)</f>
        <v>0</v>
      </c>
      <c r="CZ38">
        <f>(((S38+R38)*AU38)/100)</f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105</v>
      </c>
      <c r="DW38" t="s">
        <v>105</v>
      </c>
      <c r="DX38">
        <v>1000</v>
      </c>
      <c r="DZ38" t="s">
        <v>3</v>
      </c>
      <c r="EA38" t="s">
        <v>3</v>
      </c>
      <c r="EB38" t="s">
        <v>3</v>
      </c>
      <c r="EC38" t="s">
        <v>3</v>
      </c>
      <c r="EE38">
        <v>140625274</v>
      </c>
      <c r="EF38">
        <v>8</v>
      </c>
      <c r="EG38" t="s">
        <v>48</v>
      </c>
      <c r="EH38">
        <v>0</v>
      </c>
      <c r="EI38" t="s">
        <v>3</v>
      </c>
      <c r="EJ38">
        <v>1</v>
      </c>
      <c r="EK38">
        <v>1100</v>
      </c>
      <c r="EL38" t="s">
        <v>49</v>
      </c>
      <c r="EM38" t="s">
        <v>50</v>
      </c>
      <c r="EO38" t="s">
        <v>3</v>
      </c>
      <c r="EQ38">
        <v>0</v>
      </c>
      <c r="ER38">
        <v>6629.43</v>
      </c>
      <c r="ES38">
        <v>6629.43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5</v>
      </c>
      <c r="FC38">
        <v>1</v>
      </c>
      <c r="FD38">
        <v>18</v>
      </c>
      <c r="FF38">
        <v>65500</v>
      </c>
      <c r="FQ38">
        <v>0</v>
      </c>
      <c r="FR38">
        <f>ROUND(IF(BI38=3,GM38,0),2)</f>
        <v>0</v>
      </c>
      <c r="FS38">
        <v>0</v>
      </c>
      <c r="FX38">
        <v>0</v>
      </c>
      <c r="FY38">
        <v>0</v>
      </c>
      <c r="GA38" t="s">
        <v>114</v>
      </c>
      <c r="GD38">
        <v>1</v>
      </c>
      <c r="GF38">
        <v>927970815</v>
      </c>
      <c r="GG38">
        <v>2</v>
      </c>
      <c r="GH38">
        <v>3</v>
      </c>
      <c r="GI38">
        <v>4</v>
      </c>
      <c r="GJ38">
        <v>0</v>
      </c>
      <c r="GK38">
        <v>0</v>
      </c>
      <c r="GL38">
        <f>ROUND(IF(AND(BH38=3,BI38=3,FS38&lt;&gt;0),P38,0),2)</f>
        <v>0</v>
      </c>
      <c r="GM38">
        <f>ROUND(O38+X38+Y38,2)+GX38</f>
        <v>21953.64</v>
      </c>
      <c r="GN38">
        <f>IF(OR(BI38=0,BI38=1),ROUND(O38+X38+Y38,2),0)</f>
        <v>21953.64</v>
      </c>
      <c r="GO38">
        <f>IF(BI38=2,ROUND(O38+X38+Y38,2),0)</f>
        <v>0</v>
      </c>
      <c r="GP38">
        <f>IF(BI38=4,ROUND(O38+X38+Y38,2)+GX38,0)</f>
        <v>0</v>
      </c>
      <c r="GR38">
        <v>1</v>
      </c>
      <c r="GS38">
        <v>1</v>
      </c>
      <c r="GT38">
        <v>0</v>
      </c>
      <c r="GU38" t="s">
        <v>3</v>
      </c>
      <c r="GV38">
        <f>ROUND((GT38),2)</f>
        <v>0</v>
      </c>
      <c r="GW38">
        <v>1</v>
      </c>
      <c r="GX38">
        <f>ROUND(HC38*I38,2)</f>
        <v>0</v>
      </c>
      <c r="HA38">
        <v>0</v>
      </c>
      <c r="HB38">
        <v>0</v>
      </c>
      <c r="HC38">
        <f>GV38*GW38</f>
        <v>0</v>
      </c>
      <c r="HE38" t="s">
        <v>52</v>
      </c>
      <c r="HF38" t="s">
        <v>115</v>
      </c>
      <c r="HM38" t="s">
        <v>3</v>
      </c>
      <c r="HN38" t="s">
        <v>3</v>
      </c>
      <c r="HO38" t="s">
        <v>3</v>
      </c>
      <c r="HP38" t="s">
        <v>3</v>
      </c>
      <c r="HQ38" t="s">
        <v>3</v>
      </c>
      <c r="IK38">
        <v>0</v>
      </c>
    </row>
    <row r="39" spans="1:245" x14ac:dyDescent="0.2">
      <c r="A39">
        <v>17</v>
      </c>
      <c r="B39">
        <v>1</v>
      </c>
      <c r="E39" t="s">
        <v>116</v>
      </c>
      <c r="F39" t="s">
        <v>46</v>
      </c>
      <c r="G39" t="s">
        <v>117</v>
      </c>
      <c r="H39" t="s">
        <v>105</v>
      </c>
      <c r="I39">
        <f>ROUND(1.902*1.06,9)</f>
        <v>2.0161199999999999</v>
      </c>
      <c r="J39">
        <v>0</v>
      </c>
      <c r="K39">
        <f>ROUND(1.902*1.06,9)</f>
        <v>2.0161199999999999</v>
      </c>
      <c r="O39">
        <f>ROUND(CP39,2)</f>
        <v>145741.53</v>
      </c>
      <c r="P39">
        <f>ROUND(CQ39*I39,2)</f>
        <v>145741.53</v>
      </c>
      <c r="Q39">
        <f>ROUND(CR39*I39,2)</f>
        <v>0</v>
      </c>
      <c r="R39">
        <f>ROUND(CS39*I39,2)</f>
        <v>0</v>
      </c>
      <c r="S39">
        <f>ROUND(CT39*I39,2)</f>
        <v>0</v>
      </c>
      <c r="T39">
        <f>ROUND(CU39*I39,2)</f>
        <v>0</v>
      </c>
      <c r="U39">
        <f>CV39*I39</f>
        <v>0</v>
      </c>
      <c r="V39">
        <f>CW39*I39</f>
        <v>0</v>
      </c>
      <c r="W39">
        <f>ROUND(CX39*I39,2)</f>
        <v>0</v>
      </c>
      <c r="X39">
        <f t="shared" si="50"/>
        <v>0</v>
      </c>
      <c r="Y39">
        <f t="shared" si="50"/>
        <v>0</v>
      </c>
      <c r="AA39">
        <v>145033679</v>
      </c>
      <c r="AB39">
        <f>ROUND((AC39+AD39+AF39),2)</f>
        <v>8299.44</v>
      </c>
      <c r="AC39">
        <f>ROUND((ES39),2)</f>
        <v>8299.44</v>
      </c>
      <c r="AD39">
        <f>ROUND((((ET39)-(EU39))+AE39),2)</f>
        <v>0</v>
      </c>
      <c r="AE39">
        <f t="shared" si="52"/>
        <v>0</v>
      </c>
      <c r="AF39">
        <f t="shared" si="52"/>
        <v>0</v>
      </c>
      <c r="AG39">
        <f>ROUND((AP39),2)</f>
        <v>0</v>
      </c>
      <c r="AH39">
        <f t="shared" si="53"/>
        <v>0</v>
      </c>
      <c r="AI39">
        <f t="shared" si="53"/>
        <v>0</v>
      </c>
      <c r="AJ39">
        <f>(AS39)</f>
        <v>0</v>
      </c>
      <c r="AK39">
        <v>8299.44</v>
      </c>
      <c r="AL39">
        <v>8299.44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8.7100000000000009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8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>(P39+Q39+S39)</f>
        <v>145741.53</v>
      </c>
      <c r="CQ39">
        <f>AC39*BC39</f>
        <v>72288.122400000007</v>
      </c>
      <c r="CR39">
        <f>(((ET39)*BB39-(EU39)*BS39)+AE39*BS39)</f>
        <v>0</v>
      </c>
      <c r="CS39">
        <f>AE39*BS39</f>
        <v>0</v>
      </c>
      <c r="CT39">
        <f>AF39*BA39</f>
        <v>0</v>
      </c>
      <c r="CU39">
        <f t="shared" si="51"/>
        <v>0</v>
      </c>
      <c r="CV39">
        <f t="shared" si="51"/>
        <v>0</v>
      </c>
      <c r="CW39">
        <f t="shared" si="51"/>
        <v>0</v>
      </c>
      <c r="CX39">
        <f t="shared" si="51"/>
        <v>0</v>
      </c>
      <c r="CY39">
        <f>(((S39+R39)*AT39)/100)</f>
        <v>0</v>
      </c>
      <c r="CZ39">
        <f>(((S39+R39)*AU39)/100)</f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105</v>
      </c>
      <c r="DW39" t="s">
        <v>105</v>
      </c>
      <c r="DX39">
        <v>1000</v>
      </c>
      <c r="DZ39" t="s">
        <v>3</v>
      </c>
      <c r="EA39" t="s">
        <v>3</v>
      </c>
      <c r="EB39" t="s">
        <v>3</v>
      </c>
      <c r="EC39" t="s">
        <v>3</v>
      </c>
      <c r="EE39">
        <v>140625274</v>
      </c>
      <c r="EF39">
        <v>8</v>
      </c>
      <c r="EG39" t="s">
        <v>48</v>
      </c>
      <c r="EH39">
        <v>0</v>
      </c>
      <c r="EI39" t="s">
        <v>3</v>
      </c>
      <c r="EJ39">
        <v>1</v>
      </c>
      <c r="EK39">
        <v>1100</v>
      </c>
      <c r="EL39" t="s">
        <v>49</v>
      </c>
      <c r="EM39" t="s">
        <v>50</v>
      </c>
      <c r="EO39" t="s">
        <v>3</v>
      </c>
      <c r="EQ39">
        <v>0</v>
      </c>
      <c r="ER39">
        <v>8299.44</v>
      </c>
      <c r="ES39">
        <v>8299.44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1</v>
      </c>
      <c r="FD39">
        <v>18</v>
      </c>
      <c r="FF39">
        <v>82000</v>
      </c>
      <c r="FQ39">
        <v>0</v>
      </c>
      <c r="FR39">
        <f>ROUND(IF(BI39=3,GM39,0),2)</f>
        <v>0</v>
      </c>
      <c r="FS39">
        <v>0</v>
      </c>
      <c r="FX39">
        <v>0</v>
      </c>
      <c r="FY39">
        <v>0</v>
      </c>
      <c r="GA39" t="s">
        <v>118</v>
      </c>
      <c r="GD39">
        <v>1</v>
      </c>
      <c r="GF39">
        <v>-1436976456</v>
      </c>
      <c r="GG39">
        <v>2</v>
      </c>
      <c r="GH39">
        <v>3</v>
      </c>
      <c r="GI39">
        <v>4</v>
      </c>
      <c r="GJ39">
        <v>0</v>
      </c>
      <c r="GK39">
        <v>0</v>
      </c>
      <c r="GL39">
        <f>ROUND(IF(AND(BH39=3,BI39=3,FS39&lt;&gt;0),P39,0),2)</f>
        <v>0</v>
      </c>
      <c r="GM39">
        <f>ROUND(O39+X39+Y39,2)+GX39</f>
        <v>145741.53</v>
      </c>
      <c r="GN39">
        <f>IF(OR(BI39=0,BI39=1),ROUND(O39+X39+Y39,2),0)</f>
        <v>145741.53</v>
      </c>
      <c r="GO39">
        <f>IF(BI39=2,ROUND(O39+X39+Y39,2),0)</f>
        <v>0</v>
      </c>
      <c r="GP39">
        <f>IF(BI39=4,ROUND(O39+X39+Y39,2)+GX39,0)</f>
        <v>0</v>
      </c>
      <c r="GR39">
        <v>1</v>
      </c>
      <c r="GS39">
        <v>1</v>
      </c>
      <c r="GT39">
        <v>0</v>
      </c>
      <c r="GU39" t="s">
        <v>3</v>
      </c>
      <c r="GV39">
        <f>ROUND((GT39),2)</f>
        <v>0</v>
      </c>
      <c r="GW39">
        <v>1</v>
      </c>
      <c r="GX39">
        <f>ROUND(HC39*I39,2)</f>
        <v>0</v>
      </c>
      <c r="HA39">
        <v>0</v>
      </c>
      <c r="HB39">
        <v>0</v>
      </c>
      <c r="HC39">
        <f>GV39*GW39</f>
        <v>0</v>
      </c>
      <c r="HE39" t="s">
        <v>52</v>
      </c>
      <c r="HF39" t="s">
        <v>115</v>
      </c>
      <c r="HM39" t="s">
        <v>3</v>
      </c>
      <c r="HN39" t="s">
        <v>3</v>
      </c>
      <c r="HO39" t="s">
        <v>3</v>
      </c>
      <c r="HP39" t="s">
        <v>3</v>
      </c>
      <c r="HQ39" t="s">
        <v>3</v>
      </c>
      <c r="IK39">
        <v>0</v>
      </c>
    </row>
    <row r="40" spans="1:245" x14ac:dyDescent="0.2">
      <c r="A40">
        <v>19</v>
      </c>
      <c r="B40">
        <v>1</v>
      </c>
      <c r="F40" t="s">
        <v>3</v>
      </c>
      <c r="G40" t="s">
        <v>119</v>
      </c>
      <c r="H40" t="s">
        <v>3</v>
      </c>
      <c r="AA40">
        <v>1</v>
      </c>
      <c r="IK40">
        <v>0</v>
      </c>
    </row>
    <row r="41" spans="1:245" x14ac:dyDescent="0.2">
      <c r="A41">
        <v>17</v>
      </c>
      <c r="B41">
        <v>1</v>
      </c>
      <c r="C41">
        <f>ROW(SmtRes!A47)</f>
        <v>47</v>
      </c>
      <c r="D41">
        <f>ROW(EtalonRes!A47)</f>
        <v>47</v>
      </c>
      <c r="E41" t="s">
        <v>120</v>
      </c>
      <c r="F41" t="s">
        <v>121</v>
      </c>
      <c r="G41" t="s">
        <v>122</v>
      </c>
      <c r="H41" t="s">
        <v>19</v>
      </c>
      <c r="I41">
        <f>ROUND(72/100,9)</f>
        <v>0.72</v>
      </c>
      <c r="J41">
        <v>0</v>
      </c>
      <c r="K41">
        <f>ROUND(72/100,9)</f>
        <v>0.72</v>
      </c>
      <c r="O41">
        <f t="shared" ref="O41:O49" si="54">ROUND(CP41,2)</f>
        <v>12684.38</v>
      </c>
      <c r="P41">
        <f t="shared" ref="P41:P49" si="55">ROUND(CQ41*I41,2)</f>
        <v>1722.26</v>
      </c>
      <c r="Q41">
        <f t="shared" ref="Q41:Q49" si="56">ROUND(CR41*I41,2)</f>
        <v>57.65</v>
      </c>
      <c r="R41">
        <f t="shared" ref="R41:R49" si="57">ROUND(CS41*I41,2)</f>
        <v>25.51</v>
      </c>
      <c r="S41">
        <f t="shared" ref="S41:S49" si="58">ROUND(CT41*I41,2)</f>
        <v>10904.47</v>
      </c>
      <c r="T41">
        <f t="shared" ref="T41:T49" si="59">ROUND(CU41*I41,2)</f>
        <v>0</v>
      </c>
      <c r="U41">
        <f t="shared" ref="U41:U49" si="60">CV41*I41</f>
        <v>41.325479999999992</v>
      </c>
      <c r="V41">
        <f t="shared" ref="V41:V49" si="61">CW41*I41</f>
        <v>7.2450000000000001E-2</v>
      </c>
      <c r="W41">
        <f t="shared" ref="W41:W49" si="62">ROUND(CX41*I41,2)</f>
        <v>0</v>
      </c>
      <c r="X41">
        <f t="shared" ref="X41:X49" si="63">ROUND(CY41,2)</f>
        <v>12022.98</v>
      </c>
      <c r="Y41">
        <f t="shared" ref="Y41:Y49" si="64">ROUND(CZ41,2)</f>
        <v>6410.43</v>
      </c>
      <c r="AA41">
        <v>145033679</v>
      </c>
      <c r="AB41">
        <f t="shared" ref="AB41:AB49" si="65">ROUND((AC41+AD41+AF41),2)</f>
        <v>777.15</v>
      </c>
      <c r="AC41">
        <f>ROUND((ES41),2)</f>
        <v>274.63</v>
      </c>
      <c r="AD41">
        <f>ROUND((((((ET41*1.25)*1.15))-(((EU41*1.25)*1.15)))+AE41),2)</f>
        <v>6.61</v>
      </c>
      <c r="AE41">
        <f>ROUND((((EU41*1.25)*1.15)),2)</f>
        <v>1.1599999999999999</v>
      </c>
      <c r="AF41">
        <f>ROUND((((EV41*1.15)*1.15)),2)</f>
        <v>495.91</v>
      </c>
      <c r="AG41">
        <f t="shared" ref="AG41:AG49" si="66">ROUND((AP41),2)</f>
        <v>0</v>
      </c>
      <c r="AH41">
        <f>(((EW41*1.15)*1.15))</f>
        <v>57.396499999999989</v>
      </c>
      <c r="AI41">
        <f>(((EX41*1.25)*1.15))</f>
        <v>0.10062500000000001</v>
      </c>
      <c r="AJ41">
        <f t="shared" ref="AJ41:AJ49" si="67">(AS41)</f>
        <v>0</v>
      </c>
      <c r="AK41">
        <v>654.21</v>
      </c>
      <c r="AL41">
        <v>274.63</v>
      </c>
      <c r="AM41">
        <v>4.5999999999999996</v>
      </c>
      <c r="AN41">
        <v>0.81</v>
      </c>
      <c r="AO41">
        <v>374.98</v>
      </c>
      <c r="AP41">
        <v>0</v>
      </c>
      <c r="AQ41">
        <v>43.4</v>
      </c>
      <c r="AR41">
        <v>7.0000000000000007E-2</v>
      </c>
      <c r="AS41">
        <v>0</v>
      </c>
      <c r="AT41">
        <v>110</v>
      </c>
      <c r="AU41">
        <v>58.65</v>
      </c>
      <c r="AV41">
        <v>1</v>
      </c>
      <c r="AW41">
        <v>1</v>
      </c>
      <c r="AZ41">
        <v>1</v>
      </c>
      <c r="BA41">
        <v>30.54</v>
      </c>
      <c r="BB41">
        <v>12.13</v>
      </c>
      <c r="BC41">
        <v>8.7100000000000009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123</v>
      </c>
      <c r="BM41">
        <v>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v>30.54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110</v>
      </c>
      <c r="CA41">
        <v>69</v>
      </c>
      <c r="CB41" t="s">
        <v>3</v>
      </c>
      <c r="CE41">
        <v>0</v>
      </c>
      <c r="CF41">
        <v>0</v>
      </c>
      <c r="CG41">
        <v>0</v>
      </c>
      <c r="CM41">
        <v>0</v>
      </c>
      <c r="CN41" t="s">
        <v>1104</v>
      </c>
      <c r="CO41">
        <v>0</v>
      </c>
      <c r="CP41">
        <f t="shared" ref="CP41:CP49" si="68">(P41+Q41+S41)</f>
        <v>12684.38</v>
      </c>
      <c r="CQ41">
        <f t="shared" ref="CQ41:CQ49" si="69">AC41*BC41</f>
        <v>2392.0273000000002</v>
      </c>
      <c r="CR41">
        <f>(((((ET41*1.25)*1.15))*BB41-(((EU41*1.25)*1.15))*BS41)+AE41*BS41)</f>
        <v>80.07601249999999</v>
      </c>
      <c r="CS41">
        <f t="shared" ref="CS41:CS49" si="70">AE41*BS41</f>
        <v>35.426399999999994</v>
      </c>
      <c r="CT41">
        <f t="shared" ref="CT41:CT49" si="71">AF41*BA41</f>
        <v>15145.091400000001</v>
      </c>
      <c r="CU41">
        <f t="shared" ref="CU41:CU49" si="72">AG41</f>
        <v>0</v>
      </c>
      <c r="CV41">
        <f t="shared" ref="CV41:CV49" si="73">AH41</f>
        <v>57.396499999999989</v>
      </c>
      <c r="CW41">
        <f t="shared" ref="CW41:CW49" si="74">AI41</f>
        <v>0.10062500000000001</v>
      </c>
      <c r="CX41">
        <f t="shared" ref="CX41:CX49" si="75">AJ41</f>
        <v>0</v>
      </c>
      <c r="CY41">
        <f t="shared" ref="CY41:CY49" si="76">(((S41+R41)*AT41)/100)</f>
        <v>12022.978000000001</v>
      </c>
      <c r="CZ41">
        <f t="shared" ref="CZ41:CZ49" si="77">(((S41+R41)*AU41)/100)</f>
        <v>6410.4332699999995</v>
      </c>
      <c r="DC41" t="s">
        <v>3</v>
      </c>
      <c r="DD41" t="s">
        <v>3</v>
      </c>
      <c r="DE41" t="s">
        <v>90</v>
      </c>
      <c r="DF41" t="s">
        <v>90</v>
      </c>
      <c r="DG41" t="s">
        <v>91</v>
      </c>
      <c r="DH41" t="s">
        <v>3</v>
      </c>
      <c r="DI41" t="s">
        <v>91</v>
      </c>
      <c r="DJ41" t="s">
        <v>90</v>
      </c>
      <c r="DK41" t="s">
        <v>3</v>
      </c>
      <c r="DL41" t="s">
        <v>3</v>
      </c>
      <c r="DM41" t="s">
        <v>92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19</v>
      </c>
      <c r="DW41" t="s">
        <v>19</v>
      </c>
      <c r="DX41">
        <v>100</v>
      </c>
      <c r="DZ41" t="s">
        <v>3</v>
      </c>
      <c r="EA41" t="s">
        <v>3</v>
      </c>
      <c r="EB41" t="s">
        <v>3</v>
      </c>
      <c r="EC41" t="s">
        <v>3</v>
      </c>
      <c r="EE41">
        <v>140625024</v>
      </c>
      <c r="EF41">
        <v>2</v>
      </c>
      <c r="EG41" t="s">
        <v>22</v>
      </c>
      <c r="EH41">
        <v>8</v>
      </c>
      <c r="EI41" t="s">
        <v>124</v>
      </c>
      <c r="EJ41">
        <v>1</v>
      </c>
      <c r="EK41">
        <v>8001</v>
      </c>
      <c r="EL41" t="s">
        <v>124</v>
      </c>
      <c r="EM41" t="s">
        <v>125</v>
      </c>
      <c r="EO41" t="s">
        <v>95</v>
      </c>
      <c r="EQ41">
        <v>0</v>
      </c>
      <c r="ER41">
        <v>654.21</v>
      </c>
      <c r="ES41">
        <v>274.63</v>
      </c>
      <c r="ET41">
        <v>4.5999999999999996</v>
      </c>
      <c r="EU41">
        <v>0.81</v>
      </c>
      <c r="EV41">
        <v>374.98</v>
      </c>
      <c r="EW41">
        <v>43.4</v>
      </c>
      <c r="EX41">
        <v>7.0000000000000007E-2</v>
      </c>
      <c r="EY41">
        <v>0</v>
      </c>
      <c r="FQ41">
        <v>0</v>
      </c>
      <c r="FR41">
        <f t="shared" ref="FR41:FR49" si="78">ROUND(IF(BI41=3,GM41,0),2)</f>
        <v>0</v>
      </c>
      <c r="FS41">
        <v>0</v>
      </c>
      <c r="FX41">
        <v>110</v>
      </c>
      <c r="FY41">
        <v>58.65</v>
      </c>
      <c r="GA41" t="s">
        <v>3</v>
      </c>
      <c r="GD41">
        <v>1</v>
      </c>
      <c r="GF41">
        <v>148061388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ref="GL41:GL49" si="79">ROUND(IF(AND(BH41=3,BI41=3,FS41&lt;&gt;0),P41,0),2)</f>
        <v>0</v>
      </c>
      <c r="GM41">
        <f t="shared" ref="GM41:GM49" si="80">ROUND(O41+X41+Y41,2)+GX41</f>
        <v>31117.79</v>
      </c>
      <c r="GN41">
        <f t="shared" ref="GN41:GN49" si="81">IF(OR(BI41=0,BI41=1),ROUND(O41+X41+Y41,2),0)</f>
        <v>31117.79</v>
      </c>
      <c r="GO41">
        <f t="shared" ref="GO41:GO49" si="82">IF(BI41=2,ROUND(O41+X41+Y41,2),0)</f>
        <v>0</v>
      </c>
      <c r="GP41">
        <f t="shared" ref="GP41:GP49" si="83">IF(BI41=4,ROUND(O41+X41+Y41,2)+GX41,0)</f>
        <v>0</v>
      </c>
      <c r="GR41">
        <v>0</v>
      </c>
      <c r="GS41">
        <v>3</v>
      </c>
      <c r="GT41">
        <v>0</v>
      </c>
      <c r="GU41" t="s">
        <v>3</v>
      </c>
      <c r="GV41">
        <f t="shared" ref="GV41:GV49" si="84">ROUND((GT41),2)</f>
        <v>0</v>
      </c>
      <c r="GW41">
        <v>1</v>
      </c>
      <c r="GX41">
        <f t="shared" ref="GX41:GX49" si="85">ROUND(HC41*I41,2)</f>
        <v>0</v>
      </c>
      <c r="HA41">
        <v>0</v>
      </c>
      <c r="HB41">
        <v>0</v>
      </c>
      <c r="HC41">
        <f t="shared" ref="HC41:HC49" si="86">GV41*GW41</f>
        <v>0</v>
      </c>
      <c r="HE41" t="s">
        <v>3</v>
      </c>
      <c r="HF41" t="s">
        <v>3</v>
      </c>
      <c r="HM41" t="s">
        <v>3</v>
      </c>
      <c r="HN41" t="s">
        <v>126</v>
      </c>
      <c r="HO41" t="s">
        <v>127</v>
      </c>
      <c r="HP41" t="s">
        <v>124</v>
      </c>
      <c r="HQ41" t="s">
        <v>124</v>
      </c>
      <c r="IK41">
        <v>0</v>
      </c>
    </row>
    <row r="42" spans="1:245" x14ac:dyDescent="0.2">
      <c r="A42">
        <v>17</v>
      </c>
      <c r="B42">
        <v>1</v>
      </c>
      <c r="C42">
        <f>ROW(SmtRes!A48)</f>
        <v>48</v>
      </c>
      <c r="D42">
        <f>ROW(EtalonRes!A48)</f>
        <v>48</v>
      </c>
      <c r="E42" t="s">
        <v>128</v>
      </c>
      <c r="F42" t="s">
        <v>129</v>
      </c>
      <c r="G42" t="s">
        <v>130</v>
      </c>
      <c r="H42" t="s">
        <v>131</v>
      </c>
      <c r="I42">
        <v>6</v>
      </c>
      <c r="J42">
        <v>0</v>
      </c>
      <c r="K42">
        <v>6</v>
      </c>
      <c r="O42">
        <f t="shared" si="54"/>
        <v>923.53</v>
      </c>
      <c r="P42">
        <f t="shared" si="55"/>
        <v>0</v>
      </c>
      <c r="Q42">
        <f t="shared" si="56"/>
        <v>0</v>
      </c>
      <c r="R42">
        <f t="shared" si="57"/>
        <v>0</v>
      </c>
      <c r="S42">
        <f t="shared" si="58"/>
        <v>923.53</v>
      </c>
      <c r="T42">
        <f t="shared" si="59"/>
        <v>0</v>
      </c>
      <c r="U42">
        <f t="shared" si="60"/>
        <v>4.0019999999999998</v>
      </c>
      <c r="V42">
        <f t="shared" si="61"/>
        <v>0</v>
      </c>
      <c r="W42">
        <f t="shared" si="62"/>
        <v>0</v>
      </c>
      <c r="X42">
        <f t="shared" si="63"/>
        <v>831.18</v>
      </c>
      <c r="Y42">
        <f t="shared" si="64"/>
        <v>424.82</v>
      </c>
      <c r="AA42">
        <v>145033679</v>
      </c>
      <c r="AB42">
        <f t="shared" si="65"/>
        <v>5.04</v>
      </c>
      <c r="AC42">
        <f>ROUND((ES42),2)</f>
        <v>0</v>
      </c>
      <c r="AD42">
        <f>ROUND(((((ET42*1.15))-((EU42*1.15)))+AE42),2)</f>
        <v>0</v>
      </c>
      <c r="AE42">
        <f>ROUND(((EU42*1.15)),2)</f>
        <v>0</v>
      </c>
      <c r="AF42">
        <f>ROUND(((EV42*1.15)),2)</f>
        <v>5.04</v>
      </c>
      <c r="AG42">
        <f t="shared" si="66"/>
        <v>0</v>
      </c>
      <c r="AH42">
        <f>((EW42*1.15))</f>
        <v>0.66699999999999993</v>
      </c>
      <c r="AI42">
        <f>((EX42*1.15))</f>
        <v>0</v>
      </c>
      <c r="AJ42">
        <f t="shared" si="67"/>
        <v>0</v>
      </c>
      <c r="AK42">
        <v>4.38</v>
      </c>
      <c r="AL42">
        <v>0</v>
      </c>
      <c r="AM42">
        <v>0</v>
      </c>
      <c r="AN42">
        <v>0</v>
      </c>
      <c r="AO42">
        <v>4.38</v>
      </c>
      <c r="AP42">
        <v>0</v>
      </c>
      <c r="AQ42">
        <v>0.57999999999999996</v>
      </c>
      <c r="AR42">
        <v>0</v>
      </c>
      <c r="AS42">
        <v>0</v>
      </c>
      <c r="AT42">
        <v>90</v>
      </c>
      <c r="AU42">
        <v>46</v>
      </c>
      <c r="AV42">
        <v>1</v>
      </c>
      <c r="AW42">
        <v>1</v>
      </c>
      <c r="AZ42">
        <v>1</v>
      </c>
      <c r="BA42">
        <v>30.54</v>
      </c>
      <c r="BB42">
        <v>12.13</v>
      </c>
      <c r="BC42">
        <v>8.7100000000000009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1</v>
      </c>
      <c r="BJ42" t="s">
        <v>132</v>
      </c>
      <c r="BM42">
        <v>62001</v>
      </c>
      <c r="BN42">
        <v>0</v>
      </c>
      <c r="BO42" t="s">
        <v>3</v>
      </c>
      <c r="BP42">
        <v>0</v>
      </c>
      <c r="BQ42">
        <v>6</v>
      </c>
      <c r="BR42">
        <v>0</v>
      </c>
      <c r="BS42">
        <v>30.54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90</v>
      </c>
      <c r="CA42">
        <v>46</v>
      </c>
      <c r="CB42" t="s">
        <v>3</v>
      </c>
      <c r="CE42">
        <v>0</v>
      </c>
      <c r="CF42">
        <v>0</v>
      </c>
      <c r="CG42">
        <v>0</v>
      </c>
      <c r="CM42">
        <v>0</v>
      </c>
      <c r="CN42" t="s">
        <v>1103</v>
      </c>
      <c r="CO42">
        <v>0</v>
      </c>
      <c r="CP42">
        <f t="shared" si="68"/>
        <v>923.53</v>
      </c>
      <c r="CQ42">
        <f t="shared" si="69"/>
        <v>0</v>
      </c>
      <c r="CR42">
        <f>((((ET42*1.15))*BB42-((EU42*1.15))*BS42)+AE42*BS42)</f>
        <v>0</v>
      </c>
      <c r="CS42">
        <f t="shared" si="70"/>
        <v>0</v>
      </c>
      <c r="CT42">
        <f t="shared" si="71"/>
        <v>153.92159999999998</v>
      </c>
      <c r="CU42">
        <f t="shared" si="72"/>
        <v>0</v>
      </c>
      <c r="CV42">
        <f t="shared" si="73"/>
        <v>0.66699999999999993</v>
      </c>
      <c r="CW42">
        <f t="shared" si="74"/>
        <v>0</v>
      </c>
      <c r="CX42">
        <f t="shared" si="75"/>
        <v>0</v>
      </c>
      <c r="CY42">
        <f t="shared" si="76"/>
        <v>831.17700000000002</v>
      </c>
      <c r="CZ42">
        <f t="shared" si="77"/>
        <v>424.82379999999995</v>
      </c>
      <c r="DC42" t="s">
        <v>3</v>
      </c>
      <c r="DD42" t="s">
        <v>3</v>
      </c>
      <c r="DE42" t="s">
        <v>21</v>
      </c>
      <c r="DF42" t="s">
        <v>21</v>
      </c>
      <c r="DG42" t="s">
        <v>21</v>
      </c>
      <c r="DH42" t="s">
        <v>3</v>
      </c>
      <c r="DI42" t="s">
        <v>21</v>
      </c>
      <c r="DJ42" t="s">
        <v>21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131</v>
      </c>
      <c r="DW42" t="s">
        <v>131</v>
      </c>
      <c r="DX42">
        <v>1</v>
      </c>
      <c r="DZ42" t="s">
        <v>3</v>
      </c>
      <c r="EA42" t="s">
        <v>3</v>
      </c>
      <c r="EB42" t="s">
        <v>3</v>
      </c>
      <c r="EC42" t="s">
        <v>3</v>
      </c>
      <c r="EE42">
        <v>140625162</v>
      </c>
      <c r="EF42">
        <v>6</v>
      </c>
      <c r="EG42" t="s">
        <v>34</v>
      </c>
      <c r="EH42">
        <v>96</v>
      </c>
      <c r="EI42" t="s">
        <v>133</v>
      </c>
      <c r="EJ42">
        <v>1</v>
      </c>
      <c r="EK42">
        <v>62001</v>
      </c>
      <c r="EL42" t="s">
        <v>133</v>
      </c>
      <c r="EM42" t="s">
        <v>134</v>
      </c>
      <c r="EO42" t="s">
        <v>37</v>
      </c>
      <c r="EQ42">
        <v>0</v>
      </c>
      <c r="ER42">
        <v>4.38</v>
      </c>
      <c r="ES42">
        <v>0</v>
      </c>
      <c r="ET42">
        <v>0</v>
      </c>
      <c r="EU42">
        <v>0</v>
      </c>
      <c r="EV42">
        <v>4.38</v>
      </c>
      <c r="EW42">
        <v>0.57999999999999996</v>
      </c>
      <c r="EX42">
        <v>0</v>
      </c>
      <c r="EY42">
        <v>0</v>
      </c>
      <c r="FQ42">
        <v>0</v>
      </c>
      <c r="FR42">
        <f t="shared" si="78"/>
        <v>0</v>
      </c>
      <c r="FS42">
        <v>0</v>
      </c>
      <c r="FX42">
        <v>90</v>
      </c>
      <c r="FY42">
        <v>46</v>
      </c>
      <c r="GA42" t="s">
        <v>3</v>
      </c>
      <c r="GD42">
        <v>1</v>
      </c>
      <c r="GF42">
        <v>-1813295300</v>
      </c>
      <c r="GG42">
        <v>2</v>
      </c>
      <c r="GH42">
        <v>1</v>
      </c>
      <c r="GI42">
        <v>4</v>
      </c>
      <c r="GJ42">
        <v>0</v>
      </c>
      <c r="GK42">
        <v>0</v>
      </c>
      <c r="GL42">
        <f t="shared" si="79"/>
        <v>0</v>
      </c>
      <c r="GM42">
        <f t="shared" si="80"/>
        <v>2179.5300000000002</v>
      </c>
      <c r="GN42">
        <f t="shared" si="81"/>
        <v>2179.5300000000002</v>
      </c>
      <c r="GO42">
        <f t="shared" si="82"/>
        <v>0</v>
      </c>
      <c r="GP42">
        <f t="shared" si="83"/>
        <v>0</v>
      </c>
      <c r="GR42">
        <v>0</v>
      </c>
      <c r="GS42">
        <v>3</v>
      </c>
      <c r="GT42">
        <v>0</v>
      </c>
      <c r="GU42" t="s">
        <v>3</v>
      </c>
      <c r="GV42">
        <f t="shared" si="84"/>
        <v>0</v>
      </c>
      <c r="GW42">
        <v>1</v>
      </c>
      <c r="GX42">
        <f t="shared" si="85"/>
        <v>0</v>
      </c>
      <c r="HA42">
        <v>0</v>
      </c>
      <c r="HB42">
        <v>0</v>
      </c>
      <c r="HC42">
        <f t="shared" si="86"/>
        <v>0</v>
      </c>
      <c r="HE42" t="s">
        <v>3</v>
      </c>
      <c r="HF42" t="s">
        <v>3</v>
      </c>
      <c r="HM42" t="s">
        <v>3</v>
      </c>
      <c r="HN42" t="s">
        <v>135</v>
      </c>
      <c r="HO42" t="s">
        <v>136</v>
      </c>
      <c r="HP42" t="s">
        <v>133</v>
      </c>
      <c r="HQ42" t="s">
        <v>133</v>
      </c>
      <c r="IK42">
        <v>0</v>
      </c>
    </row>
    <row r="43" spans="1:245" x14ac:dyDescent="0.2">
      <c r="A43">
        <v>17</v>
      </c>
      <c r="B43">
        <v>1</v>
      </c>
      <c r="C43">
        <f>ROW(SmtRes!A56)</f>
        <v>56</v>
      </c>
      <c r="D43">
        <f>ROW(EtalonRes!A56)</f>
        <v>56</v>
      </c>
      <c r="E43" t="s">
        <v>137</v>
      </c>
      <c r="F43" t="s">
        <v>138</v>
      </c>
      <c r="G43" t="s">
        <v>139</v>
      </c>
      <c r="H43" t="s">
        <v>19</v>
      </c>
      <c r="I43">
        <f>ROUND(6/100,9)</f>
        <v>0.06</v>
      </c>
      <c r="J43">
        <v>0</v>
      </c>
      <c r="K43">
        <f>ROUND(6/100,9)</f>
        <v>0.06</v>
      </c>
      <c r="O43">
        <f t="shared" si="54"/>
        <v>106.19</v>
      </c>
      <c r="P43">
        <f t="shared" si="55"/>
        <v>0.96</v>
      </c>
      <c r="Q43">
        <f t="shared" si="56"/>
        <v>23.16</v>
      </c>
      <c r="R43">
        <f t="shared" si="57"/>
        <v>1.52</v>
      </c>
      <c r="S43">
        <f t="shared" si="58"/>
        <v>82.07</v>
      </c>
      <c r="T43">
        <f t="shared" si="59"/>
        <v>0</v>
      </c>
      <c r="U43">
        <f t="shared" si="60"/>
        <v>0.29280149999999999</v>
      </c>
      <c r="V43">
        <f t="shared" si="61"/>
        <v>4.3124999999999995E-3</v>
      </c>
      <c r="W43">
        <f t="shared" si="62"/>
        <v>0</v>
      </c>
      <c r="X43">
        <f t="shared" si="63"/>
        <v>83.59</v>
      </c>
      <c r="Y43">
        <f t="shared" si="64"/>
        <v>34.82</v>
      </c>
      <c r="AA43">
        <v>145033679</v>
      </c>
      <c r="AB43">
        <f t="shared" si="65"/>
        <v>78.45</v>
      </c>
      <c r="AC43">
        <f>ROUND((ES43),2)</f>
        <v>1.84</v>
      </c>
      <c r="AD43">
        <f>ROUND((((((ET43*1.25)*1.15))-(((EU43*1.25)*1.15)))+AE43),2)</f>
        <v>31.82</v>
      </c>
      <c r="AE43">
        <f>ROUND((((EU43*1.25)*1.15)),2)</f>
        <v>0.83</v>
      </c>
      <c r="AF43">
        <f>ROUND((((EV43*1.15)*1.15)),2)</f>
        <v>44.79</v>
      </c>
      <c r="AG43">
        <f t="shared" si="66"/>
        <v>0</v>
      </c>
      <c r="AH43">
        <f>(((EW43*1.15)*1.15))</f>
        <v>4.8800249999999998</v>
      </c>
      <c r="AI43">
        <f>(((EX43*1.25)*1.15))</f>
        <v>7.1874999999999994E-2</v>
      </c>
      <c r="AJ43">
        <f t="shared" si="67"/>
        <v>0</v>
      </c>
      <c r="AK43">
        <v>57.85</v>
      </c>
      <c r="AL43">
        <v>1.84</v>
      </c>
      <c r="AM43">
        <v>22.14</v>
      </c>
      <c r="AN43">
        <v>0.57999999999999996</v>
      </c>
      <c r="AO43">
        <v>33.869999999999997</v>
      </c>
      <c r="AP43">
        <v>0</v>
      </c>
      <c r="AQ43">
        <v>3.69</v>
      </c>
      <c r="AR43">
        <v>0.05</v>
      </c>
      <c r="AS43">
        <v>0</v>
      </c>
      <c r="AT43">
        <v>100</v>
      </c>
      <c r="AU43">
        <v>41.65</v>
      </c>
      <c r="AV43">
        <v>1</v>
      </c>
      <c r="AW43">
        <v>1</v>
      </c>
      <c r="AZ43">
        <v>1</v>
      </c>
      <c r="BA43">
        <v>30.54</v>
      </c>
      <c r="BB43">
        <v>12.13</v>
      </c>
      <c r="BC43">
        <v>8.7100000000000009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140</v>
      </c>
      <c r="BM43">
        <v>15001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v>30.54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100</v>
      </c>
      <c r="CA43">
        <v>49</v>
      </c>
      <c r="CB43" t="s">
        <v>3</v>
      </c>
      <c r="CE43">
        <v>0</v>
      </c>
      <c r="CF43">
        <v>0</v>
      </c>
      <c r="CG43">
        <v>0</v>
      </c>
      <c r="CM43">
        <v>0</v>
      </c>
      <c r="CN43" t="s">
        <v>1104</v>
      </c>
      <c r="CO43">
        <v>0</v>
      </c>
      <c r="CP43">
        <f t="shared" si="68"/>
        <v>106.19</v>
      </c>
      <c r="CQ43">
        <f t="shared" si="69"/>
        <v>16.026400000000002</v>
      </c>
      <c r="CR43">
        <f>(((((ET43*1.25)*1.15))*BB43-(((EU43*1.25)*1.15))*BS43)+AE43*BS43)</f>
        <v>385.93788750000004</v>
      </c>
      <c r="CS43">
        <f t="shared" si="70"/>
        <v>25.348199999999999</v>
      </c>
      <c r="CT43">
        <f t="shared" si="71"/>
        <v>1367.8866</v>
      </c>
      <c r="CU43">
        <f t="shared" si="72"/>
        <v>0</v>
      </c>
      <c r="CV43">
        <f t="shared" si="73"/>
        <v>4.8800249999999998</v>
      </c>
      <c r="CW43">
        <f t="shared" si="74"/>
        <v>7.1874999999999994E-2</v>
      </c>
      <c r="CX43">
        <f t="shared" si="75"/>
        <v>0</v>
      </c>
      <c r="CY43">
        <f t="shared" si="76"/>
        <v>83.589999999999975</v>
      </c>
      <c r="CZ43">
        <f t="shared" si="77"/>
        <v>34.815234999999994</v>
      </c>
      <c r="DC43" t="s">
        <v>3</v>
      </c>
      <c r="DD43" t="s">
        <v>3</v>
      </c>
      <c r="DE43" t="s">
        <v>90</v>
      </c>
      <c r="DF43" t="s">
        <v>90</v>
      </c>
      <c r="DG43" t="s">
        <v>91</v>
      </c>
      <c r="DH43" t="s">
        <v>3</v>
      </c>
      <c r="DI43" t="s">
        <v>91</v>
      </c>
      <c r="DJ43" t="s">
        <v>90</v>
      </c>
      <c r="DK43" t="s">
        <v>3</v>
      </c>
      <c r="DL43" t="s">
        <v>3</v>
      </c>
      <c r="DM43" t="s">
        <v>92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19</v>
      </c>
      <c r="DW43" t="s">
        <v>19</v>
      </c>
      <c r="DX43">
        <v>100</v>
      </c>
      <c r="DZ43" t="s">
        <v>3</v>
      </c>
      <c r="EA43" t="s">
        <v>3</v>
      </c>
      <c r="EB43" t="s">
        <v>3</v>
      </c>
      <c r="EC43" t="s">
        <v>3</v>
      </c>
      <c r="EE43">
        <v>140625061</v>
      </c>
      <c r="EF43">
        <v>2</v>
      </c>
      <c r="EG43" t="s">
        <v>22</v>
      </c>
      <c r="EH43">
        <v>15</v>
      </c>
      <c r="EI43" t="s">
        <v>141</v>
      </c>
      <c r="EJ43">
        <v>1</v>
      </c>
      <c r="EK43">
        <v>15001</v>
      </c>
      <c r="EL43" t="s">
        <v>141</v>
      </c>
      <c r="EM43" t="s">
        <v>142</v>
      </c>
      <c r="EO43" t="s">
        <v>95</v>
      </c>
      <c r="EQ43">
        <v>0</v>
      </c>
      <c r="ER43">
        <v>57.85</v>
      </c>
      <c r="ES43">
        <v>1.84</v>
      </c>
      <c r="ET43">
        <v>22.14</v>
      </c>
      <c r="EU43">
        <v>0.57999999999999996</v>
      </c>
      <c r="EV43">
        <v>33.869999999999997</v>
      </c>
      <c r="EW43">
        <v>3.69</v>
      </c>
      <c r="EX43">
        <v>0.05</v>
      </c>
      <c r="EY43">
        <v>0</v>
      </c>
      <c r="FQ43">
        <v>0</v>
      </c>
      <c r="FR43">
        <f t="shared" si="78"/>
        <v>0</v>
      </c>
      <c r="FS43">
        <v>0</v>
      </c>
      <c r="FX43">
        <v>100</v>
      </c>
      <c r="FY43">
        <v>41.65</v>
      </c>
      <c r="GA43" t="s">
        <v>3</v>
      </c>
      <c r="GD43">
        <v>1</v>
      </c>
      <c r="GF43">
        <v>2114869218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79"/>
        <v>0</v>
      </c>
      <c r="GM43">
        <f t="shared" si="80"/>
        <v>224.6</v>
      </c>
      <c r="GN43">
        <f t="shared" si="81"/>
        <v>224.6</v>
      </c>
      <c r="GO43">
        <f t="shared" si="82"/>
        <v>0</v>
      </c>
      <c r="GP43">
        <f t="shared" si="83"/>
        <v>0</v>
      </c>
      <c r="GR43">
        <v>0</v>
      </c>
      <c r="GS43">
        <v>3</v>
      </c>
      <c r="GT43">
        <v>0</v>
      </c>
      <c r="GU43" t="s">
        <v>3</v>
      </c>
      <c r="GV43">
        <f t="shared" si="84"/>
        <v>0</v>
      </c>
      <c r="GW43">
        <v>1</v>
      </c>
      <c r="GX43">
        <f t="shared" si="85"/>
        <v>0</v>
      </c>
      <c r="HA43">
        <v>0</v>
      </c>
      <c r="HB43">
        <v>0</v>
      </c>
      <c r="HC43">
        <f t="shared" si="86"/>
        <v>0</v>
      </c>
      <c r="HE43" t="s">
        <v>3</v>
      </c>
      <c r="HF43" t="s">
        <v>3</v>
      </c>
      <c r="HM43" t="s">
        <v>3</v>
      </c>
      <c r="HN43" t="s">
        <v>143</v>
      </c>
      <c r="HO43" t="s">
        <v>144</v>
      </c>
      <c r="HP43" t="s">
        <v>141</v>
      </c>
      <c r="HQ43" t="s">
        <v>141</v>
      </c>
      <c r="IK43">
        <v>0</v>
      </c>
    </row>
    <row r="44" spans="1:245" x14ac:dyDescent="0.2">
      <c r="A44">
        <v>17</v>
      </c>
      <c r="B44">
        <v>1</v>
      </c>
      <c r="E44" t="s">
        <v>145</v>
      </c>
      <c r="F44" t="s">
        <v>46</v>
      </c>
      <c r="G44" t="s">
        <v>146</v>
      </c>
      <c r="H44" t="s">
        <v>147</v>
      </c>
      <c r="I44">
        <f>ROUND(I43*25,9)</f>
        <v>1.5</v>
      </c>
      <c r="J44">
        <v>0</v>
      </c>
      <c r="K44">
        <f>ROUND(I43*25,9)</f>
        <v>1.5</v>
      </c>
      <c r="O44">
        <f t="shared" si="54"/>
        <v>121.9</v>
      </c>
      <c r="P44">
        <f t="shared" si="55"/>
        <v>121.9</v>
      </c>
      <c r="Q44">
        <f t="shared" si="56"/>
        <v>0</v>
      </c>
      <c r="R44">
        <f t="shared" si="57"/>
        <v>0</v>
      </c>
      <c r="S44">
        <f t="shared" si="58"/>
        <v>0</v>
      </c>
      <c r="T44">
        <f t="shared" si="59"/>
        <v>0</v>
      </c>
      <c r="U44">
        <f t="shared" si="60"/>
        <v>0</v>
      </c>
      <c r="V44">
        <f t="shared" si="61"/>
        <v>0</v>
      </c>
      <c r="W44">
        <f t="shared" si="62"/>
        <v>0</v>
      </c>
      <c r="X44">
        <f t="shared" si="63"/>
        <v>0</v>
      </c>
      <c r="Y44">
        <f t="shared" si="64"/>
        <v>0</v>
      </c>
      <c r="AA44">
        <v>145033679</v>
      </c>
      <c r="AB44">
        <f t="shared" si="65"/>
        <v>9.33</v>
      </c>
      <c r="AC44">
        <f>ROUND((ES44),2)</f>
        <v>9.33</v>
      </c>
      <c r="AD44">
        <f>ROUND((((ET44)-(EU44))+AE44),2)</f>
        <v>0</v>
      </c>
      <c r="AE44">
        <f>ROUND((EU44),2)</f>
        <v>0</v>
      </c>
      <c r="AF44">
        <f>ROUND((EV44),2)</f>
        <v>0</v>
      </c>
      <c r="AG44">
        <f t="shared" si="66"/>
        <v>0</v>
      </c>
      <c r="AH44">
        <f>(EW44)</f>
        <v>0</v>
      </c>
      <c r="AI44">
        <f>(EX44)</f>
        <v>0</v>
      </c>
      <c r="AJ44">
        <f t="shared" si="67"/>
        <v>0</v>
      </c>
      <c r="AK44">
        <v>9.33</v>
      </c>
      <c r="AL44">
        <v>9.33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8.7100000000000009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3</v>
      </c>
      <c r="BM44">
        <v>1100</v>
      </c>
      <c r="BN44">
        <v>0</v>
      </c>
      <c r="BO44" t="s">
        <v>3</v>
      </c>
      <c r="BP44">
        <v>0</v>
      </c>
      <c r="BQ44">
        <v>8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0</v>
      </c>
      <c r="CA44">
        <v>0</v>
      </c>
      <c r="CB44" t="s">
        <v>3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68"/>
        <v>121.9</v>
      </c>
      <c r="CQ44">
        <f t="shared" si="69"/>
        <v>81.264300000000006</v>
      </c>
      <c r="CR44">
        <f>(((ET44)*BB44-(EU44)*BS44)+AE44*BS44)</f>
        <v>0</v>
      </c>
      <c r="CS44">
        <f t="shared" si="70"/>
        <v>0</v>
      </c>
      <c r="CT44">
        <f t="shared" si="71"/>
        <v>0</v>
      </c>
      <c r="CU44">
        <f t="shared" si="72"/>
        <v>0</v>
      </c>
      <c r="CV44">
        <f t="shared" si="73"/>
        <v>0</v>
      </c>
      <c r="CW44">
        <f t="shared" si="74"/>
        <v>0</v>
      </c>
      <c r="CX44">
        <f t="shared" si="75"/>
        <v>0</v>
      </c>
      <c r="CY44">
        <f t="shared" si="76"/>
        <v>0</v>
      </c>
      <c r="CZ44">
        <f t="shared" si="77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1002</v>
      </c>
      <c r="DV44" t="s">
        <v>147</v>
      </c>
      <c r="DW44" t="s">
        <v>147</v>
      </c>
      <c r="DX44">
        <v>1</v>
      </c>
      <c r="DZ44" t="s">
        <v>3</v>
      </c>
      <c r="EA44" t="s">
        <v>3</v>
      </c>
      <c r="EB44" t="s">
        <v>3</v>
      </c>
      <c r="EC44" t="s">
        <v>3</v>
      </c>
      <c r="EE44">
        <v>140625274</v>
      </c>
      <c r="EF44">
        <v>8</v>
      </c>
      <c r="EG44" t="s">
        <v>48</v>
      </c>
      <c r="EH44">
        <v>0</v>
      </c>
      <c r="EI44" t="s">
        <v>3</v>
      </c>
      <c r="EJ44">
        <v>1</v>
      </c>
      <c r="EK44">
        <v>1100</v>
      </c>
      <c r="EL44" t="s">
        <v>49</v>
      </c>
      <c r="EM44" t="s">
        <v>50</v>
      </c>
      <c r="EO44" t="s">
        <v>3</v>
      </c>
      <c r="EQ44">
        <v>0</v>
      </c>
      <c r="ER44">
        <v>9.33</v>
      </c>
      <c r="ES44">
        <v>9.33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5</v>
      </c>
      <c r="FC44">
        <v>1</v>
      </c>
      <c r="FD44">
        <v>18</v>
      </c>
      <c r="FF44">
        <v>91</v>
      </c>
      <c r="FQ44">
        <v>0</v>
      </c>
      <c r="FR44">
        <f t="shared" si="78"/>
        <v>0</v>
      </c>
      <c r="FS44">
        <v>0</v>
      </c>
      <c r="FX44">
        <v>0</v>
      </c>
      <c r="FY44">
        <v>0</v>
      </c>
      <c r="GA44" t="s">
        <v>148</v>
      </c>
      <c r="GD44">
        <v>1</v>
      </c>
      <c r="GF44">
        <v>-953561901</v>
      </c>
      <c r="GG44">
        <v>2</v>
      </c>
      <c r="GH44">
        <v>3</v>
      </c>
      <c r="GI44">
        <v>4</v>
      </c>
      <c r="GJ44">
        <v>0</v>
      </c>
      <c r="GK44">
        <v>0</v>
      </c>
      <c r="GL44">
        <f t="shared" si="79"/>
        <v>0</v>
      </c>
      <c r="GM44">
        <f t="shared" si="80"/>
        <v>121.9</v>
      </c>
      <c r="GN44">
        <f t="shared" si="81"/>
        <v>121.9</v>
      </c>
      <c r="GO44">
        <f t="shared" si="82"/>
        <v>0</v>
      </c>
      <c r="GP44">
        <f t="shared" si="83"/>
        <v>0</v>
      </c>
      <c r="GR44">
        <v>1</v>
      </c>
      <c r="GS44">
        <v>1</v>
      </c>
      <c r="GT44">
        <v>0</v>
      </c>
      <c r="GU44" t="s">
        <v>3</v>
      </c>
      <c r="GV44">
        <f t="shared" si="84"/>
        <v>0</v>
      </c>
      <c r="GW44">
        <v>1</v>
      </c>
      <c r="GX44">
        <f t="shared" si="85"/>
        <v>0</v>
      </c>
      <c r="HA44">
        <v>0</v>
      </c>
      <c r="HB44">
        <v>0</v>
      </c>
      <c r="HC44">
        <f t="shared" si="86"/>
        <v>0</v>
      </c>
      <c r="HE44" t="s">
        <v>52</v>
      </c>
      <c r="HF44" t="s">
        <v>29</v>
      </c>
      <c r="HM44" t="s">
        <v>3</v>
      </c>
      <c r="HN44" t="s">
        <v>3</v>
      </c>
      <c r="HO44" t="s">
        <v>3</v>
      </c>
      <c r="HP44" t="s">
        <v>3</v>
      </c>
      <c r="HQ44" t="s">
        <v>3</v>
      </c>
      <c r="IK44">
        <v>0</v>
      </c>
    </row>
    <row r="45" spans="1:245" x14ac:dyDescent="0.2">
      <c r="A45">
        <v>17</v>
      </c>
      <c r="B45">
        <v>1</v>
      </c>
      <c r="C45">
        <f>ROW(SmtRes!A62)</f>
        <v>62</v>
      </c>
      <c r="D45">
        <f>ROW(EtalonRes!A62)</f>
        <v>62</v>
      </c>
      <c r="E45" t="s">
        <v>149</v>
      </c>
      <c r="F45" t="s">
        <v>150</v>
      </c>
      <c r="G45" t="s">
        <v>151</v>
      </c>
      <c r="H45" t="s">
        <v>19</v>
      </c>
      <c r="I45">
        <f>ROUND(6/100,9)</f>
        <v>0.06</v>
      </c>
      <c r="J45">
        <v>0</v>
      </c>
      <c r="K45">
        <f>ROUND(6/100,9)</f>
        <v>0.06</v>
      </c>
      <c r="O45">
        <f t="shared" si="54"/>
        <v>507.87</v>
      </c>
      <c r="P45">
        <f t="shared" si="55"/>
        <v>0</v>
      </c>
      <c r="Q45">
        <f t="shared" si="56"/>
        <v>11.78</v>
      </c>
      <c r="R45">
        <f t="shared" si="57"/>
        <v>6.74</v>
      </c>
      <c r="S45">
        <f t="shared" si="58"/>
        <v>496.09</v>
      </c>
      <c r="T45">
        <f t="shared" si="59"/>
        <v>0</v>
      </c>
      <c r="U45">
        <f t="shared" si="60"/>
        <v>1.7695049999999997</v>
      </c>
      <c r="V45">
        <f t="shared" si="61"/>
        <v>1.81125E-2</v>
      </c>
      <c r="W45">
        <f t="shared" si="62"/>
        <v>0</v>
      </c>
      <c r="X45">
        <f t="shared" si="63"/>
        <v>502.83</v>
      </c>
      <c r="Y45">
        <f t="shared" si="64"/>
        <v>209.43</v>
      </c>
      <c r="AA45">
        <v>145033679</v>
      </c>
      <c r="AB45">
        <f t="shared" si="65"/>
        <v>286.92</v>
      </c>
      <c r="AC45">
        <f>ROUND(((ES45*0)),2)</f>
        <v>0</v>
      </c>
      <c r="AD45">
        <f>ROUND((((((ET45*1.25)*1.15))-(((EU45*1.25)*1.15)))+AE45),2)</f>
        <v>16.190000000000001</v>
      </c>
      <c r="AE45">
        <f>ROUND((((EU45*1.25)*1.15)),2)</f>
        <v>3.68</v>
      </c>
      <c r="AF45">
        <f>ROUND((((EV45*1.15)*1.15)),2)</f>
        <v>270.73</v>
      </c>
      <c r="AG45">
        <f t="shared" si="66"/>
        <v>0</v>
      </c>
      <c r="AH45">
        <f>(((EW45*1.15)*1.15))</f>
        <v>29.491749999999996</v>
      </c>
      <c r="AI45">
        <f>(((EX45*1.25)*1.15))</f>
        <v>0.301875</v>
      </c>
      <c r="AJ45">
        <f t="shared" si="67"/>
        <v>0</v>
      </c>
      <c r="AK45">
        <v>1828.29</v>
      </c>
      <c r="AL45">
        <v>1612.32</v>
      </c>
      <c r="AM45">
        <v>11.26</v>
      </c>
      <c r="AN45">
        <v>2.56</v>
      </c>
      <c r="AO45">
        <v>204.71</v>
      </c>
      <c r="AP45">
        <v>0</v>
      </c>
      <c r="AQ45">
        <v>22.3</v>
      </c>
      <c r="AR45">
        <v>0.21</v>
      </c>
      <c r="AS45">
        <v>0</v>
      </c>
      <c r="AT45">
        <v>100</v>
      </c>
      <c r="AU45">
        <v>41.65</v>
      </c>
      <c r="AV45">
        <v>1</v>
      </c>
      <c r="AW45">
        <v>1</v>
      </c>
      <c r="AZ45">
        <v>1</v>
      </c>
      <c r="BA45">
        <v>30.54</v>
      </c>
      <c r="BB45">
        <v>12.13</v>
      </c>
      <c r="BC45">
        <v>8.7100000000000009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152</v>
      </c>
      <c r="BM45">
        <v>15001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v>30.54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100</v>
      </c>
      <c r="CA45">
        <v>49</v>
      </c>
      <c r="CB45" t="s">
        <v>3</v>
      </c>
      <c r="CE45">
        <v>0</v>
      </c>
      <c r="CF45">
        <v>0</v>
      </c>
      <c r="CG45">
        <v>0</v>
      </c>
      <c r="CM45">
        <v>0</v>
      </c>
      <c r="CN45" t="s">
        <v>1104</v>
      </c>
      <c r="CO45">
        <v>0</v>
      </c>
      <c r="CP45">
        <f t="shared" si="68"/>
        <v>507.86999999999995</v>
      </c>
      <c r="CQ45">
        <f t="shared" si="69"/>
        <v>0</v>
      </c>
      <c r="CR45">
        <f>(((((ET45*1.25)*1.15))*BB45-(((EU45*1.25)*1.15))*BS45)+AE45*BS45)</f>
        <v>196.33921249999997</v>
      </c>
      <c r="CS45">
        <f t="shared" si="70"/>
        <v>112.38720000000001</v>
      </c>
      <c r="CT45">
        <f t="shared" si="71"/>
        <v>8268.0941999999995</v>
      </c>
      <c r="CU45">
        <f t="shared" si="72"/>
        <v>0</v>
      </c>
      <c r="CV45">
        <f t="shared" si="73"/>
        <v>29.491749999999996</v>
      </c>
      <c r="CW45">
        <f t="shared" si="74"/>
        <v>0.301875</v>
      </c>
      <c r="CX45">
        <f t="shared" si="75"/>
        <v>0</v>
      </c>
      <c r="CY45">
        <f t="shared" si="76"/>
        <v>502.83</v>
      </c>
      <c r="CZ45">
        <f t="shared" si="77"/>
        <v>209.42869499999998</v>
      </c>
      <c r="DC45" t="s">
        <v>3</v>
      </c>
      <c r="DD45" t="s">
        <v>153</v>
      </c>
      <c r="DE45" t="s">
        <v>90</v>
      </c>
      <c r="DF45" t="s">
        <v>90</v>
      </c>
      <c r="DG45" t="s">
        <v>91</v>
      </c>
      <c r="DH45" t="s">
        <v>3</v>
      </c>
      <c r="DI45" t="s">
        <v>91</v>
      </c>
      <c r="DJ45" t="s">
        <v>90</v>
      </c>
      <c r="DK45" t="s">
        <v>3</v>
      </c>
      <c r="DL45" t="s">
        <v>3</v>
      </c>
      <c r="DM45" t="s">
        <v>92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19</v>
      </c>
      <c r="DW45" t="s">
        <v>19</v>
      </c>
      <c r="DX45">
        <v>100</v>
      </c>
      <c r="DZ45" t="s">
        <v>3</v>
      </c>
      <c r="EA45" t="s">
        <v>3</v>
      </c>
      <c r="EB45" t="s">
        <v>3</v>
      </c>
      <c r="EC45" t="s">
        <v>3</v>
      </c>
      <c r="EE45">
        <v>140625061</v>
      </c>
      <c r="EF45">
        <v>2</v>
      </c>
      <c r="EG45" t="s">
        <v>22</v>
      </c>
      <c r="EH45">
        <v>15</v>
      </c>
      <c r="EI45" t="s">
        <v>141</v>
      </c>
      <c r="EJ45">
        <v>1</v>
      </c>
      <c r="EK45">
        <v>15001</v>
      </c>
      <c r="EL45" t="s">
        <v>141</v>
      </c>
      <c r="EM45" t="s">
        <v>142</v>
      </c>
      <c r="EO45" t="s">
        <v>95</v>
      </c>
      <c r="EQ45">
        <v>0</v>
      </c>
      <c r="ER45">
        <v>1828.29</v>
      </c>
      <c r="ES45">
        <v>1612.32</v>
      </c>
      <c r="ET45">
        <v>11.26</v>
      </c>
      <c r="EU45">
        <v>2.56</v>
      </c>
      <c r="EV45">
        <v>204.71</v>
      </c>
      <c r="EW45">
        <v>22.3</v>
      </c>
      <c r="EX45">
        <v>0.21</v>
      </c>
      <c r="EY45">
        <v>0</v>
      </c>
      <c r="FQ45">
        <v>0</v>
      </c>
      <c r="FR45">
        <f t="shared" si="78"/>
        <v>0</v>
      </c>
      <c r="FS45">
        <v>0</v>
      </c>
      <c r="FX45">
        <v>100</v>
      </c>
      <c r="FY45">
        <v>41.65</v>
      </c>
      <c r="GA45" t="s">
        <v>3</v>
      </c>
      <c r="GD45">
        <v>1</v>
      </c>
      <c r="GF45">
        <v>-616178662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79"/>
        <v>0</v>
      </c>
      <c r="GM45">
        <f t="shared" si="80"/>
        <v>1220.1300000000001</v>
      </c>
      <c r="GN45">
        <f t="shared" si="81"/>
        <v>1220.1300000000001</v>
      </c>
      <c r="GO45">
        <f t="shared" si="82"/>
        <v>0</v>
      </c>
      <c r="GP45">
        <f t="shared" si="83"/>
        <v>0</v>
      </c>
      <c r="GR45">
        <v>0</v>
      </c>
      <c r="GS45">
        <v>3</v>
      </c>
      <c r="GT45">
        <v>0</v>
      </c>
      <c r="GU45" t="s">
        <v>3</v>
      </c>
      <c r="GV45">
        <f t="shared" si="84"/>
        <v>0</v>
      </c>
      <c r="GW45">
        <v>1</v>
      </c>
      <c r="GX45">
        <f t="shared" si="85"/>
        <v>0</v>
      </c>
      <c r="HA45">
        <v>0</v>
      </c>
      <c r="HB45">
        <v>0</v>
      </c>
      <c r="HC45">
        <f t="shared" si="86"/>
        <v>0</v>
      </c>
      <c r="HE45" t="s">
        <v>3</v>
      </c>
      <c r="HF45" t="s">
        <v>3</v>
      </c>
      <c r="HM45" t="s">
        <v>3</v>
      </c>
      <c r="HN45" t="s">
        <v>143</v>
      </c>
      <c r="HO45" t="s">
        <v>144</v>
      </c>
      <c r="HP45" t="s">
        <v>141</v>
      </c>
      <c r="HQ45" t="s">
        <v>141</v>
      </c>
      <c r="IK45">
        <v>0</v>
      </c>
    </row>
    <row r="46" spans="1:245" x14ac:dyDescent="0.2">
      <c r="A46">
        <v>17</v>
      </c>
      <c r="B46">
        <v>1</v>
      </c>
      <c r="E46" t="s">
        <v>154</v>
      </c>
      <c r="F46" t="s">
        <v>46</v>
      </c>
      <c r="G46" t="s">
        <v>155</v>
      </c>
      <c r="H46" t="s">
        <v>131</v>
      </c>
      <c r="I46">
        <f>ROUND(I45*110,9)</f>
        <v>6.6</v>
      </c>
      <c r="J46">
        <v>0</v>
      </c>
      <c r="K46">
        <f>ROUND(I45*110,9)</f>
        <v>6.6</v>
      </c>
      <c r="O46">
        <f t="shared" si="54"/>
        <v>518.52</v>
      </c>
      <c r="P46">
        <f t="shared" si="55"/>
        <v>518.52</v>
      </c>
      <c r="Q46">
        <f t="shared" si="56"/>
        <v>0</v>
      </c>
      <c r="R46">
        <f t="shared" si="57"/>
        <v>0</v>
      </c>
      <c r="S46">
        <f t="shared" si="58"/>
        <v>0</v>
      </c>
      <c r="T46">
        <f t="shared" si="59"/>
        <v>0</v>
      </c>
      <c r="U46">
        <f t="shared" si="60"/>
        <v>0</v>
      </c>
      <c r="V46">
        <f t="shared" si="61"/>
        <v>0</v>
      </c>
      <c r="W46">
        <f t="shared" si="62"/>
        <v>0</v>
      </c>
      <c r="X46">
        <f t="shared" si="63"/>
        <v>0</v>
      </c>
      <c r="Y46">
        <f t="shared" si="64"/>
        <v>0</v>
      </c>
      <c r="AA46">
        <v>145033679</v>
      </c>
      <c r="AB46">
        <f t="shared" si="65"/>
        <v>9.02</v>
      </c>
      <c r="AC46">
        <f>ROUND((ES46),2)</f>
        <v>9.02</v>
      </c>
      <c r="AD46">
        <f>ROUND((((ET46)-(EU46))+AE46),2)</f>
        <v>0</v>
      </c>
      <c r="AE46">
        <f>ROUND((EU46),2)</f>
        <v>0</v>
      </c>
      <c r="AF46">
        <f>ROUND((EV46),2)</f>
        <v>0</v>
      </c>
      <c r="AG46">
        <f t="shared" si="66"/>
        <v>0</v>
      </c>
      <c r="AH46">
        <f>(EW46)</f>
        <v>0</v>
      </c>
      <c r="AI46">
        <f>(EX46)</f>
        <v>0</v>
      </c>
      <c r="AJ46">
        <f t="shared" si="67"/>
        <v>0</v>
      </c>
      <c r="AK46">
        <v>9.02</v>
      </c>
      <c r="AL46">
        <v>9.02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8.7100000000000009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3</v>
      </c>
      <c r="BM46">
        <v>1100</v>
      </c>
      <c r="BN46">
        <v>0</v>
      </c>
      <c r="BO46" t="s">
        <v>3</v>
      </c>
      <c r="BP46">
        <v>0</v>
      </c>
      <c r="BQ46">
        <v>8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0</v>
      </c>
      <c r="CA46">
        <v>0</v>
      </c>
      <c r="CB46" t="s">
        <v>3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68"/>
        <v>518.52</v>
      </c>
      <c r="CQ46">
        <f t="shared" si="69"/>
        <v>78.5642</v>
      </c>
      <c r="CR46">
        <f>(((ET46)*BB46-(EU46)*BS46)+AE46*BS46)</f>
        <v>0</v>
      </c>
      <c r="CS46">
        <f t="shared" si="70"/>
        <v>0</v>
      </c>
      <c r="CT46">
        <f t="shared" si="71"/>
        <v>0</v>
      </c>
      <c r="CU46">
        <f t="shared" si="72"/>
        <v>0</v>
      </c>
      <c r="CV46">
        <f t="shared" si="73"/>
        <v>0</v>
      </c>
      <c r="CW46">
        <f t="shared" si="74"/>
        <v>0</v>
      </c>
      <c r="CX46">
        <f t="shared" si="75"/>
        <v>0</v>
      </c>
      <c r="CY46">
        <f t="shared" si="76"/>
        <v>0</v>
      </c>
      <c r="CZ46">
        <f t="shared" si="77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1005</v>
      </c>
      <c r="DV46" t="s">
        <v>131</v>
      </c>
      <c r="DW46" t="s">
        <v>131</v>
      </c>
      <c r="DX46">
        <v>1</v>
      </c>
      <c r="DZ46" t="s">
        <v>3</v>
      </c>
      <c r="EA46" t="s">
        <v>3</v>
      </c>
      <c r="EB46" t="s">
        <v>3</v>
      </c>
      <c r="EC46" t="s">
        <v>3</v>
      </c>
      <c r="EE46">
        <v>140625274</v>
      </c>
      <c r="EF46">
        <v>8</v>
      </c>
      <c r="EG46" t="s">
        <v>48</v>
      </c>
      <c r="EH46">
        <v>0</v>
      </c>
      <c r="EI46" t="s">
        <v>3</v>
      </c>
      <c r="EJ46">
        <v>1</v>
      </c>
      <c r="EK46">
        <v>1100</v>
      </c>
      <c r="EL46" t="s">
        <v>49</v>
      </c>
      <c r="EM46" t="s">
        <v>50</v>
      </c>
      <c r="EO46" t="s">
        <v>3</v>
      </c>
      <c r="EQ46">
        <v>0</v>
      </c>
      <c r="ER46">
        <v>9.02</v>
      </c>
      <c r="ES46">
        <v>9.02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5</v>
      </c>
      <c r="FC46">
        <v>1</v>
      </c>
      <c r="FD46">
        <v>18</v>
      </c>
      <c r="FF46">
        <v>88</v>
      </c>
      <c r="FQ46">
        <v>0</v>
      </c>
      <c r="FR46">
        <f t="shared" si="78"/>
        <v>0</v>
      </c>
      <c r="FS46">
        <v>0</v>
      </c>
      <c r="FX46">
        <v>0</v>
      </c>
      <c r="FY46">
        <v>0</v>
      </c>
      <c r="GA46" t="s">
        <v>156</v>
      </c>
      <c r="GD46">
        <v>1</v>
      </c>
      <c r="GF46">
        <v>-269287237</v>
      </c>
      <c r="GG46">
        <v>2</v>
      </c>
      <c r="GH46">
        <v>3</v>
      </c>
      <c r="GI46">
        <v>4</v>
      </c>
      <c r="GJ46">
        <v>0</v>
      </c>
      <c r="GK46">
        <v>0</v>
      </c>
      <c r="GL46">
        <f t="shared" si="79"/>
        <v>0</v>
      </c>
      <c r="GM46">
        <f t="shared" si="80"/>
        <v>518.52</v>
      </c>
      <c r="GN46">
        <f t="shared" si="81"/>
        <v>518.52</v>
      </c>
      <c r="GO46">
        <f t="shared" si="82"/>
        <v>0</v>
      </c>
      <c r="GP46">
        <f t="shared" si="83"/>
        <v>0</v>
      </c>
      <c r="GR46">
        <v>1</v>
      </c>
      <c r="GS46">
        <v>1</v>
      </c>
      <c r="GT46">
        <v>0</v>
      </c>
      <c r="GU46" t="s">
        <v>3</v>
      </c>
      <c r="GV46">
        <f t="shared" si="84"/>
        <v>0</v>
      </c>
      <c r="GW46">
        <v>1</v>
      </c>
      <c r="GX46">
        <f t="shared" si="85"/>
        <v>0</v>
      </c>
      <c r="HA46">
        <v>0</v>
      </c>
      <c r="HB46">
        <v>0</v>
      </c>
      <c r="HC46">
        <f t="shared" si="86"/>
        <v>0</v>
      </c>
      <c r="HE46" t="s">
        <v>52</v>
      </c>
      <c r="HF46" t="s">
        <v>29</v>
      </c>
      <c r="HM46" t="s">
        <v>3</v>
      </c>
      <c r="HN46" t="s">
        <v>3</v>
      </c>
      <c r="HO46" t="s">
        <v>3</v>
      </c>
      <c r="HP46" t="s">
        <v>3</v>
      </c>
      <c r="HQ46" t="s">
        <v>3</v>
      </c>
      <c r="IK46">
        <v>0</v>
      </c>
    </row>
    <row r="47" spans="1:245" x14ac:dyDescent="0.2">
      <c r="A47">
        <v>17</v>
      </c>
      <c r="B47">
        <v>1</v>
      </c>
      <c r="E47" t="s">
        <v>157</v>
      </c>
      <c r="F47" t="s">
        <v>46</v>
      </c>
      <c r="G47" t="s">
        <v>158</v>
      </c>
      <c r="H47" t="s">
        <v>100</v>
      </c>
      <c r="I47">
        <f>ROUND(I45*1150,9)</f>
        <v>69</v>
      </c>
      <c r="J47">
        <v>0</v>
      </c>
      <c r="K47">
        <f>ROUND(I45*1150,9)</f>
        <v>69</v>
      </c>
      <c r="O47">
        <f t="shared" si="54"/>
        <v>90.15</v>
      </c>
      <c r="P47">
        <f t="shared" si="55"/>
        <v>90.15</v>
      </c>
      <c r="Q47">
        <f t="shared" si="56"/>
        <v>0</v>
      </c>
      <c r="R47">
        <f t="shared" si="57"/>
        <v>0</v>
      </c>
      <c r="S47">
        <f t="shared" si="58"/>
        <v>0</v>
      </c>
      <c r="T47">
        <f t="shared" si="59"/>
        <v>0</v>
      </c>
      <c r="U47">
        <f t="shared" si="60"/>
        <v>0</v>
      </c>
      <c r="V47">
        <f t="shared" si="61"/>
        <v>0</v>
      </c>
      <c r="W47">
        <f t="shared" si="62"/>
        <v>0</v>
      </c>
      <c r="X47">
        <f t="shared" si="63"/>
        <v>0</v>
      </c>
      <c r="Y47">
        <f t="shared" si="64"/>
        <v>0</v>
      </c>
      <c r="AA47">
        <v>145033679</v>
      </c>
      <c r="AB47">
        <f t="shared" si="65"/>
        <v>0.15</v>
      </c>
      <c r="AC47">
        <f>ROUND((ES47),2)</f>
        <v>0.15</v>
      </c>
      <c r="AD47">
        <f>ROUND((((ET47)-(EU47))+AE47),2)</f>
        <v>0</v>
      </c>
      <c r="AE47">
        <f>ROUND((EU47),2)</f>
        <v>0</v>
      </c>
      <c r="AF47">
        <f>ROUND((EV47),2)</f>
        <v>0</v>
      </c>
      <c r="AG47">
        <f t="shared" si="66"/>
        <v>0</v>
      </c>
      <c r="AH47">
        <f>(EW47)</f>
        <v>0</v>
      </c>
      <c r="AI47">
        <f>(EX47)</f>
        <v>0</v>
      </c>
      <c r="AJ47">
        <f t="shared" si="67"/>
        <v>0</v>
      </c>
      <c r="AK47">
        <v>0.15000000000000002</v>
      </c>
      <c r="AL47">
        <v>0.15000000000000002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8.7100000000000009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B47" t="s">
        <v>3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68"/>
        <v>90.15</v>
      </c>
      <c r="CQ47">
        <f t="shared" si="69"/>
        <v>1.3065</v>
      </c>
      <c r="CR47">
        <f>(((ET47)*BB47-(EU47)*BS47)+AE47*BS47)</f>
        <v>0</v>
      </c>
      <c r="CS47">
        <f t="shared" si="70"/>
        <v>0</v>
      </c>
      <c r="CT47">
        <f t="shared" si="71"/>
        <v>0</v>
      </c>
      <c r="CU47">
        <f t="shared" si="72"/>
        <v>0</v>
      </c>
      <c r="CV47">
        <f t="shared" si="73"/>
        <v>0</v>
      </c>
      <c r="CW47">
        <f t="shared" si="74"/>
        <v>0</v>
      </c>
      <c r="CX47">
        <f t="shared" si="75"/>
        <v>0</v>
      </c>
      <c r="CY47">
        <f t="shared" si="76"/>
        <v>0</v>
      </c>
      <c r="CZ47">
        <f t="shared" si="77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100</v>
      </c>
      <c r="DW47" t="s">
        <v>100</v>
      </c>
      <c r="DX47">
        <v>1</v>
      </c>
      <c r="DZ47" t="s">
        <v>3</v>
      </c>
      <c r="EA47" t="s">
        <v>3</v>
      </c>
      <c r="EB47" t="s">
        <v>3</v>
      </c>
      <c r="EC47" t="s">
        <v>3</v>
      </c>
      <c r="EE47">
        <v>140625274</v>
      </c>
      <c r="EF47">
        <v>8</v>
      </c>
      <c r="EG47" t="s">
        <v>48</v>
      </c>
      <c r="EH47">
        <v>0</v>
      </c>
      <c r="EI47" t="s">
        <v>3</v>
      </c>
      <c r="EJ47">
        <v>1</v>
      </c>
      <c r="EK47">
        <v>1100</v>
      </c>
      <c r="EL47" t="s">
        <v>49</v>
      </c>
      <c r="EM47" t="s">
        <v>50</v>
      </c>
      <c r="EO47" t="s">
        <v>3</v>
      </c>
      <c r="EQ47">
        <v>0</v>
      </c>
      <c r="ER47">
        <v>0.15000000000000002</v>
      </c>
      <c r="ES47">
        <v>0.15000000000000002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1</v>
      </c>
      <c r="FD47">
        <v>18</v>
      </c>
      <c r="FF47">
        <v>1.51</v>
      </c>
      <c r="FQ47">
        <v>0</v>
      </c>
      <c r="FR47">
        <f t="shared" si="78"/>
        <v>0</v>
      </c>
      <c r="FS47">
        <v>0</v>
      </c>
      <c r="FX47">
        <v>0</v>
      </c>
      <c r="FY47">
        <v>0</v>
      </c>
      <c r="GA47" t="s">
        <v>159</v>
      </c>
      <c r="GD47">
        <v>1</v>
      </c>
      <c r="GF47">
        <v>-62866764</v>
      </c>
      <c r="GG47">
        <v>2</v>
      </c>
      <c r="GH47">
        <v>3</v>
      </c>
      <c r="GI47">
        <v>4</v>
      </c>
      <c r="GJ47">
        <v>0</v>
      </c>
      <c r="GK47">
        <v>0</v>
      </c>
      <c r="GL47">
        <f t="shared" si="79"/>
        <v>0</v>
      </c>
      <c r="GM47">
        <f t="shared" si="80"/>
        <v>90.15</v>
      </c>
      <c r="GN47">
        <f t="shared" si="81"/>
        <v>90.15</v>
      </c>
      <c r="GO47">
        <f t="shared" si="82"/>
        <v>0</v>
      </c>
      <c r="GP47">
        <f t="shared" si="83"/>
        <v>0</v>
      </c>
      <c r="GR47">
        <v>1</v>
      </c>
      <c r="GS47">
        <v>1</v>
      </c>
      <c r="GT47">
        <v>0</v>
      </c>
      <c r="GU47" t="s">
        <v>3</v>
      </c>
      <c r="GV47">
        <f t="shared" si="84"/>
        <v>0</v>
      </c>
      <c r="GW47">
        <v>1</v>
      </c>
      <c r="GX47">
        <f t="shared" si="85"/>
        <v>0</v>
      </c>
      <c r="HA47">
        <v>0</v>
      </c>
      <c r="HB47">
        <v>0</v>
      </c>
      <c r="HC47">
        <f t="shared" si="86"/>
        <v>0</v>
      </c>
      <c r="HE47" t="s">
        <v>52</v>
      </c>
      <c r="HF47" t="s">
        <v>29</v>
      </c>
      <c r="HM47" t="s">
        <v>3</v>
      </c>
      <c r="HN47" t="s">
        <v>3</v>
      </c>
      <c r="HO47" t="s">
        <v>3</v>
      </c>
      <c r="HP47" t="s">
        <v>3</v>
      </c>
      <c r="HQ47" t="s">
        <v>3</v>
      </c>
      <c r="IK47">
        <v>0</v>
      </c>
    </row>
    <row r="48" spans="1:245" x14ac:dyDescent="0.2">
      <c r="A48">
        <v>17</v>
      </c>
      <c r="B48">
        <v>1</v>
      </c>
      <c r="C48">
        <f>ROW(SmtRes!A70)</f>
        <v>70</v>
      </c>
      <c r="D48">
        <f>ROW(EtalonRes!A70)</f>
        <v>70</v>
      </c>
      <c r="E48" t="s">
        <v>160</v>
      </c>
      <c r="F48" t="s">
        <v>161</v>
      </c>
      <c r="G48" t="s">
        <v>162</v>
      </c>
      <c r="H48" t="s">
        <v>19</v>
      </c>
      <c r="I48">
        <f>ROUND(6/100,9)</f>
        <v>0.06</v>
      </c>
      <c r="J48">
        <v>0</v>
      </c>
      <c r="K48">
        <f>ROUND(6/100,9)</f>
        <v>0.06</v>
      </c>
      <c r="O48">
        <f t="shared" si="54"/>
        <v>1632.83</v>
      </c>
      <c r="P48">
        <f t="shared" si="55"/>
        <v>147.57</v>
      </c>
      <c r="Q48">
        <f t="shared" si="56"/>
        <v>73.41</v>
      </c>
      <c r="R48">
        <f t="shared" si="57"/>
        <v>135.80000000000001</v>
      </c>
      <c r="S48">
        <f t="shared" si="58"/>
        <v>1411.85</v>
      </c>
      <c r="T48">
        <f t="shared" si="59"/>
        <v>0</v>
      </c>
      <c r="U48">
        <f t="shared" si="60"/>
        <v>4.3407899999999993</v>
      </c>
      <c r="V48">
        <f t="shared" si="61"/>
        <v>0.42848999999999998</v>
      </c>
      <c r="W48">
        <f t="shared" si="62"/>
        <v>0</v>
      </c>
      <c r="X48">
        <f t="shared" si="63"/>
        <v>1377.41</v>
      </c>
      <c r="Y48">
        <f t="shared" si="64"/>
        <v>680.97</v>
      </c>
      <c r="AA48">
        <v>145033679</v>
      </c>
      <c r="AB48">
        <f t="shared" si="65"/>
        <v>1153.72</v>
      </c>
      <c r="AC48">
        <f>ROUND((ES48),2)</f>
        <v>282.37</v>
      </c>
      <c r="AD48">
        <f>ROUND(((((ET48*1.15))-((EU48*1.15)))+AE48),2)</f>
        <v>100.86</v>
      </c>
      <c r="AE48">
        <f>ROUND(((EU48*1.15)),2)</f>
        <v>74.11</v>
      </c>
      <c r="AF48">
        <f>ROUND(((EV48*1.15)),2)</f>
        <v>770.49</v>
      </c>
      <c r="AG48">
        <f t="shared" si="66"/>
        <v>0</v>
      </c>
      <c r="AH48">
        <f>((EW48*1.15))</f>
        <v>72.346499999999992</v>
      </c>
      <c r="AI48">
        <f>((EX48*1.15))</f>
        <v>7.1414999999999997</v>
      </c>
      <c r="AJ48">
        <f t="shared" si="67"/>
        <v>0</v>
      </c>
      <c r="AK48">
        <v>1040.06</v>
      </c>
      <c r="AL48">
        <v>282.37</v>
      </c>
      <c r="AM48">
        <v>87.7</v>
      </c>
      <c r="AN48">
        <v>64.44</v>
      </c>
      <c r="AO48">
        <v>669.99</v>
      </c>
      <c r="AP48">
        <v>0</v>
      </c>
      <c r="AQ48">
        <v>62.91</v>
      </c>
      <c r="AR48">
        <v>6.21</v>
      </c>
      <c r="AS48">
        <v>0</v>
      </c>
      <c r="AT48">
        <v>89</v>
      </c>
      <c r="AU48">
        <v>44</v>
      </c>
      <c r="AV48">
        <v>1</v>
      </c>
      <c r="AW48">
        <v>1</v>
      </c>
      <c r="AZ48">
        <v>1</v>
      </c>
      <c r="BA48">
        <v>30.54</v>
      </c>
      <c r="BB48">
        <v>12.13</v>
      </c>
      <c r="BC48">
        <v>8.7100000000000009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163</v>
      </c>
      <c r="BM48">
        <v>61001</v>
      </c>
      <c r="BN48">
        <v>0</v>
      </c>
      <c r="BO48" t="s">
        <v>3</v>
      </c>
      <c r="BP48">
        <v>0</v>
      </c>
      <c r="BQ48">
        <v>6</v>
      </c>
      <c r="BR48">
        <v>0</v>
      </c>
      <c r="BS48">
        <v>30.54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89</v>
      </c>
      <c r="CA48">
        <v>44</v>
      </c>
      <c r="CB48" t="s">
        <v>3</v>
      </c>
      <c r="CE48">
        <v>0</v>
      </c>
      <c r="CF48">
        <v>0</v>
      </c>
      <c r="CG48">
        <v>0</v>
      </c>
      <c r="CM48">
        <v>0</v>
      </c>
      <c r="CN48" t="s">
        <v>1103</v>
      </c>
      <c r="CO48">
        <v>0</v>
      </c>
      <c r="CP48">
        <f t="shared" si="68"/>
        <v>1632.83</v>
      </c>
      <c r="CQ48">
        <f t="shared" si="69"/>
        <v>2459.4427000000001</v>
      </c>
      <c r="CR48">
        <f>((((ET48*1.15))*BB48-((EU48*1.15))*BS48)+AE48*BS48)</f>
        <v>1223.4933099999998</v>
      </c>
      <c r="CS48">
        <f t="shared" si="70"/>
        <v>2263.3193999999999</v>
      </c>
      <c r="CT48">
        <f t="shared" si="71"/>
        <v>23530.764599999999</v>
      </c>
      <c r="CU48">
        <f t="shared" si="72"/>
        <v>0</v>
      </c>
      <c r="CV48">
        <f t="shared" si="73"/>
        <v>72.346499999999992</v>
      </c>
      <c r="CW48">
        <f t="shared" si="74"/>
        <v>7.1414999999999997</v>
      </c>
      <c r="CX48">
        <f t="shared" si="75"/>
        <v>0</v>
      </c>
      <c r="CY48">
        <f t="shared" si="76"/>
        <v>1377.4084999999998</v>
      </c>
      <c r="CZ48">
        <f t="shared" si="77"/>
        <v>680.96599999999989</v>
      </c>
      <c r="DC48" t="s">
        <v>3</v>
      </c>
      <c r="DD48" t="s">
        <v>3</v>
      </c>
      <c r="DE48" t="s">
        <v>21</v>
      </c>
      <c r="DF48" t="s">
        <v>21</v>
      </c>
      <c r="DG48" t="s">
        <v>21</v>
      </c>
      <c r="DH48" t="s">
        <v>3</v>
      </c>
      <c r="DI48" t="s">
        <v>21</v>
      </c>
      <c r="DJ48" t="s">
        <v>21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19</v>
      </c>
      <c r="DW48" t="s">
        <v>19</v>
      </c>
      <c r="DX48">
        <v>100</v>
      </c>
      <c r="DZ48" t="s">
        <v>3</v>
      </c>
      <c r="EA48" t="s">
        <v>3</v>
      </c>
      <c r="EB48" t="s">
        <v>3</v>
      </c>
      <c r="EC48" t="s">
        <v>3</v>
      </c>
      <c r="EE48">
        <v>140625160</v>
      </c>
      <c r="EF48">
        <v>6</v>
      </c>
      <c r="EG48" t="s">
        <v>34</v>
      </c>
      <c r="EH48">
        <v>95</v>
      </c>
      <c r="EI48" t="s">
        <v>164</v>
      </c>
      <c r="EJ48">
        <v>1</v>
      </c>
      <c r="EK48">
        <v>61001</v>
      </c>
      <c r="EL48" t="s">
        <v>164</v>
      </c>
      <c r="EM48" t="s">
        <v>165</v>
      </c>
      <c r="EO48" t="s">
        <v>37</v>
      </c>
      <c r="EQ48">
        <v>0</v>
      </c>
      <c r="ER48">
        <v>1040.06</v>
      </c>
      <c r="ES48">
        <v>282.37</v>
      </c>
      <c r="ET48">
        <v>87.7</v>
      </c>
      <c r="EU48">
        <v>64.44</v>
      </c>
      <c r="EV48">
        <v>669.99</v>
      </c>
      <c r="EW48">
        <v>62.91</v>
      </c>
      <c r="EX48">
        <v>6.21</v>
      </c>
      <c r="EY48">
        <v>0</v>
      </c>
      <c r="FQ48">
        <v>0</v>
      </c>
      <c r="FR48">
        <f t="shared" si="78"/>
        <v>0</v>
      </c>
      <c r="FS48">
        <v>0</v>
      </c>
      <c r="FX48">
        <v>89</v>
      </c>
      <c r="FY48">
        <v>44</v>
      </c>
      <c r="GA48" t="s">
        <v>3</v>
      </c>
      <c r="GD48">
        <v>1</v>
      </c>
      <c r="GF48">
        <v>180313887</v>
      </c>
      <c r="GG48">
        <v>2</v>
      </c>
      <c r="GH48">
        <v>1</v>
      </c>
      <c r="GI48">
        <v>4</v>
      </c>
      <c r="GJ48">
        <v>0</v>
      </c>
      <c r="GK48">
        <v>0</v>
      </c>
      <c r="GL48">
        <f t="shared" si="79"/>
        <v>0</v>
      </c>
      <c r="GM48">
        <f t="shared" si="80"/>
        <v>3691.21</v>
      </c>
      <c r="GN48">
        <f t="shared" si="81"/>
        <v>3691.21</v>
      </c>
      <c r="GO48">
        <f t="shared" si="82"/>
        <v>0</v>
      </c>
      <c r="GP48">
        <f t="shared" si="83"/>
        <v>0</v>
      </c>
      <c r="GR48">
        <v>0</v>
      </c>
      <c r="GS48">
        <v>3</v>
      </c>
      <c r="GT48">
        <v>0</v>
      </c>
      <c r="GU48" t="s">
        <v>3</v>
      </c>
      <c r="GV48">
        <f t="shared" si="84"/>
        <v>0</v>
      </c>
      <c r="GW48">
        <v>1</v>
      </c>
      <c r="GX48">
        <f t="shared" si="85"/>
        <v>0</v>
      </c>
      <c r="HA48">
        <v>0</v>
      </c>
      <c r="HB48">
        <v>0</v>
      </c>
      <c r="HC48">
        <f t="shared" si="86"/>
        <v>0</v>
      </c>
      <c r="HE48" t="s">
        <v>3</v>
      </c>
      <c r="HF48" t="s">
        <v>3</v>
      </c>
      <c r="HM48" t="s">
        <v>3</v>
      </c>
      <c r="HN48" t="s">
        <v>166</v>
      </c>
      <c r="HO48" t="s">
        <v>167</v>
      </c>
      <c r="HP48" t="s">
        <v>164</v>
      </c>
      <c r="HQ48" t="s">
        <v>164</v>
      </c>
      <c r="IK48">
        <v>0</v>
      </c>
    </row>
    <row r="49" spans="1:245" x14ac:dyDescent="0.2">
      <c r="A49">
        <v>17</v>
      </c>
      <c r="B49">
        <v>1</v>
      </c>
      <c r="E49" t="s">
        <v>168</v>
      </c>
      <c r="F49" t="s">
        <v>46</v>
      </c>
      <c r="G49" t="s">
        <v>169</v>
      </c>
      <c r="H49" t="s">
        <v>43</v>
      </c>
      <c r="I49">
        <f>ROUND(I48*170*20,9)</f>
        <v>204</v>
      </c>
      <c r="J49">
        <v>0</v>
      </c>
      <c r="K49">
        <f>ROUND(I48*170*20,9)</f>
        <v>204</v>
      </c>
      <c r="O49">
        <f t="shared" si="54"/>
        <v>8706.52</v>
      </c>
      <c r="P49">
        <f t="shared" si="55"/>
        <v>8706.52</v>
      </c>
      <c r="Q49">
        <f t="shared" si="56"/>
        <v>0</v>
      </c>
      <c r="R49">
        <f t="shared" si="57"/>
        <v>0</v>
      </c>
      <c r="S49">
        <f t="shared" si="58"/>
        <v>0</v>
      </c>
      <c r="T49">
        <f t="shared" si="59"/>
        <v>0</v>
      </c>
      <c r="U49">
        <f t="shared" si="60"/>
        <v>0</v>
      </c>
      <c r="V49">
        <f t="shared" si="61"/>
        <v>0</v>
      </c>
      <c r="W49">
        <f t="shared" si="62"/>
        <v>0</v>
      </c>
      <c r="X49">
        <f t="shared" si="63"/>
        <v>0</v>
      </c>
      <c r="Y49">
        <f t="shared" si="64"/>
        <v>0</v>
      </c>
      <c r="AA49">
        <v>145033679</v>
      </c>
      <c r="AB49">
        <f t="shared" si="65"/>
        <v>4.9000000000000004</v>
      </c>
      <c r="AC49">
        <f>ROUND((ES49),2)</f>
        <v>4.9000000000000004</v>
      </c>
      <c r="AD49">
        <f>ROUND((((ET49)-(EU49))+AE49),2)</f>
        <v>0</v>
      </c>
      <c r="AE49">
        <f>ROUND((EU49),2)</f>
        <v>0</v>
      </c>
      <c r="AF49">
        <f>ROUND((EV49),2)</f>
        <v>0</v>
      </c>
      <c r="AG49">
        <f t="shared" si="66"/>
        <v>0</v>
      </c>
      <c r="AH49">
        <f>(EW49)</f>
        <v>0</v>
      </c>
      <c r="AI49">
        <f>(EX49)</f>
        <v>0</v>
      </c>
      <c r="AJ49">
        <f t="shared" si="67"/>
        <v>0</v>
      </c>
      <c r="AK49">
        <v>4.9000000000000004</v>
      </c>
      <c r="AL49">
        <v>4.9000000000000004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8.7100000000000009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8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B49" t="s">
        <v>3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68"/>
        <v>8706.52</v>
      </c>
      <c r="CQ49">
        <f t="shared" si="69"/>
        <v>42.679000000000009</v>
      </c>
      <c r="CR49">
        <f>(((ET49)*BB49-(EU49)*BS49)+AE49*BS49)</f>
        <v>0</v>
      </c>
      <c r="CS49">
        <f t="shared" si="70"/>
        <v>0</v>
      </c>
      <c r="CT49">
        <f t="shared" si="71"/>
        <v>0</v>
      </c>
      <c r="CU49">
        <f t="shared" si="72"/>
        <v>0</v>
      </c>
      <c r="CV49">
        <f t="shared" si="73"/>
        <v>0</v>
      </c>
      <c r="CW49">
        <f t="shared" si="74"/>
        <v>0</v>
      </c>
      <c r="CX49">
        <f t="shared" si="75"/>
        <v>0</v>
      </c>
      <c r="CY49">
        <f t="shared" si="76"/>
        <v>0</v>
      </c>
      <c r="CZ49">
        <f t="shared" si="77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43</v>
      </c>
      <c r="DW49" t="s">
        <v>43</v>
      </c>
      <c r="DX49">
        <v>1</v>
      </c>
      <c r="DZ49" t="s">
        <v>3</v>
      </c>
      <c r="EA49" t="s">
        <v>3</v>
      </c>
      <c r="EB49" t="s">
        <v>3</v>
      </c>
      <c r="EC49" t="s">
        <v>3</v>
      </c>
      <c r="EE49">
        <v>140625274</v>
      </c>
      <c r="EF49">
        <v>8</v>
      </c>
      <c r="EG49" t="s">
        <v>48</v>
      </c>
      <c r="EH49">
        <v>0</v>
      </c>
      <c r="EI49" t="s">
        <v>3</v>
      </c>
      <c r="EJ49">
        <v>1</v>
      </c>
      <c r="EK49">
        <v>1100</v>
      </c>
      <c r="EL49" t="s">
        <v>49</v>
      </c>
      <c r="EM49" t="s">
        <v>50</v>
      </c>
      <c r="EO49" t="s">
        <v>3</v>
      </c>
      <c r="EQ49">
        <v>0</v>
      </c>
      <c r="ER49">
        <v>4.9000000000000004</v>
      </c>
      <c r="ES49">
        <v>4.9000000000000004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1</v>
      </c>
      <c r="FD49">
        <v>18</v>
      </c>
      <c r="FF49">
        <v>47.8</v>
      </c>
      <c r="FQ49">
        <v>0</v>
      </c>
      <c r="FR49">
        <f t="shared" si="78"/>
        <v>0</v>
      </c>
      <c r="FS49">
        <v>0</v>
      </c>
      <c r="FX49">
        <v>0</v>
      </c>
      <c r="FY49">
        <v>0</v>
      </c>
      <c r="GA49" t="s">
        <v>170</v>
      </c>
      <c r="GD49">
        <v>1</v>
      </c>
      <c r="GF49">
        <v>281988453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79"/>
        <v>0</v>
      </c>
      <c r="GM49">
        <f t="shared" si="80"/>
        <v>8706.52</v>
      </c>
      <c r="GN49">
        <f t="shared" si="81"/>
        <v>8706.52</v>
      </c>
      <c r="GO49">
        <f t="shared" si="82"/>
        <v>0</v>
      </c>
      <c r="GP49">
        <f t="shared" si="83"/>
        <v>0</v>
      </c>
      <c r="GR49">
        <v>1</v>
      </c>
      <c r="GS49">
        <v>1</v>
      </c>
      <c r="GT49">
        <v>0</v>
      </c>
      <c r="GU49" t="s">
        <v>3</v>
      </c>
      <c r="GV49">
        <f t="shared" si="84"/>
        <v>0</v>
      </c>
      <c r="GW49">
        <v>1</v>
      </c>
      <c r="GX49">
        <f t="shared" si="85"/>
        <v>0</v>
      </c>
      <c r="HA49">
        <v>0</v>
      </c>
      <c r="HB49">
        <v>0</v>
      </c>
      <c r="HC49">
        <f t="shared" si="86"/>
        <v>0</v>
      </c>
      <c r="HE49" t="s">
        <v>52</v>
      </c>
      <c r="HF49" t="s">
        <v>29</v>
      </c>
      <c r="HM49" t="s">
        <v>3</v>
      </c>
      <c r="HN49" t="s">
        <v>3</v>
      </c>
      <c r="HO49" t="s">
        <v>3</v>
      </c>
      <c r="HP49" t="s">
        <v>3</v>
      </c>
      <c r="HQ49" t="s">
        <v>3</v>
      </c>
      <c r="IK49">
        <v>0</v>
      </c>
    </row>
    <row r="50" spans="1:245" x14ac:dyDescent="0.2">
      <c r="A50">
        <v>19</v>
      </c>
      <c r="B50">
        <v>1</v>
      </c>
      <c r="F50" t="s">
        <v>3</v>
      </c>
      <c r="G50" t="s">
        <v>171</v>
      </c>
      <c r="H50" t="s">
        <v>3</v>
      </c>
      <c r="AA50">
        <v>1</v>
      </c>
      <c r="IK50">
        <v>0</v>
      </c>
    </row>
    <row r="51" spans="1:245" x14ac:dyDescent="0.2">
      <c r="A51">
        <v>17</v>
      </c>
      <c r="B51">
        <v>1</v>
      </c>
      <c r="C51">
        <f>ROW(SmtRes!A78)</f>
        <v>78</v>
      </c>
      <c r="D51">
        <f>ROW(EtalonRes!A78)</f>
        <v>78</v>
      </c>
      <c r="E51" t="s">
        <v>172</v>
      </c>
      <c r="F51" t="s">
        <v>173</v>
      </c>
      <c r="G51" t="s">
        <v>174</v>
      </c>
      <c r="H51" t="s">
        <v>175</v>
      </c>
      <c r="I51">
        <f>ROUND(185/1000,9)</f>
        <v>0.185</v>
      </c>
      <c r="J51">
        <v>0</v>
      </c>
      <c r="K51">
        <f>ROUND(185/1000,9)</f>
        <v>0.185</v>
      </c>
      <c r="O51">
        <f t="shared" ref="O51:O58" si="87">ROUND(CP51,2)</f>
        <v>4706.1000000000004</v>
      </c>
      <c r="P51">
        <f t="shared" ref="P51:P58" si="88">ROUND(CQ51*I51,2)</f>
        <v>0</v>
      </c>
      <c r="Q51">
        <f t="shared" ref="Q51:Q58" si="89">ROUND(CR51*I51,2)</f>
        <v>137.03</v>
      </c>
      <c r="R51">
        <f t="shared" ref="R51:R58" si="90">ROUND(CS51*I51,2)</f>
        <v>1.47</v>
      </c>
      <c r="S51">
        <f t="shared" ref="S51:S58" si="91">ROUND(CT51*I51,2)</f>
        <v>4569.07</v>
      </c>
      <c r="T51">
        <f t="shared" ref="T51:T58" si="92">ROUND(CU51*I51,2)</f>
        <v>0</v>
      </c>
      <c r="U51">
        <f t="shared" ref="U51:U58" si="93">CV51*I51</f>
        <v>17.117864999999995</v>
      </c>
      <c r="V51">
        <f t="shared" ref="V51:V58" si="94">CW51*I51</f>
        <v>4.2550000000000001E-3</v>
      </c>
      <c r="W51">
        <f t="shared" ref="W51:W58" si="95">ROUND(CX51*I51,2)</f>
        <v>0</v>
      </c>
      <c r="X51">
        <f t="shared" ref="X51:Y58" si="96">ROUND(CY51,2)</f>
        <v>4204.8999999999996</v>
      </c>
      <c r="Y51">
        <f t="shared" si="96"/>
        <v>2011.04</v>
      </c>
      <c r="AA51">
        <v>145033679</v>
      </c>
      <c r="AB51">
        <f t="shared" ref="AB51:AB58" si="97">ROUND((AC51+AD51+AF51),2)</f>
        <v>869.77</v>
      </c>
      <c r="AC51">
        <f>ROUND((ES51),2)</f>
        <v>0</v>
      </c>
      <c r="AD51">
        <f>ROUND(((((ET51*1.15))-((EU51*1.15)))+AE51),2)</f>
        <v>61.07</v>
      </c>
      <c r="AE51">
        <f>ROUND(((EU51*1.15)),2)</f>
        <v>0.26</v>
      </c>
      <c r="AF51">
        <f>ROUND(((EV51*1.15)),2)</f>
        <v>808.7</v>
      </c>
      <c r="AG51">
        <f t="shared" ref="AG51:AG58" si="98">ROUND((AP51),2)</f>
        <v>0</v>
      </c>
      <c r="AH51">
        <f>((EW51*1.15))</f>
        <v>92.528999999999982</v>
      </c>
      <c r="AI51">
        <f>((EX51*1.15))</f>
        <v>2.3E-2</v>
      </c>
      <c r="AJ51">
        <f t="shared" ref="AJ51:AJ58" si="99">(AS51)</f>
        <v>0</v>
      </c>
      <c r="AK51">
        <v>756.33</v>
      </c>
      <c r="AL51">
        <v>0</v>
      </c>
      <c r="AM51">
        <v>53.11</v>
      </c>
      <c r="AN51">
        <v>0.23</v>
      </c>
      <c r="AO51">
        <v>703.22</v>
      </c>
      <c r="AP51">
        <v>0</v>
      </c>
      <c r="AQ51">
        <v>80.459999999999994</v>
      </c>
      <c r="AR51">
        <v>0.02</v>
      </c>
      <c r="AS51">
        <v>0</v>
      </c>
      <c r="AT51">
        <v>92</v>
      </c>
      <c r="AU51">
        <v>44</v>
      </c>
      <c r="AV51">
        <v>1</v>
      </c>
      <c r="AW51">
        <v>1</v>
      </c>
      <c r="AZ51">
        <v>1</v>
      </c>
      <c r="BA51">
        <v>30.54</v>
      </c>
      <c r="BB51">
        <v>12.13</v>
      </c>
      <c r="BC51">
        <v>8.7100000000000009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176</v>
      </c>
      <c r="BM51">
        <v>69001</v>
      </c>
      <c r="BN51">
        <v>0</v>
      </c>
      <c r="BO51" t="s">
        <v>3</v>
      </c>
      <c r="BP51">
        <v>0</v>
      </c>
      <c r="BQ51">
        <v>6</v>
      </c>
      <c r="BR51">
        <v>0</v>
      </c>
      <c r="BS51">
        <v>30.54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92</v>
      </c>
      <c r="CA51">
        <v>44</v>
      </c>
      <c r="CB51" t="s">
        <v>3</v>
      </c>
      <c r="CE51">
        <v>0</v>
      </c>
      <c r="CF51">
        <v>0</v>
      </c>
      <c r="CG51">
        <v>0</v>
      </c>
      <c r="CM51">
        <v>0</v>
      </c>
      <c r="CN51" t="s">
        <v>1103</v>
      </c>
      <c r="CO51">
        <v>0</v>
      </c>
      <c r="CP51">
        <f t="shared" ref="CP51:CP58" si="100">(P51+Q51+S51)</f>
        <v>4706.0999999999995</v>
      </c>
      <c r="CQ51">
        <f t="shared" ref="CQ51:CQ58" si="101">AC51*BC51</f>
        <v>0</v>
      </c>
      <c r="CR51">
        <f>((((ET51*1.15))*BB51-((EU51*1.15))*BS51)+AE51*BS51)</f>
        <v>740.72051499999998</v>
      </c>
      <c r="CS51">
        <f t="shared" ref="CS51:CS58" si="102">AE51*BS51</f>
        <v>7.9404000000000003</v>
      </c>
      <c r="CT51">
        <f t="shared" ref="CT51:CT58" si="103">AF51*BA51</f>
        <v>24697.698</v>
      </c>
      <c r="CU51">
        <f t="shared" ref="CU51:CX58" si="104">AG51</f>
        <v>0</v>
      </c>
      <c r="CV51">
        <f t="shared" si="104"/>
        <v>92.528999999999982</v>
      </c>
      <c r="CW51">
        <f t="shared" si="104"/>
        <v>2.3E-2</v>
      </c>
      <c r="CX51">
        <f t="shared" si="104"/>
        <v>0</v>
      </c>
      <c r="CY51">
        <f t="shared" ref="CY51:CY58" si="105">(((S51+R51)*AT51)/100)</f>
        <v>4204.8967999999995</v>
      </c>
      <c r="CZ51">
        <f t="shared" ref="CZ51:CZ58" si="106">(((S51+R51)*AU51)/100)</f>
        <v>2011.0376000000001</v>
      </c>
      <c r="DC51" t="s">
        <v>3</v>
      </c>
      <c r="DD51" t="s">
        <v>3</v>
      </c>
      <c r="DE51" t="s">
        <v>21</v>
      </c>
      <c r="DF51" t="s">
        <v>21</v>
      </c>
      <c r="DG51" t="s">
        <v>21</v>
      </c>
      <c r="DH51" t="s">
        <v>3</v>
      </c>
      <c r="DI51" t="s">
        <v>21</v>
      </c>
      <c r="DJ51" t="s">
        <v>21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175</v>
      </c>
      <c r="DW51" t="s">
        <v>175</v>
      </c>
      <c r="DX51">
        <v>1</v>
      </c>
      <c r="DZ51" t="s">
        <v>3</v>
      </c>
      <c r="EA51" t="s">
        <v>3</v>
      </c>
      <c r="EB51" t="s">
        <v>3</v>
      </c>
      <c r="EC51" t="s">
        <v>3</v>
      </c>
      <c r="EE51">
        <v>140625215</v>
      </c>
      <c r="EF51">
        <v>6</v>
      </c>
      <c r="EG51" t="s">
        <v>34</v>
      </c>
      <c r="EH51">
        <v>103</v>
      </c>
      <c r="EI51" t="s">
        <v>177</v>
      </c>
      <c r="EJ51">
        <v>1</v>
      </c>
      <c r="EK51">
        <v>69001</v>
      </c>
      <c r="EL51" t="s">
        <v>177</v>
      </c>
      <c r="EM51" t="s">
        <v>178</v>
      </c>
      <c r="EO51" t="s">
        <v>37</v>
      </c>
      <c r="EQ51">
        <v>0</v>
      </c>
      <c r="ER51">
        <v>756.33</v>
      </c>
      <c r="ES51">
        <v>0</v>
      </c>
      <c r="ET51">
        <v>53.11</v>
      </c>
      <c r="EU51">
        <v>0.23</v>
      </c>
      <c r="EV51">
        <v>703.22</v>
      </c>
      <c r="EW51">
        <v>80.459999999999994</v>
      </c>
      <c r="EX51">
        <v>0.02</v>
      </c>
      <c r="EY51">
        <v>0</v>
      </c>
      <c r="FQ51">
        <v>0</v>
      </c>
      <c r="FR51">
        <f t="shared" ref="FR51:FR58" si="107">ROUND(IF(BI51=3,GM51,0),2)</f>
        <v>0</v>
      </c>
      <c r="FS51">
        <v>0</v>
      </c>
      <c r="FX51">
        <v>92</v>
      </c>
      <c r="FY51">
        <v>44</v>
      </c>
      <c r="GA51" t="s">
        <v>3</v>
      </c>
      <c r="GD51">
        <v>1</v>
      </c>
      <c r="GF51">
        <v>-613548448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ref="GL51:GL58" si="108">ROUND(IF(AND(BH51=3,BI51=3,FS51&lt;&gt;0),P51,0),2)</f>
        <v>0</v>
      </c>
      <c r="GM51">
        <f t="shared" ref="GM51:GM58" si="109">ROUND(O51+X51+Y51,2)+GX51</f>
        <v>10922.04</v>
      </c>
      <c r="GN51">
        <f t="shared" ref="GN51:GN58" si="110">IF(OR(BI51=0,BI51=1),ROUND(O51+X51+Y51,2),0)</f>
        <v>10922.04</v>
      </c>
      <c r="GO51">
        <f t="shared" ref="GO51:GO58" si="111">IF(BI51=2,ROUND(O51+X51+Y51,2),0)</f>
        <v>0</v>
      </c>
      <c r="GP51">
        <f t="shared" ref="GP51:GP58" si="112">IF(BI51=4,ROUND(O51+X51+Y51,2)+GX51,0)</f>
        <v>0</v>
      </c>
      <c r="GR51">
        <v>0</v>
      </c>
      <c r="GS51">
        <v>3</v>
      </c>
      <c r="GT51">
        <v>0</v>
      </c>
      <c r="GU51" t="s">
        <v>3</v>
      </c>
      <c r="GV51">
        <f>ROUND((GT51),2)</f>
        <v>0</v>
      </c>
      <c r="GW51">
        <v>1</v>
      </c>
      <c r="GX51">
        <f t="shared" ref="GX51:GX58" si="113">ROUND(HC51*I51,2)</f>
        <v>0</v>
      </c>
      <c r="HA51">
        <v>0</v>
      </c>
      <c r="HB51">
        <v>0</v>
      </c>
      <c r="HC51">
        <f t="shared" ref="HC51:HC58" si="114">GV51*GW51</f>
        <v>0</v>
      </c>
      <c r="HE51" t="s">
        <v>3</v>
      </c>
      <c r="HF51" t="s">
        <v>3</v>
      </c>
      <c r="HM51" t="s">
        <v>3</v>
      </c>
      <c r="HN51" t="s">
        <v>179</v>
      </c>
      <c r="HO51" t="s">
        <v>180</v>
      </c>
      <c r="HP51" t="s">
        <v>177</v>
      </c>
      <c r="HQ51" t="s">
        <v>177</v>
      </c>
      <c r="IK51">
        <v>0</v>
      </c>
    </row>
    <row r="52" spans="1:245" x14ac:dyDescent="0.2">
      <c r="A52">
        <v>17</v>
      </c>
      <c r="B52">
        <v>1</v>
      </c>
      <c r="C52">
        <f>ROW(SmtRes!A83)</f>
        <v>83</v>
      </c>
      <c r="D52">
        <f>ROW(EtalonRes!A83)</f>
        <v>83</v>
      </c>
      <c r="E52" t="s">
        <v>181</v>
      </c>
      <c r="F52" t="s">
        <v>182</v>
      </c>
      <c r="G52" t="s">
        <v>183</v>
      </c>
      <c r="H52" t="s">
        <v>175</v>
      </c>
      <c r="I52">
        <f>ROUND(185/1000,9)</f>
        <v>0.185</v>
      </c>
      <c r="J52">
        <v>0</v>
      </c>
      <c r="K52">
        <f>ROUND(185/1000,9)</f>
        <v>0.185</v>
      </c>
      <c r="O52">
        <f t="shared" si="87"/>
        <v>572.58000000000004</v>
      </c>
      <c r="P52">
        <f t="shared" si="88"/>
        <v>0</v>
      </c>
      <c r="Q52">
        <f t="shared" si="89"/>
        <v>1.71</v>
      </c>
      <c r="R52">
        <f t="shared" si="90"/>
        <v>0.79</v>
      </c>
      <c r="S52">
        <f t="shared" si="91"/>
        <v>570.87</v>
      </c>
      <c r="T52">
        <f t="shared" si="92"/>
        <v>0</v>
      </c>
      <c r="U52">
        <f t="shared" si="93"/>
        <v>2.191325</v>
      </c>
      <c r="V52">
        <f t="shared" si="94"/>
        <v>2.1275000000000001E-3</v>
      </c>
      <c r="W52">
        <f t="shared" si="95"/>
        <v>0</v>
      </c>
      <c r="X52">
        <f t="shared" si="96"/>
        <v>525.92999999999995</v>
      </c>
      <c r="Y52">
        <f t="shared" si="96"/>
        <v>251.53</v>
      </c>
      <c r="AA52">
        <v>145033679</v>
      </c>
      <c r="AB52">
        <f t="shared" si="97"/>
        <v>101.8</v>
      </c>
      <c r="AC52">
        <f>ROUND((ES52),2)</f>
        <v>0</v>
      </c>
      <c r="AD52">
        <f>ROUND(((((ET52*1.15))-((EU52*1.15)))+AE52),2)</f>
        <v>0.76</v>
      </c>
      <c r="AE52">
        <f>ROUND(((EU52*1.15)),2)</f>
        <v>0.14000000000000001</v>
      </c>
      <c r="AF52">
        <f>ROUND(((EV52*1.15)),2)</f>
        <v>101.04</v>
      </c>
      <c r="AG52">
        <f t="shared" si="98"/>
        <v>0</v>
      </c>
      <c r="AH52">
        <f>((EW52*1.15))</f>
        <v>11.845000000000001</v>
      </c>
      <c r="AI52">
        <f>((EX52*1.15))</f>
        <v>1.15E-2</v>
      </c>
      <c r="AJ52">
        <f t="shared" si="99"/>
        <v>0</v>
      </c>
      <c r="AK52">
        <v>88.52</v>
      </c>
      <c r="AL52">
        <v>0</v>
      </c>
      <c r="AM52">
        <v>0.66</v>
      </c>
      <c r="AN52">
        <v>0.12</v>
      </c>
      <c r="AO52">
        <v>87.86</v>
      </c>
      <c r="AP52">
        <v>0</v>
      </c>
      <c r="AQ52">
        <v>10.3</v>
      </c>
      <c r="AR52">
        <v>0.01</v>
      </c>
      <c r="AS52">
        <v>0</v>
      </c>
      <c r="AT52">
        <v>92</v>
      </c>
      <c r="AU52">
        <v>44</v>
      </c>
      <c r="AV52">
        <v>1</v>
      </c>
      <c r="AW52">
        <v>1</v>
      </c>
      <c r="AZ52">
        <v>1</v>
      </c>
      <c r="BA52">
        <v>30.54</v>
      </c>
      <c r="BB52">
        <v>12.13</v>
      </c>
      <c r="BC52">
        <v>8.7100000000000009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184</v>
      </c>
      <c r="BM52">
        <v>69001</v>
      </c>
      <c r="BN52">
        <v>0</v>
      </c>
      <c r="BO52" t="s">
        <v>3</v>
      </c>
      <c r="BP52">
        <v>0</v>
      </c>
      <c r="BQ52">
        <v>6</v>
      </c>
      <c r="BR52">
        <v>0</v>
      </c>
      <c r="BS52">
        <v>30.54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92</v>
      </c>
      <c r="CA52">
        <v>44</v>
      </c>
      <c r="CB52" t="s">
        <v>3</v>
      </c>
      <c r="CE52">
        <v>0</v>
      </c>
      <c r="CF52">
        <v>0</v>
      </c>
      <c r="CG52">
        <v>0</v>
      </c>
      <c r="CM52">
        <v>0</v>
      </c>
      <c r="CN52" t="s">
        <v>1103</v>
      </c>
      <c r="CO52">
        <v>0</v>
      </c>
      <c r="CP52">
        <f t="shared" si="100"/>
        <v>572.58000000000004</v>
      </c>
      <c r="CQ52">
        <f t="shared" si="101"/>
        <v>0</v>
      </c>
      <c r="CR52">
        <f>((((ET52*1.15))*BB52-((EU52*1.15))*BS52)+AE52*BS52)</f>
        <v>9.2677500000000013</v>
      </c>
      <c r="CS52">
        <f t="shared" si="102"/>
        <v>4.2755999999999998</v>
      </c>
      <c r="CT52">
        <f t="shared" si="103"/>
        <v>3085.7616000000003</v>
      </c>
      <c r="CU52">
        <f t="shared" si="104"/>
        <v>0</v>
      </c>
      <c r="CV52">
        <f t="shared" si="104"/>
        <v>11.845000000000001</v>
      </c>
      <c r="CW52">
        <f t="shared" si="104"/>
        <v>1.15E-2</v>
      </c>
      <c r="CX52">
        <f t="shared" si="104"/>
        <v>0</v>
      </c>
      <c r="CY52">
        <f t="shared" si="105"/>
        <v>525.92719999999997</v>
      </c>
      <c r="CZ52">
        <f t="shared" si="106"/>
        <v>251.53039999999999</v>
      </c>
      <c r="DC52" t="s">
        <v>3</v>
      </c>
      <c r="DD52" t="s">
        <v>3</v>
      </c>
      <c r="DE52" t="s">
        <v>21</v>
      </c>
      <c r="DF52" t="s">
        <v>21</v>
      </c>
      <c r="DG52" t="s">
        <v>21</v>
      </c>
      <c r="DH52" t="s">
        <v>3</v>
      </c>
      <c r="DI52" t="s">
        <v>21</v>
      </c>
      <c r="DJ52" t="s">
        <v>21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175</v>
      </c>
      <c r="DW52" t="s">
        <v>175</v>
      </c>
      <c r="DX52">
        <v>1</v>
      </c>
      <c r="DZ52" t="s">
        <v>3</v>
      </c>
      <c r="EA52" t="s">
        <v>3</v>
      </c>
      <c r="EB52" t="s">
        <v>3</v>
      </c>
      <c r="EC52" t="s">
        <v>3</v>
      </c>
      <c r="EE52">
        <v>140625215</v>
      </c>
      <c r="EF52">
        <v>6</v>
      </c>
      <c r="EG52" t="s">
        <v>34</v>
      </c>
      <c r="EH52">
        <v>103</v>
      </c>
      <c r="EI52" t="s">
        <v>177</v>
      </c>
      <c r="EJ52">
        <v>1</v>
      </c>
      <c r="EK52">
        <v>69001</v>
      </c>
      <c r="EL52" t="s">
        <v>177</v>
      </c>
      <c r="EM52" t="s">
        <v>178</v>
      </c>
      <c r="EO52" t="s">
        <v>37</v>
      </c>
      <c r="EQ52">
        <v>0</v>
      </c>
      <c r="ER52">
        <v>88.52</v>
      </c>
      <c r="ES52">
        <v>0</v>
      </c>
      <c r="ET52">
        <v>0.66</v>
      </c>
      <c r="EU52">
        <v>0.12</v>
      </c>
      <c r="EV52">
        <v>87.86</v>
      </c>
      <c r="EW52">
        <v>10.3</v>
      </c>
      <c r="EX52">
        <v>0.01</v>
      </c>
      <c r="EY52">
        <v>0</v>
      </c>
      <c r="FQ52">
        <v>0</v>
      </c>
      <c r="FR52">
        <f t="shared" si="107"/>
        <v>0</v>
      </c>
      <c r="FS52">
        <v>0</v>
      </c>
      <c r="FX52">
        <v>92</v>
      </c>
      <c r="FY52">
        <v>44</v>
      </c>
      <c r="GA52" t="s">
        <v>3</v>
      </c>
      <c r="GD52">
        <v>1</v>
      </c>
      <c r="GF52">
        <v>1423296943</v>
      </c>
      <c r="GG52">
        <v>2</v>
      </c>
      <c r="GH52">
        <v>1</v>
      </c>
      <c r="GI52">
        <v>4</v>
      </c>
      <c r="GJ52">
        <v>0</v>
      </c>
      <c r="GK52">
        <v>0</v>
      </c>
      <c r="GL52">
        <f t="shared" si="108"/>
        <v>0</v>
      </c>
      <c r="GM52">
        <f t="shared" si="109"/>
        <v>1350.04</v>
      </c>
      <c r="GN52">
        <f t="shared" si="110"/>
        <v>1350.04</v>
      </c>
      <c r="GO52">
        <f t="shared" si="111"/>
        <v>0</v>
      </c>
      <c r="GP52">
        <f t="shared" si="112"/>
        <v>0</v>
      </c>
      <c r="GR52">
        <v>0</v>
      </c>
      <c r="GS52">
        <v>3</v>
      </c>
      <c r="GT52">
        <v>0</v>
      </c>
      <c r="GU52" t="s">
        <v>3</v>
      </c>
      <c r="GV52">
        <f>ROUND((GT52),2)</f>
        <v>0</v>
      </c>
      <c r="GW52">
        <v>1</v>
      </c>
      <c r="GX52">
        <f t="shared" si="113"/>
        <v>0</v>
      </c>
      <c r="HA52">
        <v>0</v>
      </c>
      <c r="HB52">
        <v>0</v>
      </c>
      <c r="HC52">
        <f t="shared" si="114"/>
        <v>0</v>
      </c>
      <c r="HE52" t="s">
        <v>3</v>
      </c>
      <c r="HF52" t="s">
        <v>3</v>
      </c>
      <c r="HM52" t="s">
        <v>3</v>
      </c>
      <c r="HN52" t="s">
        <v>179</v>
      </c>
      <c r="HO52" t="s">
        <v>180</v>
      </c>
      <c r="HP52" t="s">
        <v>177</v>
      </c>
      <c r="HQ52" t="s">
        <v>177</v>
      </c>
      <c r="IK52">
        <v>0</v>
      </c>
    </row>
    <row r="53" spans="1:245" x14ac:dyDescent="0.2">
      <c r="A53">
        <v>17</v>
      </c>
      <c r="B53">
        <v>1</v>
      </c>
      <c r="C53">
        <f>ROW(SmtRes!A84)</f>
        <v>84</v>
      </c>
      <c r="D53">
        <f>ROW(EtalonRes!A84)</f>
        <v>84</v>
      </c>
      <c r="E53" t="s">
        <v>185</v>
      </c>
      <c r="F53" t="s">
        <v>186</v>
      </c>
      <c r="G53" t="s">
        <v>187</v>
      </c>
      <c r="H53" t="s">
        <v>175</v>
      </c>
      <c r="I53">
        <f>ROUND(-185/1000,9)</f>
        <v>-0.185</v>
      </c>
      <c r="J53">
        <v>0</v>
      </c>
      <c r="K53">
        <f>ROUND(-185/1000,9)</f>
        <v>-0.185</v>
      </c>
      <c r="O53">
        <f t="shared" si="87"/>
        <v>-570.87</v>
      </c>
      <c r="P53">
        <f t="shared" si="88"/>
        <v>0</v>
      </c>
      <c r="Q53">
        <f t="shared" si="89"/>
        <v>0</v>
      </c>
      <c r="R53">
        <f t="shared" si="90"/>
        <v>0</v>
      </c>
      <c r="S53">
        <f t="shared" si="91"/>
        <v>-570.87</v>
      </c>
      <c r="T53">
        <f t="shared" si="92"/>
        <v>0</v>
      </c>
      <c r="U53">
        <f t="shared" si="93"/>
        <v>-2.191325</v>
      </c>
      <c r="V53">
        <f t="shared" si="94"/>
        <v>0</v>
      </c>
      <c r="W53">
        <f t="shared" si="95"/>
        <v>0</v>
      </c>
      <c r="X53">
        <f t="shared" si="96"/>
        <v>-525.20000000000005</v>
      </c>
      <c r="Y53">
        <f t="shared" si="96"/>
        <v>-251.18</v>
      </c>
      <c r="AA53">
        <v>145033679</v>
      </c>
      <c r="AB53">
        <f t="shared" si="97"/>
        <v>101.04</v>
      </c>
      <c r="AC53">
        <f>ROUND(((ES53*2)),2)</f>
        <v>0</v>
      </c>
      <c r="AD53">
        <f>ROUND((((((ET53*1.15)*2))-(((EU53*1.15)*2)))+AE53),2)</f>
        <v>0</v>
      </c>
      <c r="AE53">
        <f>ROUND((((EU53*1.15)*2)),2)</f>
        <v>0</v>
      </c>
      <c r="AF53">
        <f>ROUND((((EV53*1.15)*2)),2)</f>
        <v>101.04</v>
      </c>
      <c r="AG53">
        <f t="shared" si="98"/>
        <v>0</v>
      </c>
      <c r="AH53">
        <f>(((EW53*1.15)*2))</f>
        <v>11.845000000000001</v>
      </c>
      <c r="AI53">
        <f>(((EX53*1.15)*2))</f>
        <v>0</v>
      </c>
      <c r="AJ53">
        <f t="shared" si="99"/>
        <v>0</v>
      </c>
      <c r="AK53">
        <v>43.93</v>
      </c>
      <c r="AL53">
        <v>0</v>
      </c>
      <c r="AM53">
        <v>0</v>
      </c>
      <c r="AN53">
        <v>0</v>
      </c>
      <c r="AO53">
        <v>43.93</v>
      </c>
      <c r="AP53">
        <v>0</v>
      </c>
      <c r="AQ53">
        <v>5.15</v>
      </c>
      <c r="AR53">
        <v>0</v>
      </c>
      <c r="AS53">
        <v>0</v>
      </c>
      <c r="AT53">
        <v>92</v>
      </c>
      <c r="AU53">
        <v>44</v>
      </c>
      <c r="AV53">
        <v>1</v>
      </c>
      <c r="AW53">
        <v>1</v>
      </c>
      <c r="AZ53">
        <v>1</v>
      </c>
      <c r="BA53">
        <v>30.54</v>
      </c>
      <c r="BB53">
        <v>12.13</v>
      </c>
      <c r="BC53">
        <v>8.7100000000000009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188</v>
      </c>
      <c r="BM53">
        <v>69001</v>
      </c>
      <c r="BN53">
        <v>0</v>
      </c>
      <c r="BO53" t="s">
        <v>3</v>
      </c>
      <c r="BP53">
        <v>0</v>
      </c>
      <c r="BQ53">
        <v>6</v>
      </c>
      <c r="BR53">
        <v>0</v>
      </c>
      <c r="BS53">
        <v>30.54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92</v>
      </c>
      <c r="CA53">
        <v>44</v>
      </c>
      <c r="CB53" t="s">
        <v>3</v>
      </c>
      <c r="CE53">
        <v>0</v>
      </c>
      <c r="CF53">
        <v>0</v>
      </c>
      <c r="CG53">
        <v>0</v>
      </c>
      <c r="CM53">
        <v>0</v>
      </c>
      <c r="CN53" t="s">
        <v>1103</v>
      </c>
      <c r="CO53">
        <v>0</v>
      </c>
      <c r="CP53">
        <f t="shared" si="100"/>
        <v>-570.87</v>
      </c>
      <c r="CQ53">
        <f t="shared" si="101"/>
        <v>0</v>
      </c>
      <c r="CR53">
        <f>(((((ET53*1.15)*2))*BB53-(((EU53*1.15)*2))*BS53)+AE53*BS53)</f>
        <v>0</v>
      </c>
      <c r="CS53">
        <f t="shared" si="102"/>
        <v>0</v>
      </c>
      <c r="CT53">
        <f t="shared" si="103"/>
        <v>3085.7616000000003</v>
      </c>
      <c r="CU53">
        <f t="shared" si="104"/>
        <v>0</v>
      </c>
      <c r="CV53">
        <f t="shared" si="104"/>
        <v>11.845000000000001</v>
      </c>
      <c r="CW53">
        <f t="shared" si="104"/>
        <v>0</v>
      </c>
      <c r="CX53">
        <f t="shared" si="104"/>
        <v>0</v>
      </c>
      <c r="CY53">
        <f t="shared" si="105"/>
        <v>-525.20040000000006</v>
      </c>
      <c r="CZ53">
        <f t="shared" si="106"/>
        <v>-251.18279999999999</v>
      </c>
      <c r="DC53" t="s">
        <v>3</v>
      </c>
      <c r="DD53" t="s">
        <v>189</v>
      </c>
      <c r="DE53" t="s">
        <v>190</v>
      </c>
      <c r="DF53" t="s">
        <v>190</v>
      </c>
      <c r="DG53" t="s">
        <v>190</v>
      </c>
      <c r="DH53" t="s">
        <v>3</v>
      </c>
      <c r="DI53" t="s">
        <v>190</v>
      </c>
      <c r="DJ53" t="s">
        <v>190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175</v>
      </c>
      <c r="DW53" t="s">
        <v>175</v>
      </c>
      <c r="DX53">
        <v>1</v>
      </c>
      <c r="DZ53" t="s">
        <v>3</v>
      </c>
      <c r="EA53" t="s">
        <v>3</v>
      </c>
      <c r="EB53" t="s">
        <v>3</v>
      </c>
      <c r="EC53" t="s">
        <v>3</v>
      </c>
      <c r="EE53">
        <v>140625215</v>
      </c>
      <c r="EF53">
        <v>6</v>
      </c>
      <c r="EG53" t="s">
        <v>34</v>
      </c>
      <c r="EH53">
        <v>103</v>
      </c>
      <c r="EI53" t="s">
        <v>177</v>
      </c>
      <c r="EJ53">
        <v>1</v>
      </c>
      <c r="EK53">
        <v>69001</v>
      </c>
      <c r="EL53" t="s">
        <v>177</v>
      </c>
      <c r="EM53" t="s">
        <v>178</v>
      </c>
      <c r="EO53" t="s">
        <v>37</v>
      </c>
      <c r="EQ53">
        <v>0</v>
      </c>
      <c r="ER53">
        <v>43.93</v>
      </c>
      <c r="ES53">
        <v>0</v>
      </c>
      <c r="ET53">
        <v>0</v>
      </c>
      <c r="EU53">
        <v>0</v>
      </c>
      <c r="EV53">
        <v>43.93</v>
      </c>
      <c r="EW53">
        <v>5.15</v>
      </c>
      <c r="EX53">
        <v>0</v>
      </c>
      <c r="EY53">
        <v>0</v>
      </c>
      <c r="FQ53">
        <v>0</v>
      </c>
      <c r="FR53">
        <f t="shared" si="107"/>
        <v>0</v>
      </c>
      <c r="FS53">
        <v>0</v>
      </c>
      <c r="FX53">
        <v>92</v>
      </c>
      <c r="FY53">
        <v>44</v>
      </c>
      <c r="GA53" t="s">
        <v>3</v>
      </c>
      <c r="GD53">
        <v>1</v>
      </c>
      <c r="GF53">
        <v>-1359673534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108"/>
        <v>0</v>
      </c>
      <c r="GM53">
        <f t="shared" si="109"/>
        <v>-1347.25</v>
      </c>
      <c r="GN53">
        <f t="shared" si="110"/>
        <v>-1347.25</v>
      </c>
      <c r="GO53">
        <f t="shared" si="111"/>
        <v>0</v>
      </c>
      <c r="GP53">
        <f t="shared" si="112"/>
        <v>0</v>
      </c>
      <c r="GR53">
        <v>0</v>
      </c>
      <c r="GS53">
        <v>3</v>
      </c>
      <c r="GT53">
        <v>0</v>
      </c>
      <c r="GU53" t="s">
        <v>189</v>
      </c>
      <c r="GV53">
        <f>ROUND(((GT53*2)),2)</f>
        <v>0</v>
      </c>
      <c r="GW53">
        <v>1</v>
      </c>
      <c r="GX53">
        <f t="shared" si="113"/>
        <v>0</v>
      </c>
      <c r="HA53">
        <v>0</v>
      </c>
      <c r="HB53">
        <v>0</v>
      </c>
      <c r="HC53">
        <f t="shared" si="114"/>
        <v>0</v>
      </c>
      <c r="HE53" t="s">
        <v>3</v>
      </c>
      <c r="HF53" t="s">
        <v>3</v>
      </c>
      <c r="HM53" t="s">
        <v>3</v>
      </c>
      <c r="HN53" t="s">
        <v>179</v>
      </c>
      <c r="HO53" t="s">
        <v>180</v>
      </c>
      <c r="HP53" t="s">
        <v>177</v>
      </c>
      <c r="HQ53" t="s">
        <v>177</v>
      </c>
      <c r="IK53">
        <v>0</v>
      </c>
    </row>
    <row r="54" spans="1:245" x14ac:dyDescent="0.2">
      <c r="A54">
        <v>17</v>
      </c>
      <c r="B54">
        <v>1</v>
      </c>
      <c r="E54" t="s">
        <v>191</v>
      </c>
      <c r="F54" t="s">
        <v>46</v>
      </c>
      <c r="G54" t="s">
        <v>192</v>
      </c>
      <c r="H54" t="s">
        <v>100</v>
      </c>
      <c r="I54">
        <v>185</v>
      </c>
      <c r="J54">
        <v>0</v>
      </c>
      <c r="K54">
        <v>185</v>
      </c>
      <c r="O54">
        <f t="shared" si="87"/>
        <v>4705.1400000000003</v>
      </c>
      <c r="P54">
        <f t="shared" si="88"/>
        <v>4705.1400000000003</v>
      </c>
      <c r="Q54">
        <f t="shared" si="89"/>
        <v>0</v>
      </c>
      <c r="R54">
        <f t="shared" si="90"/>
        <v>0</v>
      </c>
      <c r="S54">
        <f t="shared" si="91"/>
        <v>0</v>
      </c>
      <c r="T54">
        <f t="shared" si="92"/>
        <v>0</v>
      </c>
      <c r="U54">
        <f t="shared" si="93"/>
        <v>0</v>
      </c>
      <c r="V54">
        <f t="shared" si="94"/>
        <v>0</v>
      </c>
      <c r="W54">
        <f t="shared" si="95"/>
        <v>0</v>
      </c>
      <c r="X54">
        <f t="shared" si="96"/>
        <v>0</v>
      </c>
      <c r="Y54">
        <f t="shared" si="96"/>
        <v>0</v>
      </c>
      <c r="AA54">
        <v>145033679</v>
      </c>
      <c r="AB54">
        <f t="shared" si="97"/>
        <v>2.92</v>
      </c>
      <c r="AC54">
        <f>ROUND((ES54),2)</f>
        <v>2.92</v>
      </c>
      <c r="AD54">
        <f>ROUND((((ET54)-(EU54))+AE54),2)</f>
        <v>0</v>
      </c>
      <c r="AE54">
        <f>ROUND((EU54),2)</f>
        <v>0</v>
      </c>
      <c r="AF54">
        <f>ROUND((EV54),2)</f>
        <v>0</v>
      </c>
      <c r="AG54">
        <f t="shared" si="98"/>
        <v>0</v>
      </c>
      <c r="AH54">
        <f>(EW54)</f>
        <v>0</v>
      </c>
      <c r="AI54">
        <f>(EX54)</f>
        <v>0</v>
      </c>
      <c r="AJ54">
        <f t="shared" si="99"/>
        <v>0</v>
      </c>
      <c r="AK54">
        <v>2.9200000000000004</v>
      </c>
      <c r="AL54">
        <v>2.9200000000000004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8.7100000000000009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1</v>
      </c>
      <c r="BJ54" t="s">
        <v>3</v>
      </c>
      <c r="BM54">
        <v>1100</v>
      </c>
      <c r="BN54">
        <v>0</v>
      </c>
      <c r="BO54" t="s">
        <v>3</v>
      </c>
      <c r="BP54">
        <v>0</v>
      </c>
      <c r="BQ54">
        <v>8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0</v>
      </c>
      <c r="CA54">
        <v>0</v>
      </c>
      <c r="CB54" t="s">
        <v>3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100"/>
        <v>4705.1400000000003</v>
      </c>
      <c r="CQ54">
        <f t="shared" si="101"/>
        <v>25.433200000000003</v>
      </c>
      <c r="CR54">
        <f>(((ET54)*BB54-(EU54)*BS54)+AE54*BS54)</f>
        <v>0</v>
      </c>
      <c r="CS54">
        <f t="shared" si="102"/>
        <v>0</v>
      </c>
      <c r="CT54">
        <f t="shared" si="103"/>
        <v>0</v>
      </c>
      <c r="CU54">
        <f t="shared" si="104"/>
        <v>0</v>
      </c>
      <c r="CV54">
        <f t="shared" si="104"/>
        <v>0</v>
      </c>
      <c r="CW54">
        <f t="shared" si="104"/>
        <v>0</v>
      </c>
      <c r="CX54">
        <f t="shared" si="104"/>
        <v>0</v>
      </c>
      <c r="CY54">
        <f t="shared" si="105"/>
        <v>0</v>
      </c>
      <c r="CZ54">
        <f t="shared" si="106"/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1010</v>
      </c>
      <c r="DV54" t="s">
        <v>100</v>
      </c>
      <c r="DW54" t="s">
        <v>100</v>
      </c>
      <c r="DX54">
        <v>1</v>
      </c>
      <c r="DZ54" t="s">
        <v>3</v>
      </c>
      <c r="EA54" t="s">
        <v>3</v>
      </c>
      <c r="EB54" t="s">
        <v>3</v>
      </c>
      <c r="EC54" t="s">
        <v>3</v>
      </c>
      <c r="EE54">
        <v>140625274</v>
      </c>
      <c r="EF54">
        <v>8</v>
      </c>
      <c r="EG54" t="s">
        <v>48</v>
      </c>
      <c r="EH54">
        <v>0</v>
      </c>
      <c r="EI54" t="s">
        <v>3</v>
      </c>
      <c r="EJ54">
        <v>1</v>
      </c>
      <c r="EK54">
        <v>1100</v>
      </c>
      <c r="EL54" t="s">
        <v>49</v>
      </c>
      <c r="EM54" t="s">
        <v>50</v>
      </c>
      <c r="EO54" t="s">
        <v>3</v>
      </c>
      <c r="EQ54">
        <v>0</v>
      </c>
      <c r="ER54">
        <v>2.9200000000000004</v>
      </c>
      <c r="ES54">
        <v>2.9200000000000004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5</v>
      </c>
      <c r="FC54">
        <v>1</v>
      </c>
      <c r="FD54">
        <v>18</v>
      </c>
      <c r="FF54">
        <v>28.38</v>
      </c>
      <c r="FQ54">
        <v>0</v>
      </c>
      <c r="FR54">
        <f t="shared" si="107"/>
        <v>0</v>
      </c>
      <c r="FS54">
        <v>0</v>
      </c>
      <c r="FX54">
        <v>0</v>
      </c>
      <c r="FY54">
        <v>0</v>
      </c>
      <c r="GA54" t="s">
        <v>193</v>
      </c>
      <c r="GD54">
        <v>1</v>
      </c>
      <c r="GF54">
        <v>-650014557</v>
      </c>
      <c r="GG54">
        <v>2</v>
      </c>
      <c r="GH54">
        <v>3</v>
      </c>
      <c r="GI54">
        <v>4</v>
      </c>
      <c r="GJ54">
        <v>0</v>
      </c>
      <c r="GK54">
        <v>0</v>
      </c>
      <c r="GL54">
        <f t="shared" si="108"/>
        <v>0</v>
      </c>
      <c r="GM54">
        <f t="shared" si="109"/>
        <v>4705.1400000000003</v>
      </c>
      <c r="GN54">
        <f t="shared" si="110"/>
        <v>4705.1400000000003</v>
      </c>
      <c r="GO54">
        <f t="shared" si="111"/>
        <v>0</v>
      </c>
      <c r="GP54">
        <f t="shared" si="112"/>
        <v>0</v>
      </c>
      <c r="GR54">
        <v>1</v>
      </c>
      <c r="GS54">
        <v>1</v>
      </c>
      <c r="GT54">
        <v>0</v>
      </c>
      <c r="GU54" t="s">
        <v>3</v>
      </c>
      <c r="GV54">
        <f>ROUND((GT54),2)</f>
        <v>0</v>
      </c>
      <c r="GW54">
        <v>1</v>
      </c>
      <c r="GX54">
        <f t="shared" si="113"/>
        <v>0</v>
      </c>
      <c r="HA54">
        <v>0</v>
      </c>
      <c r="HB54">
        <v>0</v>
      </c>
      <c r="HC54">
        <f t="shared" si="114"/>
        <v>0</v>
      </c>
      <c r="HE54" t="s">
        <v>52</v>
      </c>
      <c r="HF54" t="s">
        <v>29</v>
      </c>
      <c r="HM54" t="s">
        <v>3</v>
      </c>
      <c r="HN54" t="s">
        <v>3</v>
      </c>
      <c r="HO54" t="s">
        <v>3</v>
      </c>
      <c r="HP54" t="s">
        <v>3</v>
      </c>
      <c r="HQ54" t="s">
        <v>3</v>
      </c>
      <c r="IK54">
        <v>0</v>
      </c>
    </row>
    <row r="55" spans="1:245" x14ac:dyDescent="0.2">
      <c r="A55">
        <v>17</v>
      </c>
      <c r="B55">
        <v>1</v>
      </c>
      <c r="C55">
        <f>ROW(SmtRes!A90)</f>
        <v>90</v>
      </c>
      <c r="D55">
        <f>ROW(EtalonRes!A90)</f>
        <v>90</v>
      </c>
      <c r="E55" t="s">
        <v>194</v>
      </c>
      <c r="F55" t="s">
        <v>195</v>
      </c>
      <c r="G55" t="s">
        <v>196</v>
      </c>
      <c r="H55" t="s">
        <v>197</v>
      </c>
      <c r="I55">
        <f>ROUND(185/100,9)</f>
        <v>1.85</v>
      </c>
      <c r="J55">
        <v>0</v>
      </c>
      <c r="K55">
        <f>ROUND(185/100,9)</f>
        <v>1.85</v>
      </c>
      <c r="O55">
        <f t="shared" si="87"/>
        <v>103998.07</v>
      </c>
      <c r="P55">
        <f t="shared" si="88"/>
        <v>95376.13</v>
      </c>
      <c r="Q55">
        <f t="shared" si="89"/>
        <v>2060.71</v>
      </c>
      <c r="R55">
        <f t="shared" si="90"/>
        <v>29.94</v>
      </c>
      <c r="S55">
        <f t="shared" si="91"/>
        <v>6561.23</v>
      </c>
      <c r="T55">
        <f t="shared" si="92"/>
        <v>0</v>
      </c>
      <c r="U55">
        <f t="shared" si="93"/>
        <v>21.040975</v>
      </c>
      <c r="V55">
        <f t="shared" si="94"/>
        <v>8.5100000000000009E-2</v>
      </c>
      <c r="W55">
        <f t="shared" si="95"/>
        <v>0</v>
      </c>
      <c r="X55">
        <f t="shared" si="96"/>
        <v>6063.88</v>
      </c>
      <c r="Y55">
        <f t="shared" si="96"/>
        <v>2900.11</v>
      </c>
      <c r="AA55">
        <v>145033679</v>
      </c>
      <c r="AB55">
        <f t="shared" si="97"/>
        <v>6126.98</v>
      </c>
      <c r="AC55">
        <f>ROUND((ES55),2)</f>
        <v>5919.02</v>
      </c>
      <c r="AD55">
        <f>ROUND(((((ET55*1.15))-((EU55*1.15)))+AE55),2)</f>
        <v>91.83</v>
      </c>
      <c r="AE55">
        <f>ROUND(((EU55*1.15)),2)</f>
        <v>0.53</v>
      </c>
      <c r="AF55">
        <f>ROUND(((EV55*1.15)),2)</f>
        <v>116.13</v>
      </c>
      <c r="AG55">
        <f t="shared" si="98"/>
        <v>0</v>
      </c>
      <c r="AH55">
        <f>((EW55*1.15))</f>
        <v>11.3735</v>
      </c>
      <c r="AI55">
        <f>((EX55*1.15))</f>
        <v>4.5999999999999999E-2</v>
      </c>
      <c r="AJ55">
        <f t="shared" si="99"/>
        <v>0</v>
      </c>
      <c r="AK55">
        <v>6099.85</v>
      </c>
      <c r="AL55">
        <v>5919.02</v>
      </c>
      <c r="AM55">
        <v>79.849999999999994</v>
      </c>
      <c r="AN55">
        <v>0.46</v>
      </c>
      <c r="AO55">
        <v>100.98</v>
      </c>
      <c r="AP55">
        <v>0</v>
      </c>
      <c r="AQ55">
        <v>9.89</v>
      </c>
      <c r="AR55">
        <v>0.04</v>
      </c>
      <c r="AS55">
        <v>0</v>
      </c>
      <c r="AT55">
        <v>92</v>
      </c>
      <c r="AU55">
        <v>44</v>
      </c>
      <c r="AV55">
        <v>1</v>
      </c>
      <c r="AW55">
        <v>1</v>
      </c>
      <c r="AZ55">
        <v>1</v>
      </c>
      <c r="BA55">
        <v>30.54</v>
      </c>
      <c r="BB55">
        <v>12.13</v>
      </c>
      <c r="BC55">
        <v>8.7100000000000009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198</v>
      </c>
      <c r="BM55">
        <v>69001</v>
      </c>
      <c r="BN55">
        <v>0</v>
      </c>
      <c r="BO55" t="s">
        <v>3</v>
      </c>
      <c r="BP55">
        <v>0</v>
      </c>
      <c r="BQ55">
        <v>6</v>
      </c>
      <c r="BR55">
        <v>0</v>
      </c>
      <c r="BS55">
        <v>30.54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92</v>
      </c>
      <c r="CA55">
        <v>44</v>
      </c>
      <c r="CB55" t="s">
        <v>3</v>
      </c>
      <c r="CE55">
        <v>0</v>
      </c>
      <c r="CF55">
        <v>0</v>
      </c>
      <c r="CG55">
        <v>0</v>
      </c>
      <c r="CM55">
        <v>0</v>
      </c>
      <c r="CN55" t="s">
        <v>1103</v>
      </c>
      <c r="CO55">
        <v>0</v>
      </c>
      <c r="CP55">
        <f t="shared" si="100"/>
        <v>103998.07</v>
      </c>
      <c r="CQ55">
        <f t="shared" si="101"/>
        <v>51554.664200000007</v>
      </c>
      <c r="CR55">
        <f>((((ET55*1.15))*BB55-((EU55*1.15))*BS55)+AE55*BS55)</f>
        <v>1113.8981150000002</v>
      </c>
      <c r="CS55">
        <f t="shared" si="102"/>
        <v>16.186199999999999</v>
      </c>
      <c r="CT55">
        <f t="shared" si="103"/>
        <v>3546.6101999999996</v>
      </c>
      <c r="CU55">
        <f t="shared" si="104"/>
        <v>0</v>
      </c>
      <c r="CV55">
        <f t="shared" si="104"/>
        <v>11.3735</v>
      </c>
      <c r="CW55">
        <f t="shared" si="104"/>
        <v>4.5999999999999999E-2</v>
      </c>
      <c r="CX55">
        <f t="shared" si="104"/>
        <v>0</v>
      </c>
      <c r="CY55">
        <f t="shared" si="105"/>
        <v>6063.8763999999992</v>
      </c>
      <c r="CZ55">
        <f t="shared" si="106"/>
        <v>2900.1147999999998</v>
      </c>
      <c r="DC55" t="s">
        <v>3</v>
      </c>
      <c r="DD55" t="s">
        <v>3</v>
      </c>
      <c r="DE55" t="s">
        <v>21</v>
      </c>
      <c r="DF55" t="s">
        <v>21</v>
      </c>
      <c r="DG55" t="s">
        <v>21</v>
      </c>
      <c r="DH55" t="s">
        <v>3</v>
      </c>
      <c r="DI55" t="s">
        <v>21</v>
      </c>
      <c r="DJ55" t="s">
        <v>21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197</v>
      </c>
      <c r="DW55" t="s">
        <v>197</v>
      </c>
      <c r="DX55">
        <v>1</v>
      </c>
      <c r="DZ55" t="s">
        <v>3</v>
      </c>
      <c r="EA55" t="s">
        <v>3</v>
      </c>
      <c r="EB55" t="s">
        <v>3</v>
      </c>
      <c r="EC55" t="s">
        <v>3</v>
      </c>
      <c r="EE55">
        <v>140625215</v>
      </c>
      <c r="EF55">
        <v>6</v>
      </c>
      <c r="EG55" t="s">
        <v>34</v>
      </c>
      <c r="EH55">
        <v>103</v>
      </c>
      <c r="EI55" t="s">
        <v>177</v>
      </c>
      <c r="EJ55">
        <v>1</v>
      </c>
      <c r="EK55">
        <v>69001</v>
      </c>
      <c r="EL55" t="s">
        <v>177</v>
      </c>
      <c r="EM55" t="s">
        <v>178</v>
      </c>
      <c r="EO55" t="s">
        <v>37</v>
      </c>
      <c r="EQ55">
        <v>0</v>
      </c>
      <c r="ER55">
        <v>6099.85</v>
      </c>
      <c r="ES55">
        <v>5919.02</v>
      </c>
      <c r="ET55">
        <v>79.849999999999994</v>
      </c>
      <c r="EU55">
        <v>0.46</v>
      </c>
      <c r="EV55">
        <v>100.98</v>
      </c>
      <c r="EW55">
        <v>9.89</v>
      </c>
      <c r="EX55">
        <v>0.04</v>
      </c>
      <c r="EY55">
        <v>0</v>
      </c>
      <c r="FQ55">
        <v>0</v>
      </c>
      <c r="FR55">
        <f t="shared" si="107"/>
        <v>0</v>
      </c>
      <c r="FS55">
        <v>0</v>
      </c>
      <c r="FX55">
        <v>92</v>
      </c>
      <c r="FY55">
        <v>44</v>
      </c>
      <c r="GA55" t="s">
        <v>3</v>
      </c>
      <c r="GD55">
        <v>1</v>
      </c>
      <c r="GF55">
        <v>-1866435941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108"/>
        <v>0</v>
      </c>
      <c r="GM55">
        <f t="shared" si="109"/>
        <v>112962.06</v>
      </c>
      <c r="GN55">
        <f t="shared" si="110"/>
        <v>112962.06</v>
      </c>
      <c r="GO55">
        <f t="shared" si="111"/>
        <v>0</v>
      </c>
      <c r="GP55">
        <f t="shared" si="112"/>
        <v>0</v>
      </c>
      <c r="GR55">
        <v>0</v>
      </c>
      <c r="GS55">
        <v>3</v>
      </c>
      <c r="GT55">
        <v>0</v>
      </c>
      <c r="GU55" t="s">
        <v>3</v>
      </c>
      <c r="GV55">
        <f>ROUND((GT55),2)</f>
        <v>0</v>
      </c>
      <c r="GW55">
        <v>1</v>
      </c>
      <c r="GX55">
        <f t="shared" si="113"/>
        <v>0</v>
      </c>
      <c r="HA55">
        <v>0</v>
      </c>
      <c r="HB55">
        <v>0</v>
      </c>
      <c r="HC55">
        <f t="shared" si="114"/>
        <v>0</v>
      </c>
      <c r="HE55" t="s">
        <v>3</v>
      </c>
      <c r="HF55" t="s">
        <v>3</v>
      </c>
      <c r="HM55" t="s">
        <v>3</v>
      </c>
      <c r="HN55" t="s">
        <v>179</v>
      </c>
      <c r="HO55" t="s">
        <v>180</v>
      </c>
      <c r="HP55" t="s">
        <v>177</v>
      </c>
      <c r="HQ55" t="s">
        <v>177</v>
      </c>
      <c r="IK55">
        <v>0</v>
      </c>
    </row>
    <row r="56" spans="1:245" x14ac:dyDescent="0.2">
      <c r="A56">
        <v>18</v>
      </c>
      <c r="B56">
        <v>1</v>
      </c>
      <c r="C56">
        <v>89</v>
      </c>
      <c r="E56" t="s">
        <v>199</v>
      </c>
      <c r="F56" t="s">
        <v>200</v>
      </c>
      <c r="G56" t="s">
        <v>201</v>
      </c>
      <c r="H56" t="s">
        <v>43</v>
      </c>
      <c r="I56">
        <f>I55*J56</f>
        <v>-212.81290000000001</v>
      </c>
      <c r="J56">
        <v>-115.03400000000001</v>
      </c>
      <c r="K56">
        <v>-115.03400000000001</v>
      </c>
      <c r="O56">
        <f t="shared" si="87"/>
        <v>-94199.97</v>
      </c>
      <c r="P56">
        <f t="shared" si="88"/>
        <v>-94199.97</v>
      </c>
      <c r="Q56">
        <f t="shared" si="89"/>
        <v>0</v>
      </c>
      <c r="R56">
        <f t="shared" si="90"/>
        <v>0</v>
      </c>
      <c r="S56">
        <f t="shared" si="91"/>
        <v>0</v>
      </c>
      <c r="T56">
        <f t="shared" si="92"/>
        <v>0</v>
      </c>
      <c r="U56">
        <f t="shared" si="93"/>
        <v>0</v>
      </c>
      <c r="V56">
        <f t="shared" si="94"/>
        <v>0</v>
      </c>
      <c r="W56">
        <f t="shared" si="95"/>
        <v>0</v>
      </c>
      <c r="X56">
        <f t="shared" si="96"/>
        <v>0</v>
      </c>
      <c r="Y56">
        <f t="shared" si="96"/>
        <v>0</v>
      </c>
      <c r="AA56">
        <v>145033679</v>
      </c>
      <c r="AB56">
        <f t="shared" si="97"/>
        <v>50.82</v>
      </c>
      <c r="AC56">
        <f>ROUND((ES56),2)</f>
        <v>50.82</v>
      </c>
      <c r="AD56">
        <f>ROUND((((ET56)-(EU56))+AE56),2)</f>
        <v>0</v>
      </c>
      <c r="AE56">
        <f t="shared" ref="AE56:AF58" si="115">ROUND((EU56),2)</f>
        <v>0</v>
      </c>
      <c r="AF56">
        <f t="shared" si="115"/>
        <v>0</v>
      </c>
      <c r="AG56">
        <f t="shared" si="98"/>
        <v>0</v>
      </c>
      <c r="AH56">
        <f t="shared" ref="AH56:AI58" si="116">(EW56)</f>
        <v>0</v>
      </c>
      <c r="AI56">
        <f t="shared" si="116"/>
        <v>0</v>
      </c>
      <c r="AJ56">
        <f t="shared" si="99"/>
        <v>0</v>
      </c>
      <c r="AK56">
        <v>50.82</v>
      </c>
      <c r="AL56">
        <v>50.82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92</v>
      </c>
      <c r="AU56">
        <v>44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8.7100000000000009</v>
      </c>
      <c r="BD56" t="s">
        <v>3</v>
      </c>
      <c r="BE56" t="s">
        <v>3</v>
      </c>
      <c r="BF56" t="s">
        <v>3</v>
      </c>
      <c r="BG56" t="s">
        <v>3</v>
      </c>
      <c r="BH56">
        <v>3</v>
      </c>
      <c r="BI56">
        <v>1</v>
      </c>
      <c r="BJ56" t="s">
        <v>202</v>
      </c>
      <c r="BM56">
        <v>69001</v>
      </c>
      <c r="BN56">
        <v>0</v>
      </c>
      <c r="BO56" t="s">
        <v>3</v>
      </c>
      <c r="BP56">
        <v>0</v>
      </c>
      <c r="BQ56">
        <v>6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92</v>
      </c>
      <c r="CA56">
        <v>44</v>
      </c>
      <c r="CB56" t="s">
        <v>3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100"/>
        <v>-94199.97</v>
      </c>
      <c r="CQ56">
        <f t="shared" si="101"/>
        <v>442.64220000000006</v>
      </c>
      <c r="CR56">
        <f>(((ET56)*BB56-(EU56)*BS56)+AE56*BS56)</f>
        <v>0</v>
      </c>
      <c r="CS56">
        <f t="shared" si="102"/>
        <v>0</v>
      </c>
      <c r="CT56">
        <f t="shared" si="103"/>
        <v>0</v>
      </c>
      <c r="CU56">
        <f t="shared" si="104"/>
        <v>0</v>
      </c>
      <c r="CV56">
        <f t="shared" si="104"/>
        <v>0</v>
      </c>
      <c r="CW56">
        <f t="shared" si="104"/>
        <v>0</v>
      </c>
      <c r="CX56">
        <f t="shared" si="104"/>
        <v>0</v>
      </c>
      <c r="CY56">
        <f t="shared" si="105"/>
        <v>0</v>
      </c>
      <c r="CZ56">
        <f t="shared" si="106"/>
        <v>0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1009</v>
      </c>
      <c r="DV56" t="s">
        <v>43</v>
      </c>
      <c r="DW56" t="s">
        <v>43</v>
      </c>
      <c r="DX56">
        <v>1</v>
      </c>
      <c r="DZ56" t="s">
        <v>3</v>
      </c>
      <c r="EA56" t="s">
        <v>3</v>
      </c>
      <c r="EB56" t="s">
        <v>3</v>
      </c>
      <c r="EC56" t="s">
        <v>3</v>
      </c>
      <c r="EE56">
        <v>140625215</v>
      </c>
      <c r="EF56">
        <v>6</v>
      </c>
      <c r="EG56" t="s">
        <v>34</v>
      </c>
      <c r="EH56">
        <v>103</v>
      </c>
      <c r="EI56" t="s">
        <v>177</v>
      </c>
      <c r="EJ56">
        <v>1</v>
      </c>
      <c r="EK56">
        <v>69001</v>
      </c>
      <c r="EL56" t="s">
        <v>177</v>
      </c>
      <c r="EM56" t="s">
        <v>178</v>
      </c>
      <c r="EO56" t="s">
        <v>3</v>
      </c>
      <c r="EQ56">
        <v>0</v>
      </c>
      <c r="ER56">
        <v>50.82</v>
      </c>
      <c r="ES56">
        <v>50.82</v>
      </c>
      <c r="ET56">
        <v>0</v>
      </c>
      <c r="EU56">
        <v>0</v>
      </c>
      <c r="EV56">
        <v>0</v>
      </c>
      <c r="EW56">
        <v>0</v>
      </c>
      <c r="EX56">
        <v>0</v>
      </c>
      <c r="FQ56">
        <v>0</v>
      </c>
      <c r="FR56">
        <f t="shared" si="107"/>
        <v>0</v>
      </c>
      <c r="FS56">
        <v>0</v>
      </c>
      <c r="FX56">
        <v>92</v>
      </c>
      <c r="FY56">
        <v>44</v>
      </c>
      <c r="GA56" t="s">
        <v>3</v>
      </c>
      <c r="GD56">
        <v>1</v>
      </c>
      <c r="GF56">
        <v>1937865604</v>
      </c>
      <c r="GG56">
        <v>2</v>
      </c>
      <c r="GH56">
        <v>1</v>
      </c>
      <c r="GI56">
        <v>4</v>
      </c>
      <c r="GJ56">
        <v>0</v>
      </c>
      <c r="GK56">
        <v>0</v>
      </c>
      <c r="GL56">
        <f t="shared" si="108"/>
        <v>0</v>
      </c>
      <c r="GM56">
        <f t="shared" si="109"/>
        <v>-94199.97</v>
      </c>
      <c r="GN56">
        <f t="shared" si="110"/>
        <v>-94199.97</v>
      </c>
      <c r="GO56">
        <f t="shared" si="111"/>
        <v>0</v>
      </c>
      <c r="GP56">
        <f t="shared" si="112"/>
        <v>0</v>
      </c>
      <c r="GR56">
        <v>0</v>
      </c>
      <c r="GS56">
        <v>3</v>
      </c>
      <c r="GT56">
        <v>0</v>
      </c>
      <c r="GU56" t="s">
        <v>3</v>
      </c>
      <c r="GV56">
        <f>ROUND((GT56),2)</f>
        <v>0</v>
      </c>
      <c r="GW56">
        <v>1</v>
      </c>
      <c r="GX56">
        <f t="shared" si="113"/>
        <v>0</v>
      </c>
      <c r="HA56">
        <v>0</v>
      </c>
      <c r="HB56">
        <v>0</v>
      </c>
      <c r="HC56">
        <f t="shared" si="114"/>
        <v>0</v>
      </c>
      <c r="HE56" t="s">
        <v>3</v>
      </c>
      <c r="HF56" t="s">
        <v>3</v>
      </c>
      <c r="HM56" t="s">
        <v>3</v>
      </c>
      <c r="HN56" t="s">
        <v>179</v>
      </c>
      <c r="HO56" t="s">
        <v>180</v>
      </c>
      <c r="HP56" t="s">
        <v>177</v>
      </c>
      <c r="HQ56" t="s">
        <v>177</v>
      </c>
      <c r="IK56">
        <v>0</v>
      </c>
    </row>
    <row r="57" spans="1:245" x14ac:dyDescent="0.2">
      <c r="A57">
        <v>17</v>
      </c>
      <c r="B57">
        <v>1</v>
      </c>
      <c r="E57" t="s">
        <v>203</v>
      </c>
      <c r="F57" t="s">
        <v>46</v>
      </c>
      <c r="G57" t="s">
        <v>204</v>
      </c>
      <c r="H57" t="s">
        <v>43</v>
      </c>
      <c r="I57">
        <v>185</v>
      </c>
      <c r="J57">
        <v>0</v>
      </c>
      <c r="K57">
        <v>185</v>
      </c>
      <c r="O57">
        <f t="shared" si="87"/>
        <v>223639.27</v>
      </c>
      <c r="P57">
        <f t="shared" si="88"/>
        <v>223639.27</v>
      </c>
      <c r="Q57">
        <f t="shared" si="89"/>
        <v>0</v>
      </c>
      <c r="R57">
        <f t="shared" si="90"/>
        <v>0</v>
      </c>
      <c r="S57">
        <f t="shared" si="91"/>
        <v>0</v>
      </c>
      <c r="T57">
        <f t="shared" si="92"/>
        <v>0</v>
      </c>
      <c r="U57">
        <f t="shared" si="93"/>
        <v>0</v>
      </c>
      <c r="V57">
        <f t="shared" si="94"/>
        <v>0</v>
      </c>
      <c r="W57">
        <f t="shared" si="95"/>
        <v>0</v>
      </c>
      <c r="X57">
        <f t="shared" si="96"/>
        <v>0</v>
      </c>
      <c r="Y57">
        <f t="shared" si="96"/>
        <v>0</v>
      </c>
      <c r="AA57">
        <v>145033679</v>
      </c>
      <c r="AB57">
        <f t="shared" si="97"/>
        <v>138.79</v>
      </c>
      <c r="AC57">
        <f>ROUND((ES57),2)</f>
        <v>138.79</v>
      </c>
      <c r="AD57">
        <f>ROUND((((ET57)-(EU57))+AE57),2)</f>
        <v>0</v>
      </c>
      <c r="AE57">
        <f t="shared" si="115"/>
        <v>0</v>
      </c>
      <c r="AF57">
        <f t="shared" si="115"/>
        <v>0</v>
      </c>
      <c r="AG57">
        <f t="shared" si="98"/>
        <v>0</v>
      </c>
      <c r="AH57">
        <f t="shared" si="116"/>
        <v>0</v>
      </c>
      <c r="AI57">
        <f t="shared" si="116"/>
        <v>0</v>
      </c>
      <c r="AJ57">
        <f t="shared" si="99"/>
        <v>0</v>
      </c>
      <c r="AK57">
        <v>138.79</v>
      </c>
      <c r="AL57">
        <v>138.79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8.7100000000000009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8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B57" t="s">
        <v>3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100"/>
        <v>223639.27</v>
      </c>
      <c r="CQ57">
        <f t="shared" si="101"/>
        <v>1208.8609000000001</v>
      </c>
      <c r="CR57">
        <f>(((ET57)*BB57-(EU57)*BS57)+AE57*BS57)</f>
        <v>0</v>
      </c>
      <c r="CS57">
        <f t="shared" si="102"/>
        <v>0</v>
      </c>
      <c r="CT57">
        <f t="shared" si="103"/>
        <v>0</v>
      </c>
      <c r="CU57">
        <f t="shared" si="104"/>
        <v>0</v>
      </c>
      <c r="CV57">
        <f t="shared" si="104"/>
        <v>0</v>
      </c>
      <c r="CW57">
        <f t="shared" si="104"/>
        <v>0</v>
      </c>
      <c r="CX57">
        <f t="shared" si="104"/>
        <v>0</v>
      </c>
      <c r="CY57">
        <f t="shared" si="105"/>
        <v>0</v>
      </c>
      <c r="CZ57">
        <f t="shared" si="106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43</v>
      </c>
      <c r="DW57" t="s">
        <v>43</v>
      </c>
      <c r="DX57">
        <v>1</v>
      </c>
      <c r="DZ57" t="s">
        <v>3</v>
      </c>
      <c r="EA57" t="s">
        <v>3</v>
      </c>
      <c r="EB57" t="s">
        <v>3</v>
      </c>
      <c r="EC57" t="s">
        <v>3</v>
      </c>
      <c r="EE57">
        <v>140625274</v>
      </c>
      <c r="EF57">
        <v>8</v>
      </c>
      <c r="EG57" t="s">
        <v>48</v>
      </c>
      <c r="EH57">
        <v>0</v>
      </c>
      <c r="EI57" t="s">
        <v>3</v>
      </c>
      <c r="EJ57">
        <v>1</v>
      </c>
      <c r="EK57">
        <v>1100</v>
      </c>
      <c r="EL57" t="s">
        <v>49</v>
      </c>
      <c r="EM57" t="s">
        <v>50</v>
      </c>
      <c r="EO57" t="s">
        <v>3</v>
      </c>
      <c r="EQ57">
        <v>0</v>
      </c>
      <c r="ER57">
        <v>138.79</v>
      </c>
      <c r="ES57">
        <v>138.79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1</v>
      </c>
      <c r="FD57">
        <v>18</v>
      </c>
      <c r="FF57">
        <v>1354.49</v>
      </c>
      <c r="FQ57">
        <v>0</v>
      </c>
      <c r="FR57">
        <f t="shared" si="107"/>
        <v>0</v>
      </c>
      <c r="FS57">
        <v>0</v>
      </c>
      <c r="FX57">
        <v>0</v>
      </c>
      <c r="FY57">
        <v>0</v>
      </c>
      <c r="GA57" t="s">
        <v>205</v>
      </c>
      <c r="GD57">
        <v>1</v>
      </c>
      <c r="GF57">
        <v>899801952</v>
      </c>
      <c r="GG57">
        <v>2</v>
      </c>
      <c r="GH57">
        <v>3</v>
      </c>
      <c r="GI57">
        <v>4</v>
      </c>
      <c r="GJ57">
        <v>0</v>
      </c>
      <c r="GK57">
        <v>0</v>
      </c>
      <c r="GL57">
        <f t="shared" si="108"/>
        <v>0</v>
      </c>
      <c r="GM57">
        <f t="shared" si="109"/>
        <v>223639.27</v>
      </c>
      <c r="GN57">
        <f t="shared" si="110"/>
        <v>223639.27</v>
      </c>
      <c r="GO57">
        <f t="shared" si="111"/>
        <v>0</v>
      </c>
      <c r="GP57">
        <f t="shared" si="112"/>
        <v>0</v>
      </c>
      <c r="GR57">
        <v>1</v>
      </c>
      <c r="GS57">
        <v>1</v>
      </c>
      <c r="GT57">
        <v>0</v>
      </c>
      <c r="GU57" t="s">
        <v>3</v>
      </c>
      <c r="GV57">
        <f>ROUND((GT57),2)</f>
        <v>0</v>
      </c>
      <c r="GW57">
        <v>1</v>
      </c>
      <c r="GX57">
        <f t="shared" si="113"/>
        <v>0</v>
      </c>
      <c r="HA57">
        <v>0</v>
      </c>
      <c r="HB57">
        <v>0</v>
      </c>
      <c r="HC57">
        <f t="shared" si="114"/>
        <v>0</v>
      </c>
      <c r="HE57" t="s">
        <v>52</v>
      </c>
      <c r="HF57" t="s">
        <v>29</v>
      </c>
      <c r="HM57" t="s">
        <v>3</v>
      </c>
      <c r="HN57" t="s">
        <v>3</v>
      </c>
      <c r="HO57" t="s">
        <v>3</v>
      </c>
      <c r="HP57" t="s">
        <v>3</v>
      </c>
      <c r="HQ57" t="s">
        <v>3</v>
      </c>
      <c r="IK57">
        <v>0</v>
      </c>
    </row>
    <row r="58" spans="1:245" x14ac:dyDescent="0.2">
      <c r="A58">
        <v>17</v>
      </c>
      <c r="B58">
        <v>1</v>
      </c>
      <c r="E58" t="s">
        <v>206</v>
      </c>
      <c r="F58" t="s">
        <v>46</v>
      </c>
      <c r="G58" t="s">
        <v>207</v>
      </c>
      <c r="H58" t="s">
        <v>43</v>
      </c>
      <c r="I58">
        <v>18.5</v>
      </c>
      <c r="J58">
        <v>0</v>
      </c>
      <c r="K58">
        <v>18.5</v>
      </c>
      <c r="O58">
        <f t="shared" si="87"/>
        <v>64439.5</v>
      </c>
      <c r="P58">
        <f t="shared" si="88"/>
        <v>64439.5</v>
      </c>
      <c r="Q58">
        <f t="shared" si="89"/>
        <v>0</v>
      </c>
      <c r="R58">
        <f t="shared" si="90"/>
        <v>0</v>
      </c>
      <c r="S58">
        <f t="shared" si="91"/>
        <v>0</v>
      </c>
      <c r="T58">
        <f t="shared" si="92"/>
        <v>0</v>
      </c>
      <c r="U58">
        <f t="shared" si="93"/>
        <v>0</v>
      </c>
      <c r="V58">
        <f t="shared" si="94"/>
        <v>0</v>
      </c>
      <c r="W58">
        <f t="shared" si="95"/>
        <v>0</v>
      </c>
      <c r="X58">
        <f t="shared" si="96"/>
        <v>0</v>
      </c>
      <c r="Y58">
        <f t="shared" si="96"/>
        <v>0</v>
      </c>
      <c r="AA58">
        <v>145033679</v>
      </c>
      <c r="AB58">
        <f t="shared" si="97"/>
        <v>399.91</v>
      </c>
      <c r="AC58">
        <f>ROUND((ES58),2)</f>
        <v>399.91</v>
      </c>
      <c r="AD58">
        <f>ROUND((((ET58)-(EU58))+AE58),2)</f>
        <v>0</v>
      </c>
      <c r="AE58">
        <f t="shared" si="115"/>
        <v>0</v>
      </c>
      <c r="AF58">
        <f t="shared" si="115"/>
        <v>0</v>
      </c>
      <c r="AG58">
        <f t="shared" si="98"/>
        <v>0</v>
      </c>
      <c r="AH58">
        <f t="shared" si="116"/>
        <v>0</v>
      </c>
      <c r="AI58">
        <f t="shared" si="116"/>
        <v>0</v>
      </c>
      <c r="AJ58">
        <f t="shared" si="99"/>
        <v>0</v>
      </c>
      <c r="AK58">
        <v>399.90999999999997</v>
      </c>
      <c r="AL58">
        <v>399.90999999999997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8.7100000000000009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1</v>
      </c>
      <c r="BJ58" t="s">
        <v>3</v>
      </c>
      <c r="BM58">
        <v>1100</v>
      </c>
      <c r="BN58">
        <v>0</v>
      </c>
      <c r="BO58" t="s">
        <v>3</v>
      </c>
      <c r="BP58">
        <v>0</v>
      </c>
      <c r="BQ58">
        <v>8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0</v>
      </c>
      <c r="CA58">
        <v>0</v>
      </c>
      <c r="CB58" t="s">
        <v>3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100"/>
        <v>64439.5</v>
      </c>
      <c r="CQ58">
        <f t="shared" si="101"/>
        <v>3483.2161000000006</v>
      </c>
      <c r="CR58">
        <f>(((ET58)*BB58-(EU58)*BS58)+AE58*BS58)</f>
        <v>0</v>
      </c>
      <c r="CS58">
        <f t="shared" si="102"/>
        <v>0</v>
      </c>
      <c r="CT58">
        <f t="shared" si="103"/>
        <v>0</v>
      </c>
      <c r="CU58">
        <f t="shared" si="104"/>
        <v>0</v>
      </c>
      <c r="CV58">
        <f t="shared" si="104"/>
        <v>0</v>
      </c>
      <c r="CW58">
        <f t="shared" si="104"/>
        <v>0</v>
      </c>
      <c r="CX58">
        <f t="shared" si="104"/>
        <v>0</v>
      </c>
      <c r="CY58">
        <f t="shared" si="105"/>
        <v>0</v>
      </c>
      <c r="CZ58">
        <f t="shared" si="106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1009</v>
      </c>
      <c r="DV58" t="s">
        <v>43</v>
      </c>
      <c r="DW58" t="s">
        <v>43</v>
      </c>
      <c r="DX58">
        <v>1</v>
      </c>
      <c r="DZ58" t="s">
        <v>3</v>
      </c>
      <c r="EA58" t="s">
        <v>3</v>
      </c>
      <c r="EB58" t="s">
        <v>3</v>
      </c>
      <c r="EC58" t="s">
        <v>3</v>
      </c>
      <c r="EE58">
        <v>140625274</v>
      </c>
      <c r="EF58">
        <v>8</v>
      </c>
      <c r="EG58" t="s">
        <v>48</v>
      </c>
      <c r="EH58">
        <v>0</v>
      </c>
      <c r="EI58" t="s">
        <v>3</v>
      </c>
      <c r="EJ58">
        <v>1</v>
      </c>
      <c r="EK58">
        <v>1100</v>
      </c>
      <c r="EL58" t="s">
        <v>49</v>
      </c>
      <c r="EM58" t="s">
        <v>50</v>
      </c>
      <c r="EO58" t="s">
        <v>3</v>
      </c>
      <c r="EQ58">
        <v>0</v>
      </c>
      <c r="ER58">
        <v>399.90999999999997</v>
      </c>
      <c r="ES58">
        <v>399.90999999999997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5</v>
      </c>
      <c r="FC58">
        <v>1</v>
      </c>
      <c r="FD58">
        <v>18</v>
      </c>
      <c r="FF58">
        <v>3902.77</v>
      </c>
      <c r="FQ58">
        <v>0</v>
      </c>
      <c r="FR58">
        <f t="shared" si="107"/>
        <v>0</v>
      </c>
      <c r="FS58">
        <v>0</v>
      </c>
      <c r="FX58">
        <v>0</v>
      </c>
      <c r="FY58">
        <v>0</v>
      </c>
      <c r="GA58" t="s">
        <v>208</v>
      </c>
      <c r="GD58">
        <v>1</v>
      </c>
      <c r="GF58">
        <v>-267258750</v>
      </c>
      <c r="GG58">
        <v>2</v>
      </c>
      <c r="GH58">
        <v>3</v>
      </c>
      <c r="GI58">
        <v>4</v>
      </c>
      <c r="GJ58">
        <v>0</v>
      </c>
      <c r="GK58">
        <v>0</v>
      </c>
      <c r="GL58">
        <f t="shared" si="108"/>
        <v>0</v>
      </c>
      <c r="GM58">
        <f t="shared" si="109"/>
        <v>64439.5</v>
      </c>
      <c r="GN58">
        <f t="shared" si="110"/>
        <v>64439.5</v>
      </c>
      <c r="GO58">
        <f t="shared" si="111"/>
        <v>0</v>
      </c>
      <c r="GP58">
        <f t="shared" si="112"/>
        <v>0</v>
      </c>
      <c r="GR58">
        <v>1</v>
      </c>
      <c r="GS58">
        <v>1</v>
      </c>
      <c r="GT58">
        <v>0</v>
      </c>
      <c r="GU58" t="s">
        <v>3</v>
      </c>
      <c r="GV58">
        <f>ROUND((GT58),2)</f>
        <v>0</v>
      </c>
      <c r="GW58">
        <v>1</v>
      </c>
      <c r="GX58">
        <f t="shared" si="113"/>
        <v>0</v>
      </c>
      <c r="HA58">
        <v>0</v>
      </c>
      <c r="HB58">
        <v>0</v>
      </c>
      <c r="HC58">
        <f t="shared" si="114"/>
        <v>0</v>
      </c>
      <c r="HE58" t="s">
        <v>52</v>
      </c>
      <c r="HF58" t="s">
        <v>29</v>
      </c>
      <c r="HM58" t="s">
        <v>3</v>
      </c>
      <c r="HN58" t="s">
        <v>3</v>
      </c>
      <c r="HO58" t="s">
        <v>3</v>
      </c>
      <c r="HP58" t="s">
        <v>3</v>
      </c>
      <c r="HQ58" t="s">
        <v>3</v>
      </c>
      <c r="IK58">
        <v>0</v>
      </c>
    </row>
    <row r="59" spans="1:245" x14ac:dyDescent="0.2">
      <c r="A59">
        <v>19</v>
      </c>
      <c r="B59">
        <v>1</v>
      </c>
      <c r="F59" t="s">
        <v>3</v>
      </c>
      <c r="G59" t="s">
        <v>209</v>
      </c>
      <c r="H59" t="s">
        <v>3</v>
      </c>
      <c r="AA59">
        <v>1</v>
      </c>
      <c r="IK59">
        <v>0</v>
      </c>
    </row>
    <row r="60" spans="1:245" x14ac:dyDescent="0.2">
      <c r="A60">
        <v>17</v>
      </c>
      <c r="B60">
        <v>1</v>
      </c>
      <c r="C60">
        <f>ROW(SmtRes!A98)</f>
        <v>98</v>
      </c>
      <c r="D60">
        <f>ROW(EtalonRes!A98)</f>
        <v>98</v>
      </c>
      <c r="E60" t="s">
        <v>210</v>
      </c>
      <c r="F60" t="s">
        <v>211</v>
      </c>
      <c r="G60" t="s">
        <v>212</v>
      </c>
      <c r="H60" t="s">
        <v>213</v>
      </c>
      <c r="I60">
        <v>14</v>
      </c>
      <c r="J60">
        <v>0</v>
      </c>
      <c r="K60">
        <v>14</v>
      </c>
      <c r="O60">
        <f>ROUND(CP60,2)</f>
        <v>60679.66</v>
      </c>
      <c r="P60">
        <f>ROUND(CQ60*I60,2)</f>
        <v>0</v>
      </c>
      <c r="Q60">
        <f>ROUND(CR60*I60,2)</f>
        <v>470.66</v>
      </c>
      <c r="R60">
        <f>ROUND(CS60*I60,2)</f>
        <v>0</v>
      </c>
      <c r="S60">
        <f>ROUND(CT60*I60,2)</f>
        <v>60209</v>
      </c>
      <c r="T60">
        <f>ROUND(CU60*I60,2)</f>
        <v>0</v>
      </c>
      <c r="U60">
        <f>CV60*I60</f>
        <v>217.34999999999997</v>
      </c>
      <c r="V60">
        <f>CW60*I60</f>
        <v>0</v>
      </c>
      <c r="W60">
        <f>ROUND(CX60*I60,2)</f>
        <v>0</v>
      </c>
      <c r="X60">
        <f t="shared" ref="X60:Y64" si="117">ROUND(CY60,2)</f>
        <v>55392.28</v>
      </c>
      <c r="Y60">
        <f t="shared" si="117"/>
        <v>31308.68</v>
      </c>
      <c r="AA60">
        <v>145033679</v>
      </c>
      <c r="AB60">
        <f>ROUND((AC60+AD60+AF60),2)</f>
        <v>143.59</v>
      </c>
      <c r="AC60">
        <f>ROUND(((ES60*0)),2)</f>
        <v>0</v>
      </c>
      <c r="AD60">
        <f>ROUND(((((ET60*1.15))-((EU60*1.15)))+AE60),2)</f>
        <v>2.77</v>
      </c>
      <c r="AE60">
        <f>ROUND(((EU60*1.15)),2)</f>
        <v>0</v>
      </c>
      <c r="AF60">
        <f>ROUND(((EV60*1.15)),2)</f>
        <v>140.82</v>
      </c>
      <c r="AG60">
        <f>ROUND((AP60),2)</f>
        <v>0</v>
      </c>
      <c r="AH60">
        <f>((EW60*1.15))</f>
        <v>15.524999999999999</v>
      </c>
      <c r="AI60">
        <f>((EX60*1.15))</f>
        <v>0</v>
      </c>
      <c r="AJ60">
        <f>(AS60)</f>
        <v>0</v>
      </c>
      <c r="AK60">
        <v>433.84</v>
      </c>
      <c r="AL60">
        <v>308.98</v>
      </c>
      <c r="AM60">
        <v>2.41</v>
      </c>
      <c r="AN60">
        <v>0</v>
      </c>
      <c r="AO60">
        <v>122.45</v>
      </c>
      <c r="AP60">
        <v>0</v>
      </c>
      <c r="AQ60">
        <v>13.5</v>
      </c>
      <c r="AR60">
        <v>0</v>
      </c>
      <c r="AS60">
        <v>0</v>
      </c>
      <c r="AT60">
        <v>92</v>
      </c>
      <c r="AU60">
        <v>52</v>
      </c>
      <c r="AV60">
        <v>1</v>
      </c>
      <c r="AW60">
        <v>1</v>
      </c>
      <c r="AZ60">
        <v>1</v>
      </c>
      <c r="BA60">
        <v>30.54</v>
      </c>
      <c r="BB60">
        <v>12.13</v>
      </c>
      <c r="BC60">
        <v>8.7100000000000009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1</v>
      </c>
      <c r="BJ60" t="s">
        <v>214</v>
      </c>
      <c r="BM60">
        <v>53001</v>
      </c>
      <c r="BN60">
        <v>0</v>
      </c>
      <c r="BO60" t="s">
        <v>3</v>
      </c>
      <c r="BP60">
        <v>0</v>
      </c>
      <c r="BQ60">
        <v>6</v>
      </c>
      <c r="BR60">
        <v>0</v>
      </c>
      <c r="BS60">
        <v>30.54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92</v>
      </c>
      <c r="CA60">
        <v>52</v>
      </c>
      <c r="CB60" t="s">
        <v>3</v>
      </c>
      <c r="CE60">
        <v>0</v>
      </c>
      <c r="CF60">
        <v>0</v>
      </c>
      <c r="CG60">
        <v>0</v>
      </c>
      <c r="CM60">
        <v>0</v>
      </c>
      <c r="CN60" t="s">
        <v>1103</v>
      </c>
      <c r="CO60">
        <v>0</v>
      </c>
      <c r="CP60">
        <f>(P60+Q60+S60)</f>
        <v>60679.66</v>
      </c>
      <c r="CQ60">
        <f>AC60*BC60</f>
        <v>0</v>
      </c>
      <c r="CR60">
        <f>((((ET60*1.15))*BB60-((EU60*1.15))*BS60)+AE60*BS60)</f>
        <v>33.618295000000003</v>
      </c>
      <c r="CS60">
        <f>AE60*BS60</f>
        <v>0</v>
      </c>
      <c r="CT60">
        <f>AF60*BA60</f>
        <v>4300.6427999999996</v>
      </c>
      <c r="CU60">
        <f t="shared" ref="CU60:CX64" si="118">AG60</f>
        <v>0</v>
      </c>
      <c r="CV60">
        <f t="shared" si="118"/>
        <v>15.524999999999999</v>
      </c>
      <c r="CW60">
        <f t="shared" si="118"/>
        <v>0</v>
      </c>
      <c r="CX60">
        <f t="shared" si="118"/>
        <v>0</v>
      </c>
      <c r="CY60">
        <f>(((S60+R60)*AT60)/100)</f>
        <v>55392.28</v>
      </c>
      <c r="CZ60">
        <f>(((S60+R60)*AU60)/100)</f>
        <v>31308.68</v>
      </c>
      <c r="DC60" t="s">
        <v>3</v>
      </c>
      <c r="DD60" t="s">
        <v>153</v>
      </c>
      <c r="DE60" t="s">
        <v>21</v>
      </c>
      <c r="DF60" t="s">
        <v>21</v>
      </c>
      <c r="DG60" t="s">
        <v>21</v>
      </c>
      <c r="DH60" t="s">
        <v>3</v>
      </c>
      <c r="DI60" t="s">
        <v>21</v>
      </c>
      <c r="DJ60" t="s">
        <v>21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1003</v>
      </c>
      <c r="DV60" t="s">
        <v>213</v>
      </c>
      <c r="DW60" t="s">
        <v>213</v>
      </c>
      <c r="DX60">
        <v>1</v>
      </c>
      <c r="DZ60" t="s">
        <v>3</v>
      </c>
      <c r="EA60" t="s">
        <v>3</v>
      </c>
      <c r="EB60" t="s">
        <v>3</v>
      </c>
      <c r="EC60" t="s">
        <v>3</v>
      </c>
      <c r="EE60">
        <v>140625144</v>
      </c>
      <c r="EF60">
        <v>6</v>
      </c>
      <c r="EG60" t="s">
        <v>34</v>
      </c>
      <c r="EH60">
        <v>87</v>
      </c>
      <c r="EI60" t="s">
        <v>215</v>
      </c>
      <c r="EJ60">
        <v>1</v>
      </c>
      <c r="EK60">
        <v>53001</v>
      </c>
      <c r="EL60" t="s">
        <v>215</v>
      </c>
      <c r="EM60" t="s">
        <v>216</v>
      </c>
      <c r="EO60" t="s">
        <v>37</v>
      </c>
      <c r="EQ60">
        <v>0</v>
      </c>
      <c r="ER60">
        <v>433.84</v>
      </c>
      <c r="ES60">
        <v>308.98</v>
      </c>
      <c r="ET60">
        <v>2.41</v>
      </c>
      <c r="EU60">
        <v>0</v>
      </c>
      <c r="EV60">
        <v>122.45</v>
      </c>
      <c r="EW60">
        <v>13.5</v>
      </c>
      <c r="EX60">
        <v>0</v>
      </c>
      <c r="EY60">
        <v>0</v>
      </c>
      <c r="FQ60">
        <v>0</v>
      </c>
      <c r="FR60">
        <f>ROUND(IF(BI60=3,GM60,0),2)</f>
        <v>0</v>
      </c>
      <c r="FS60">
        <v>0</v>
      </c>
      <c r="FX60">
        <v>92</v>
      </c>
      <c r="FY60">
        <v>52</v>
      </c>
      <c r="GA60" t="s">
        <v>3</v>
      </c>
      <c r="GD60">
        <v>1</v>
      </c>
      <c r="GF60">
        <v>2098167222</v>
      </c>
      <c r="GG60">
        <v>2</v>
      </c>
      <c r="GH60">
        <v>1</v>
      </c>
      <c r="GI60">
        <v>4</v>
      </c>
      <c r="GJ60">
        <v>0</v>
      </c>
      <c r="GK60">
        <v>0</v>
      </c>
      <c r="GL60">
        <f>ROUND(IF(AND(BH60=3,BI60=3,FS60&lt;&gt;0),P60,0),2)</f>
        <v>0</v>
      </c>
      <c r="GM60">
        <f>ROUND(O60+X60+Y60,2)+GX60</f>
        <v>147380.62</v>
      </c>
      <c r="GN60">
        <f>IF(OR(BI60=0,BI60=1),ROUND(O60+X60+Y60,2),0)</f>
        <v>147380.62</v>
      </c>
      <c r="GO60">
        <f>IF(BI60=2,ROUND(O60+X60+Y60,2),0)</f>
        <v>0</v>
      </c>
      <c r="GP60">
        <f>IF(BI60=4,ROUND(O60+X60+Y60,2)+GX60,0)</f>
        <v>0</v>
      </c>
      <c r="GR60">
        <v>0</v>
      </c>
      <c r="GS60">
        <v>3</v>
      </c>
      <c r="GT60">
        <v>0</v>
      </c>
      <c r="GU60" t="s">
        <v>3</v>
      </c>
      <c r="GV60">
        <f>ROUND((GT60),2)</f>
        <v>0</v>
      </c>
      <c r="GW60">
        <v>1</v>
      </c>
      <c r="GX60">
        <f>ROUND(HC60*I60,2)</f>
        <v>0</v>
      </c>
      <c r="HA60">
        <v>0</v>
      </c>
      <c r="HB60">
        <v>0</v>
      </c>
      <c r="HC60">
        <f>GV60*GW60</f>
        <v>0</v>
      </c>
      <c r="HE60" t="s">
        <v>3</v>
      </c>
      <c r="HF60" t="s">
        <v>3</v>
      </c>
      <c r="HM60" t="s">
        <v>3</v>
      </c>
      <c r="HN60" t="s">
        <v>217</v>
      </c>
      <c r="HO60" t="s">
        <v>218</v>
      </c>
      <c r="HP60" t="s">
        <v>215</v>
      </c>
      <c r="HQ60" t="s">
        <v>215</v>
      </c>
      <c r="IK60">
        <v>0</v>
      </c>
    </row>
    <row r="61" spans="1:245" x14ac:dyDescent="0.2">
      <c r="A61">
        <v>17</v>
      </c>
      <c r="B61">
        <v>1</v>
      </c>
      <c r="E61" t="s">
        <v>219</v>
      </c>
      <c r="F61" t="s">
        <v>220</v>
      </c>
      <c r="G61" t="s">
        <v>221</v>
      </c>
      <c r="H61" t="s">
        <v>222</v>
      </c>
      <c r="I61">
        <v>70</v>
      </c>
      <c r="J61">
        <v>0</v>
      </c>
      <c r="K61">
        <v>70</v>
      </c>
      <c r="O61">
        <f>ROUND(CP61,2)</f>
        <v>1518.15</v>
      </c>
      <c r="P61">
        <f>ROUND(CQ61*I61,2)</f>
        <v>1518.15</v>
      </c>
      <c r="Q61">
        <f>ROUND(CR61*I61,2)</f>
        <v>0</v>
      </c>
      <c r="R61">
        <f>ROUND(CS61*I61,2)</f>
        <v>0</v>
      </c>
      <c r="S61">
        <f>ROUND(CT61*I61,2)</f>
        <v>0</v>
      </c>
      <c r="T61">
        <f>ROUND(CU61*I61,2)</f>
        <v>0</v>
      </c>
      <c r="U61">
        <f>CV61*I61</f>
        <v>0</v>
      </c>
      <c r="V61">
        <f>CW61*I61</f>
        <v>0</v>
      </c>
      <c r="W61">
        <f>ROUND(CX61*I61,2)</f>
        <v>0</v>
      </c>
      <c r="X61">
        <f t="shared" si="117"/>
        <v>0</v>
      </c>
      <c r="Y61">
        <f t="shared" si="117"/>
        <v>0</v>
      </c>
      <c r="AA61">
        <v>145033679</v>
      </c>
      <c r="AB61">
        <f>ROUND((AC61+AD61+AF61),2)</f>
        <v>2.4900000000000002</v>
      </c>
      <c r="AC61">
        <f>ROUND((ES61),2)</f>
        <v>2.4900000000000002</v>
      </c>
      <c r="AD61">
        <f>ROUND((((ET61)-(EU61))+AE61),2)</f>
        <v>0</v>
      </c>
      <c r="AE61">
        <f>ROUND((EU61),2)</f>
        <v>0</v>
      </c>
      <c r="AF61">
        <f>ROUND((EV61),2)</f>
        <v>0</v>
      </c>
      <c r="AG61">
        <f>ROUND((AP61),2)</f>
        <v>0</v>
      </c>
      <c r="AH61">
        <f>(EW61)</f>
        <v>0</v>
      </c>
      <c r="AI61">
        <f>(EX61)</f>
        <v>0</v>
      </c>
      <c r="AJ61">
        <f>(AS61)</f>
        <v>0</v>
      </c>
      <c r="AK61">
        <v>2.4899999999999998</v>
      </c>
      <c r="AL61">
        <v>2.4899999999999998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8.7100000000000009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8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B61" t="s">
        <v>3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>(P61+Q61+S61)</f>
        <v>1518.15</v>
      </c>
      <c r="CQ61">
        <f>AC61*BC61</f>
        <v>21.687900000000003</v>
      </c>
      <c r="CR61">
        <f>(((ET61)*BB61-(EU61)*BS61)+AE61*BS61)</f>
        <v>0</v>
      </c>
      <c r="CS61">
        <f>AE61*BS61</f>
        <v>0</v>
      </c>
      <c r="CT61">
        <f>AF61*BA61</f>
        <v>0</v>
      </c>
      <c r="CU61">
        <f t="shared" si="118"/>
        <v>0</v>
      </c>
      <c r="CV61">
        <f t="shared" si="118"/>
        <v>0</v>
      </c>
      <c r="CW61">
        <f t="shared" si="118"/>
        <v>0</v>
      </c>
      <c r="CX61">
        <f t="shared" si="118"/>
        <v>0</v>
      </c>
      <c r="CY61">
        <f>(((S61+R61)*AT61)/100)</f>
        <v>0</v>
      </c>
      <c r="CZ61">
        <f>(((S61+R61)*AU61)/100)</f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222</v>
      </c>
      <c r="DW61" t="s">
        <v>222</v>
      </c>
      <c r="DX61">
        <v>1</v>
      </c>
      <c r="DZ61" t="s">
        <v>3</v>
      </c>
      <c r="EA61" t="s">
        <v>3</v>
      </c>
      <c r="EB61" t="s">
        <v>3</v>
      </c>
      <c r="EC61" t="s">
        <v>3</v>
      </c>
      <c r="EE61">
        <v>140625274</v>
      </c>
      <c r="EF61">
        <v>8</v>
      </c>
      <c r="EG61" t="s">
        <v>48</v>
      </c>
      <c r="EH61">
        <v>0</v>
      </c>
      <c r="EI61" t="s">
        <v>3</v>
      </c>
      <c r="EJ61">
        <v>1</v>
      </c>
      <c r="EK61">
        <v>1100</v>
      </c>
      <c r="EL61" t="s">
        <v>49</v>
      </c>
      <c r="EM61" t="s">
        <v>50</v>
      </c>
      <c r="EO61" t="s">
        <v>3</v>
      </c>
      <c r="EQ61">
        <v>2097152</v>
      </c>
      <c r="ER61">
        <v>2.4899999999999998</v>
      </c>
      <c r="ES61">
        <v>2.4899999999999998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1</v>
      </c>
      <c r="FD61">
        <v>18</v>
      </c>
      <c r="FF61">
        <v>24.25</v>
      </c>
      <c r="FQ61">
        <v>0</v>
      </c>
      <c r="FR61">
        <f>ROUND(IF(BI61=3,GM61,0),2)</f>
        <v>0</v>
      </c>
      <c r="FS61">
        <v>0</v>
      </c>
      <c r="FX61">
        <v>0</v>
      </c>
      <c r="FY61">
        <v>0</v>
      </c>
      <c r="GA61" t="s">
        <v>223</v>
      </c>
      <c r="GD61">
        <v>1</v>
      </c>
      <c r="GF61">
        <v>113028737</v>
      </c>
      <c r="GG61">
        <v>2</v>
      </c>
      <c r="GH61">
        <v>3</v>
      </c>
      <c r="GI61">
        <v>4</v>
      </c>
      <c r="GJ61">
        <v>0</v>
      </c>
      <c r="GK61">
        <v>0</v>
      </c>
      <c r="GL61">
        <f>ROUND(IF(AND(BH61=3,BI61=3,FS61&lt;&gt;0),P61,0),2)</f>
        <v>0</v>
      </c>
      <c r="GM61">
        <f>ROUND(O61+X61+Y61,2)+GX61</f>
        <v>1518.15</v>
      </c>
      <c r="GN61">
        <f>IF(OR(BI61=0,BI61=1),ROUND(O61+X61+Y61,2),0)</f>
        <v>1518.15</v>
      </c>
      <c r="GO61">
        <f>IF(BI61=2,ROUND(O61+X61+Y61,2),0)</f>
        <v>0</v>
      </c>
      <c r="GP61">
        <f>IF(BI61=4,ROUND(O61+X61+Y61,2)+GX61,0)</f>
        <v>0</v>
      </c>
      <c r="GR61">
        <v>1</v>
      </c>
      <c r="GS61">
        <v>1</v>
      </c>
      <c r="GT61">
        <v>0</v>
      </c>
      <c r="GU61" t="s">
        <v>3</v>
      </c>
      <c r="GV61">
        <f>ROUND((GT61),2)</f>
        <v>0</v>
      </c>
      <c r="GW61">
        <v>1</v>
      </c>
      <c r="GX61">
        <f>ROUND(HC61*I61,2)</f>
        <v>0</v>
      </c>
      <c r="HA61">
        <v>0</v>
      </c>
      <c r="HB61">
        <v>0</v>
      </c>
      <c r="HC61">
        <f>GV61*GW61</f>
        <v>0</v>
      </c>
      <c r="HE61" t="s">
        <v>52</v>
      </c>
      <c r="HF61" t="s">
        <v>29</v>
      </c>
      <c r="HM61" t="s">
        <v>3</v>
      </c>
      <c r="HN61" t="s">
        <v>3</v>
      </c>
      <c r="HO61" t="s">
        <v>3</v>
      </c>
      <c r="HP61" t="s">
        <v>3</v>
      </c>
      <c r="HQ61" t="s">
        <v>3</v>
      </c>
      <c r="IK61">
        <v>0</v>
      </c>
    </row>
    <row r="62" spans="1:245" x14ac:dyDescent="0.2">
      <c r="A62">
        <v>17</v>
      </c>
      <c r="B62">
        <v>1</v>
      </c>
      <c r="C62">
        <f>ROW(SmtRes!A99)</f>
        <v>99</v>
      </c>
      <c r="D62">
        <f>ROW(EtalonRes!A99)</f>
        <v>99</v>
      </c>
      <c r="E62" t="s">
        <v>224</v>
      </c>
      <c r="F62" t="s">
        <v>225</v>
      </c>
      <c r="G62" t="s">
        <v>226</v>
      </c>
      <c r="H62" t="s">
        <v>66</v>
      </c>
      <c r="I62">
        <v>1.4E-2</v>
      </c>
      <c r="J62">
        <v>0</v>
      </c>
      <c r="K62">
        <v>1.4E-2</v>
      </c>
      <c r="O62">
        <f>ROUND(CP62,2)</f>
        <v>9.7799999999999994</v>
      </c>
      <c r="P62">
        <f>ROUND(CQ62*I62,2)</f>
        <v>0</v>
      </c>
      <c r="Q62">
        <f>ROUND(CR62*I62,2)</f>
        <v>0</v>
      </c>
      <c r="R62">
        <f>ROUND(CS62*I62,2)</f>
        <v>0</v>
      </c>
      <c r="S62">
        <f>ROUND(CT62*I62,2)</f>
        <v>9.7799999999999994</v>
      </c>
      <c r="T62">
        <f>ROUND(CU62*I62,2)</f>
        <v>0</v>
      </c>
      <c r="U62">
        <f>CV62*I62</f>
        <v>4.1054999999999994E-2</v>
      </c>
      <c r="V62">
        <f>CW62*I62</f>
        <v>0</v>
      </c>
      <c r="W62">
        <f>ROUND(CX62*I62,2)</f>
        <v>0</v>
      </c>
      <c r="X62">
        <f t="shared" si="117"/>
        <v>7.14</v>
      </c>
      <c r="Y62">
        <f t="shared" si="117"/>
        <v>3.33</v>
      </c>
      <c r="AA62">
        <v>145033679</v>
      </c>
      <c r="AB62">
        <f>ROUND((AC62+AD62+AF62),2)</f>
        <v>22.87</v>
      </c>
      <c r="AC62">
        <f>ROUND((ES62),2)</f>
        <v>0</v>
      </c>
      <c r="AD62">
        <f>ROUND(((((ET62*1.15))-((EU62*1.15)))+AE62),2)</f>
        <v>0</v>
      </c>
      <c r="AE62">
        <f>ROUND(((EU62*1.15)),2)</f>
        <v>0</v>
      </c>
      <c r="AF62">
        <f>ROUND(((EV62*1.15)),2)</f>
        <v>22.87</v>
      </c>
      <c r="AG62">
        <f>ROUND((AP62),2)</f>
        <v>0</v>
      </c>
      <c r="AH62">
        <f>((EW62*1.15))</f>
        <v>2.9324999999999997</v>
      </c>
      <c r="AI62">
        <f>((EX62*1.15))</f>
        <v>0</v>
      </c>
      <c r="AJ62">
        <f>(AS62)</f>
        <v>0</v>
      </c>
      <c r="AK62">
        <v>19.89</v>
      </c>
      <c r="AL62">
        <v>0</v>
      </c>
      <c r="AM62">
        <v>0</v>
      </c>
      <c r="AN62">
        <v>0</v>
      </c>
      <c r="AO62">
        <v>19.89</v>
      </c>
      <c r="AP62">
        <v>0</v>
      </c>
      <c r="AQ62">
        <v>2.5499999999999998</v>
      </c>
      <c r="AR62">
        <v>0</v>
      </c>
      <c r="AS62">
        <v>0</v>
      </c>
      <c r="AT62">
        <v>73</v>
      </c>
      <c r="AU62">
        <v>34</v>
      </c>
      <c r="AV62">
        <v>1</v>
      </c>
      <c r="AW62">
        <v>1</v>
      </c>
      <c r="AZ62">
        <v>1</v>
      </c>
      <c r="BA62">
        <v>30.54</v>
      </c>
      <c r="BB62">
        <v>12.13</v>
      </c>
      <c r="BC62">
        <v>8.7100000000000009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1</v>
      </c>
      <c r="BJ62" t="s">
        <v>227</v>
      </c>
      <c r="BM62">
        <v>69002</v>
      </c>
      <c r="BN62">
        <v>0</v>
      </c>
      <c r="BO62" t="s">
        <v>3</v>
      </c>
      <c r="BP62">
        <v>0</v>
      </c>
      <c r="BQ62">
        <v>6</v>
      </c>
      <c r="BR62">
        <v>0</v>
      </c>
      <c r="BS62">
        <v>30.54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73</v>
      </c>
      <c r="CA62">
        <v>34</v>
      </c>
      <c r="CB62" t="s">
        <v>3</v>
      </c>
      <c r="CE62">
        <v>0</v>
      </c>
      <c r="CF62">
        <v>0</v>
      </c>
      <c r="CG62">
        <v>0</v>
      </c>
      <c r="CM62">
        <v>0</v>
      </c>
      <c r="CN62" t="s">
        <v>1103</v>
      </c>
      <c r="CO62">
        <v>0</v>
      </c>
      <c r="CP62">
        <f>(P62+Q62+S62)</f>
        <v>9.7799999999999994</v>
      </c>
      <c r="CQ62">
        <f>AC62*BC62</f>
        <v>0</v>
      </c>
      <c r="CR62">
        <f>((((ET62*1.15))*BB62-((EU62*1.15))*BS62)+AE62*BS62)</f>
        <v>0</v>
      </c>
      <c r="CS62">
        <f>AE62*BS62</f>
        <v>0</v>
      </c>
      <c r="CT62">
        <f>AF62*BA62</f>
        <v>698.44979999999998</v>
      </c>
      <c r="CU62">
        <f t="shared" si="118"/>
        <v>0</v>
      </c>
      <c r="CV62">
        <f t="shared" si="118"/>
        <v>2.9324999999999997</v>
      </c>
      <c r="CW62">
        <f t="shared" si="118"/>
        <v>0</v>
      </c>
      <c r="CX62">
        <f t="shared" si="118"/>
        <v>0</v>
      </c>
      <c r="CY62">
        <f>(((S62+R62)*AT62)/100)</f>
        <v>7.1393999999999993</v>
      </c>
      <c r="CZ62">
        <f>(((S62+R62)*AU62)/100)</f>
        <v>3.3251999999999997</v>
      </c>
      <c r="DC62" t="s">
        <v>3</v>
      </c>
      <c r="DD62" t="s">
        <v>3</v>
      </c>
      <c r="DE62" t="s">
        <v>21</v>
      </c>
      <c r="DF62" t="s">
        <v>21</v>
      </c>
      <c r="DG62" t="s">
        <v>21</v>
      </c>
      <c r="DH62" t="s">
        <v>3</v>
      </c>
      <c r="DI62" t="s">
        <v>21</v>
      </c>
      <c r="DJ62" t="s">
        <v>21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1007</v>
      </c>
      <c r="DV62" t="s">
        <v>66</v>
      </c>
      <c r="DW62" t="s">
        <v>66</v>
      </c>
      <c r="DX62">
        <v>1</v>
      </c>
      <c r="DZ62" t="s">
        <v>3</v>
      </c>
      <c r="EA62" t="s">
        <v>3</v>
      </c>
      <c r="EB62" t="s">
        <v>3</v>
      </c>
      <c r="EC62" t="s">
        <v>3</v>
      </c>
      <c r="EE62">
        <v>140625220</v>
      </c>
      <c r="EF62">
        <v>6</v>
      </c>
      <c r="EG62" t="s">
        <v>34</v>
      </c>
      <c r="EH62">
        <v>108</v>
      </c>
      <c r="EI62" t="s">
        <v>68</v>
      </c>
      <c r="EJ62">
        <v>1</v>
      </c>
      <c r="EK62">
        <v>69002</v>
      </c>
      <c r="EL62" t="s">
        <v>68</v>
      </c>
      <c r="EM62" t="s">
        <v>228</v>
      </c>
      <c r="EO62" t="s">
        <v>37</v>
      </c>
      <c r="EQ62">
        <v>0</v>
      </c>
      <c r="ER62">
        <v>19.89</v>
      </c>
      <c r="ES62">
        <v>0</v>
      </c>
      <c r="ET62">
        <v>0</v>
      </c>
      <c r="EU62">
        <v>0</v>
      </c>
      <c r="EV62">
        <v>19.89</v>
      </c>
      <c r="EW62">
        <v>2.5499999999999998</v>
      </c>
      <c r="EX62">
        <v>0</v>
      </c>
      <c r="EY62">
        <v>0</v>
      </c>
      <c r="FQ62">
        <v>0</v>
      </c>
      <c r="FR62">
        <f>ROUND(IF(BI62=3,GM62,0),2)</f>
        <v>0</v>
      </c>
      <c r="FS62">
        <v>0</v>
      </c>
      <c r="FX62">
        <v>73</v>
      </c>
      <c r="FY62">
        <v>34</v>
      </c>
      <c r="GA62" t="s">
        <v>3</v>
      </c>
      <c r="GD62">
        <v>1</v>
      </c>
      <c r="GF62">
        <v>1231319552</v>
      </c>
      <c r="GG62">
        <v>2</v>
      </c>
      <c r="GH62">
        <v>1</v>
      </c>
      <c r="GI62">
        <v>4</v>
      </c>
      <c r="GJ62">
        <v>0</v>
      </c>
      <c r="GK62">
        <v>0</v>
      </c>
      <c r="GL62">
        <f>ROUND(IF(AND(BH62=3,BI62=3,FS62&lt;&gt;0),P62,0),2)</f>
        <v>0</v>
      </c>
      <c r="GM62">
        <f>ROUND(O62+X62+Y62,2)+GX62</f>
        <v>20.25</v>
      </c>
      <c r="GN62">
        <f>IF(OR(BI62=0,BI62=1),ROUND(O62+X62+Y62,2),0)</f>
        <v>20.25</v>
      </c>
      <c r="GO62">
        <f>IF(BI62=2,ROUND(O62+X62+Y62,2),0)</f>
        <v>0</v>
      </c>
      <c r="GP62">
        <f>IF(BI62=4,ROUND(O62+X62+Y62,2)+GX62,0)</f>
        <v>0</v>
      </c>
      <c r="GR62">
        <v>0</v>
      </c>
      <c r="GS62">
        <v>3</v>
      </c>
      <c r="GT62">
        <v>0</v>
      </c>
      <c r="GU62" t="s">
        <v>3</v>
      </c>
      <c r="GV62">
        <f>ROUND((GT62),2)</f>
        <v>0</v>
      </c>
      <c r="GW62">
        <v>1</v>
      </c>
      <c r="GX62">
        <f>ROUND(HC62*I62,2)</f>
        <v>0</v>
      </c>
      <c r="HA62">
        <v>0</v>
      </c>
      <c r="HB62">
        <v>0</v>
      </c>
      <c r="HC62">
        <f>GV62*GW62</f>
        <v>0</v>
      </c>
      <c r="HE62" t="s">
        <v>3</v>
      </c>
      <c r="HF62" t="s">
        <v>3</v>
      </c>
      <c r="HM62" t="s">
        <v>3</v>
      </c>
      <c r="HN62" t="s">
        <v>70</v>
      </c>
      <c r="HO62" t="s">
        <v>71</v>
      </c>
      <c r="HP62" t="s">
        <v>72</v>
      </c>
      <c r="HQ62" t="s">
        <v>72</v>
      </c>
      <c r="IK62">
        <v>0</v>
      </c>
    </row>
    <row r="63" spans="1:245" x14ac:dyDescent="0.2">
      <c r="A63">
        <v>17</v>
      </c>
      <c r="B63">
        <v>1</v>
      </c>
      <c r="E63" t="s">
        <v>229</v>
      </c>
      <c r="F63" t="s">
        <v>220</v>
      </c>
      <c r="G63" t="s">
        <v>230</v>
      </c>
      <c r="H63" t="s">
        <v>43</v>
      </c>
      <c r="I63">
        <v>84</v>
      </c>
      <c r="J63">
        <v>0</v>
      </c>
      <c r="K63">
        <v>84</v>
      </c>
      <c r="O63">
        <f>ROUND(CP63,2)</f>
        <v>8406.5400000000009</v>
      </c>
      <c r="P63">
        <f>ROUND(CQ63*I63,2)</f>
        <v>8406.5400000000009</v>
      </c>
      <c r="Q63">
        <f>ROUND(CR63*I63,2)</f>
        <v>0</v>
      </c>
      <c r="R63">
        <f>ROUND(CS63*I63,2)</f>
        <v>0</v>
      </c>
      <c r="S63">
        <f>ROUND(CT63*I63,2)</f>
        <v>0</v>
      </c>
      <c r="T63">
        <f>ROUND(CU63*I63,2)</f>
        <v>0</v>
      </c>
      <c r="U63">
        <f>CV63*I63</f>
        <v>0</v>
      </c>
      <c r="V63">
        <f>CW63*I63</f>
        <v>0</v>
      </c>
      <c r="W63">
        <f>ROUND(CX63*I63,2)</f>
        <v>0</v>
      </c>
      <c r="X63">
        <f t="shared" si="117"/>
        <v>0</v>
      </c>
      <c r="Y63">
        <f t="shared" si="117"/>
        <v>0</v>
      </c>
      <c r="AA63">
        <v>145033679</v>
      </c>
      <c r="AB63">
        <f>ROUND((AC63+AD63+AF63),2)</f>
        <v>11.49</v>
      </c>
      <c r="AC63">
        <f>ROUND((ES63),2)</f>
        <v>11.49</v>
      </c>
      <c r="AD63">
        <f>ROUND((((ET63)-(EU63))+AE63),2)</f>
        <v>0</v>
      </c>
      <c r="AE63">
        <f>ROUND((EU63),2)</f>
        <v>0</v>
      </c>
      <c r="AF63">
        <f>ROUND((EV63),2)</f>
        <v>0</v>
      </c>
      <c r="AG63">
        <f>ROUND((AP63),2)</f>
        <v>0</v>
      </c>
      <c r="AH63">
        <f>(EW63)</f>
        <v>0</v>
      </c>
      <c r="AI63">
        <f>(EX63)</f>
        <v>0</v>
      </c>
      <c r="AJ63">
        <f>(AS63)</f>
        <v>0</v>
      </c>
      <c r="AK63">
        <v>11.490000000000002</v>
      </c>
      <c r="AL63">
        <v>11.490000000000002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8.7100000000000009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8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B63" t="s">
        <v>3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>(P63+Q63+S63)</f>
        <v>8406.5400000000009</v>
      </c>
      <c r="CQ63">
        <f>AC63*BC63</f>
        <v>100.07790000000001</v>
      </c>
      <c r="CR63">
        <f>(((ET63)*BB63-(EU63)*BS63)+AE63*BS63)</f>
        <v>0</v>
      </c>
      <c r="CS63">
        <f>AE63*BS63</f>
        <v>0</v>
      </c>
      <c r="CT63">
        <f>AF63*BA63</f>
        <v>0</v>
      </c>
      <c r="CU63">
        <f t="shared" si="118"/>
        <v>0</v>
      </c>
      <c r="CV63">
        <f t="shared" si="118"/>
        <v>0</v>
      </c>
      <c r="CW63">
        <f t="shared" si="118"/>
        <v>0</v>
      </c>
      <c r="CX63">
        <f t="shared" si="118"/>
        <v>0</v>
      </c>
      <c r="CY63">
        <f>(((S63+R63)*AT63)/100)</f>
        <v>0</v>
      </c>
      <c r="CZ63">
        <f>(((S63+R63)*AU63)/100)</f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43</v>
      </c>
      <c r="DW63" t="s">
        <v>43</v>
      </c>
      <c r="DX63">
        <v>1</v>
      </c>
      <c r="DZ63" t="s">
        <v>3</v>
      </c>
      <c r="EA63" t="s">
        <v>3</v>
      </c>
      <c r="EB63" t="s">
        <v>3</v>
      </c>
      <c r="EC63" t="s">
        <v>3</v>
      </c>
      <c r="EE63">
        <v>140625274</v>
      </c>
      <c r="EF63">
        <v>8</v>
      </c>
      <c r="EG63" t="s">
        <v>48</v>
      </c>
      <c r="EH63">
        <v>0</v>
      </c>
      <c r="EI63" t="s">
        <v>3</v>
      </c>
      <c r="EJ63">
        <v>1</v>
      </c>
      <c r="EK63">
        <v>1100</v>
      </c>
      <c r="EL63" t="s">
        <v>49</v>
      </c>
      <c r="EM63" t="s">
        <v>50</v>
      </c>
      <c r="EO63" t="s">
        <v>3</v>
      </c>
      <c r="EQ63">
        <v>2097152</v>
      </c>
      <c r="ER63">
        <v>11.490000000000002</v>
      </c>
      <c r="ES63">
        <v>11.490000000000002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1</v>
      </c>
      <c r="FD63">
        <v>18</v>
      </c>
      <c r="FF63">
        <v>112</v>
      </c>
      <c r="FQ63">
        <v>0</v>
      </c>
      <c r="FR63">
        <f>ROUND(IF(BI63=3,GM63,0),2)</f>
        <v>0</v>
      </c>
      <c r="FS63">
        <v>0</v>
      </c>
      <c r="FX63">
        <v>0</v>
      </c>
      <c r="FY63">
        <v>0</v>
      </c>
      <c r="GA63" t="s">
        <v>231</v>
      </c>
      <c r="GD63">
        <v>1</v>
      </c>
      <c r="GF63">
        <v>151075594</v>
      </c>
      <c r="GG63">
        <v>2</v>
      </c>
      <c r="GH63">
        <v>3</v>
      </c>
      <c r="GI63">
        <v>4</v>
      </c>
      <c r="GJ63">
        <v>0</v>
      </c>
      <c r="GK63">
        <v>0</v>
      </c>
      <c r="GL63">
        <f>ROUND(IF(AND(BH63=3,BI63=3,FS63&lt;&gt;0),P63,0),2)</f>
        <v>0</v>
      </c>
      <c r="GM63">
        <f>ROUND(O63+X63+Y63,2)+GX63</f>
        <v>8406.5400000000009</v>
      </c>
      <c r="GN63">
        <f>IF(OR(BI63=0,BI63=1),ROUND(O63+X63+Y63,2),0)</f>
        <v>8406.5400000000009</v>
      </c>
      <c r="GO63">
        <f>IF(BI63=2,ROUND(O63+X63+Y63,2),0)</f>
        <v>0</v>
      </c>
      <c r="GP63">
        <f>IF(BI63=4,ROUND(O63+X63+Y63,2)+GX63,0)</f>
        <v>0</v>
      </c>
      <c r="GR63">
        <v>1</v>
      </c>
      <c r="GS63">
        <v>1</v>
      </c>
      <c r="GT63">
        <v>0</v>
      </c>
      <c r="GU63" t="s">
        <v>3</v>
      </c>
      <c r="GV63">
        <f>ROUND((GT63),2)</f>
        <v>0</v>
      </c>
      <c r="GW63">
        <v>1</v>
      </c>
      <c r="GX63">
        <f>ROUND(HC63*I63,2)</f>
        <v>0</v>
      </c>
      <c r="HA63">
        <v>0</v>
      </c>
      <c r="HB63">
        <v>0</v>
      </c>
      <c r="HC63">
        <f>GV63*GW63</f>
        <v>0</v>
      </c>
      <c r="HE63" t="s">
        <v>52</v>
      </c>
      <c r="HF63" t="s">
        <v>29</v>
      </c>
      <c r="HM63" t="s">
        <v>3</v>
      </c>
      <c r="HN63" t="s">
        <v>3</v>
      </c>
      <c r="HO63" t="s">
        <v>3</v>
      </c>
      <c r="HP63" t="s">
        <v>3</v>
      </c>
      <c r="HQ63" t="s">
        <v>3</v>
      </c>
      <c r="IK63">
        <v>0</v>
      </c>
    </row>
    <row r="64" spans="1:245" x14ac:dyDescent="0.2">
      <c r="A64">
        <v>17</v>
      </c>
      <c r="B64">
        <v>1</v>
      </c>
      <c r="E64" t="s">
        <v>232</v>
      </c>
      <c r="F64" t="s">
        <v>220</v>
      </c>
      <c r="G64" t="s">
        <v>233</v>
      </c>
      <c r="H64" t="s">
        <v>43</v>
      </c>
      <c r="I64">
        <v>210</v>
      </c>
      <c r="J64">
        <v>0</v>
      </c>
      <c r="K64">
        <v>210</v>
      </c>
      <c r="O64">
        <f>ROUND(CP64,2)</f>
        <v>16864.3</v>
      </c>
      <c r="P64">
        <f>ROUND(CQ64*I64,2)</f>
        <v>16864.3</v>
      </c>
      <c r="Q64">
        <f>ROUND(CR64*I64,2)</f>
        <v>0</v>
      </c>
      <c r="R64">
        <f>ROUND(CS64*I64,2)</f>
        <v>0</v>
      </c>
      <c r="S64">
        <f>ROUND(CT64*I64,2)</f>
        <v>0</v>
      </c>
      <c r="T64">
        <f>ROUND(CU64*I64,2)</f>
        <v>0</v>
      </c>
      <c r="U64">
        <f>CV64*I64</f>
        <v>0</v>
      </c>
      <c r="V64">
        <f>CW64*I64</f>
        <v>0</v>
      </c>
      <c r="W64">
        <f>ROUND(CX64*I64,2)</f>
        <v>0</v>
      </c>
      <c r="X64">
        <f t="shared" si="117"/>
        <v>0</v>
      </c>
      <c r="Y64">
        <f t="shared" si="117"/>
        <v>0</v>
      </c>
      <c r="AA64">
        <v>145033679</v>
      </c>
      <c r="AB64">
        <f>ROUND((AC64+AD64+AF64),2)</f>
        <v>9.2200000000000006</v>
      </c>
      <c r="AC64">
        <f>ROUND((ES64),2)</f>
        <v>9.2200000000000006</v>
      </c>
      <c r="AD64">
        <f>ROUND((((ET64)-(EU64))+AE64),2)</f>
        <v>0</v>
      </c>
      <c r="AE64">
        <f>ROUND((EU64),2)</f>
        <v>0</v>
      </c>
      <c r="AF64">
        <f>ROUND((EV64),2)</f>
        <v>0</v>
      </c>
      <c r="AG64">
        <f>ROUND((AP64),2)</f>
        <v>0</v>
      </c>
      <c r="AH64">
        <f>(EW64)</f>
        <v>0</v>
      </c>
      <c r="AI64">
        <f>(EX64)</f>
        <v>0</v>
      </c>
      <c r="AJ64">
        <f>(AS64)</f>
        <v>0</v>
      </c>
      <c r="AK64">
        <v>9.2199999999999989</v>
      </c>
      <c r="AL64">
        <v>9.2199999999999989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8.7100000000000009</v>
      </c>
      <c r="BD64" t="s">
        <v>3</v>
      </c>
      <c r="BE64" t="s">
        <v>3</v>
      </c>
      <c r="BF64" t="s">
        <v>3</v>
      </c>
      <c r="BG64" t="s">
        <v>3</v>
      </c>
      <c r="BH64">
        <v>3</v>
      </c>
      <c r="BI64">
        <v>1</v>
      </c>
      <c r="BJ64" t="s">
        <v>3</v>
      </c>
      <c r="BM64">
        <v>1100</v>
      </c>
      <c r="BN64">
        <v>0</v>
      </c>
      <c r="BO64" t="s">
        <v>3</v>
      </c>
      <c r="BP64">
        <v>0</v>
      </c>
      <c r="BQ64">
        <v>8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0</v>
      </c>
      <c r="CA64">
        <v>0</v>
      </c>
      <c r="CB64" t="s">
        <v>3</v>
      </c>
      <c r="CE64">
        <v>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>(P64+Q64+S64)</f>
        <v>16864.3</v>
      </c>
      <c r="CQ64">
        <f>AC64*BC64</f>
        <v>80.306200000000018</v>
      </c>
      <c r="CR64">
        <f>(((ET64)*BB64-(EU64)*BS64)+AE64*BS64)</f>
        <v>0</v>
      </c>
      <c r="CS64">
        <f>AE64*BS64</f>
        <v>0</v>
      </c>
      <c r="CT64">
        <f>AF64*BA64</f>
        <v>0</v>
      </c>
      <c r="CU64">
        <f t="shared" si="118"/>
        <v>0</v>
      </c>
      <c r="CV64">
        <f t="shared" si="118"/>
        <v>0</v>
      </c>
      <c r="CW64">
        <f t="shared" si="118"/>
        <v>0</v>
      </c>
      <c r="CX64">
        <f t="shared" si="118"/>
        <v>0</v>
      </c>
      <c r="CY64">
        <f>(((S64+R64)*AT64)/100)</f>
        <v>0</v>
      </c>
      <c r="CZ64">
        <f>(((S64+R64)*AU64)/100)</f>
        <v>0</v>
      </c>
      <c r="DC64" t="s">
        <v>3</v>
      </c>
      <c r="DD64" t="s">
        <v>3</v>
      </c>
      <c r="DE64" t="s">
        <v>3</v>
      </c>
      <c r="DF64" t="s">
        <v>3</v>
      </c>
      <c r="DG64" t="s">
        <v>3</v>
      </c>
      <c r="DH64" t="s">
        <v>3</v>
      </c>
      <c r="DI64" t="s">
        <v>3</v>
      </c>
      <c r="DJ64" t="s">
        <v>3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1009</v>
      </c>
      <c r="DV64" t="s">
        <v>43</v>
      </c>
      <c r="DW64" t="s">
        <v>43</v>
      </c>
      <c r="DX64">
        <v>1</v>
      </c>
      <c r="DZ64" t="s">
        <v>3</v>
      </c>
      <c r="EA64" t="s">
        <v>3</v>
      </c>
      <c r="EB64" t="s">
        <v>3</v>
      </c>
      <c r="EC64" t="s">
        <v>3</v>
      </c>
      <c r="EE64">
        <v>140625274</v>
      </c>
      <c r="EF64">
        <v>8</v>
      </c>
      <c r="EG64" t="s">
        <v>48</v>
      </c>
      <c r="EH64">
        <v>0</v>
      </c>
      <c r="EI64" t="s">
        <v>3</v>
      </c>
      <c r="EJ64">
        <v>1</v>
      </c>
      <c r="EK64">
        <v>1100</v>
      </c>
      <c r="EL64" t="s">
        <v>49</v>
      </c>
      <c r="EM64" t="s">
        <v>50</v>
      </c>
      <c r="EO64" t="s">
        <v>3</v>
      </c>
      <c r="EQ64">
        <v>2097152</v>
      </c>
      <c r="ER64">
        <v>9.2199999999999989</v>
      </c>
      <c r="ES64">
        <v>9.2199999999999989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5</v>
      </c>
      <c r="FC64">
        <v>1</v>
      </c>
      <c r="FD64">
        <v>18</v>
      </c>
      <c r="FF64">
        <v>90</v>
      </c>
      <c r="FQ64">
        <v>0</v>
      </c>
      <c r="FR64">
        <f>ROUND(IF(BI64=3,GM64,0),2)</f>
        <v>0</v>
      </c>
      <c r="FS64">
        <v>0</v>
      </c>
      <c r="FX64">
        <v>0</v>
      </c>
      <c r="FY64">
        <v>0</v>
      </c>
      <c r="GA64" t="s">
        <v>234</v>
      </c>
      <c r="GD64">
        <v>1</v>
      </c>
      <c r="GF64">
        <v>-1159051633</v>
      </c>
      <c r="GG64">
        <v>2</v>
      </c>
      <c r="GH64">
        <v>3</v>
      </c>
      <c r="GI64">
        <v>4</v>
      </c>
      <c r="GJ64">
        <v>0</v>
      </c>
      <c r="GK64">
        <v>0</v>
      </c>
      <c r="GL64">
        <f>ROUND(IF(AND(BH64=3,BI64=3,FS64&lt;&gt;0),P64,0),2)</f>
        <v>0</v>
      </c>
      <c r="GM64">
        <f>ROUND(O64+X64+Y64,2)+GX64</f>
        <v>16864.3</v>
      </c>
      <c r="GN64">
        <f>IF(OR(BI64=0,BI64=1),ROUND(O64+X64+Y64,2),0)</f>
        <v>16864.3</v>
      </c>
      <c r="GO64">
        <f>IF(BI64=2,ROUND(O64+X64+Y64,2),0)</f>
        <v>0</v>
      </c>
      <c r="GP64">
        <f>IF(BI64=4,ROUND(O64+X64+Y64,2)+GX64,0)</f>
        <v>0</v>
      </c>
      <c r="GR64">
        <v>1</v>
      </c>
      <c r="GS64">
        <v>1</v>
      </c>
      <c r="GT64">
        <v>0</v>
      </c>
      <c r="GU64" t="s">
        <v>3</v>
      </c>
      <c r="GV64">
        <f>ROUND((GT64),2)</f>
        <v>0</v>
      </c>
      <c r="GW64">
        <v>1</v>
      </c>
      <c r="GX64">
        <f>ROUND(HC64*I64,2)</f>
        <v>0</v>
      </c>
      <c r="HA64">
        <v>0</v>
      </c>
      <c r="HB64">
        <v>0</v>
      </c>
      <c r="HC64">
        <f>GV64*GW64</f>
        <v>0</v>
      </c>
      <c r="HE64" t="s">
        <v>52</v>
      </c>
      <c r="HF64" t="s">
        <v>29</v>
      </c>
      <c r="HM64" t="s">
        <v>3</v>
      </c>
      <c r="HN64" t="s">
        <v>3</v>
      </c>
      <c r="HO64" t="s">
        <v>3</v>
      </c>
      <c r="HP64" t="s">
        <v>3</v>
      </c>
      <c r="HQ64" t="s">
        <v>3</v>
      </c>
      <c r="IK64">
        <v>0</v>
      </c>
    </row>
    <row r="65" spans="1:245" x14ac:dyDescent="0.2">
      <c r="A65">
        <v>19</v>
      </c>
      <c r="B65">
        <v>1</v>
      </c>
      <c r="F65" t="s">
        <v>3</v>
      </c>
      <c r="G65" t="s">
        <v>235</v>
      </c>
      <c r="H65" t="s">
        <v>3</v>
      </c>
      <c r="AA65">
        <v>1</v>
      </c>
      <c r="IK65">
        <v>0</v>
      </c>
    </row>
    <row r="66" spans="1:245" x14ac:dyDescent="0.2">
      <c r="A66">
        <v>17</v>
      </c>
      <c r="B66">
        <v>1</v>
      </c>
      <c r="C66">
        <f>ROW(SmtRes!A101)</f>
        <v>101</v>
      </c>
      <c r="D66">
        <f>ROW(EtalonRes!A101)</f>
        <v>101</v>
      </c>
      <c r="E66" t="s">
        <v>236</v>
      </c>
      <c r="F66" t="s">
        <v>17</v>
      </c>
      <c r="G66" t="s">
        <v>18</v>
      </c>
      <c r="H66" t="s">
        <v>19</v>
      </c>
      <c r="I66">
        <f>ROUND((71.52+161.84)/100,9)</f>
        <v>2.3336000000000001</v>
      </c>
      <c r="J66">
        <v>0</v>
      </c>
      <c r="K66">
        <f>ROUND((71.52+161.84)/100,9)</f>
        <v>2.3336000000000001</v>
      </c>
      <c r="O66">
        <f t="shared" ref="O66:O78" si="119">ROUND(CP66,2)</f>
        <v>14588.59</v>
      </c>
      <c r="P66">
        <f t="shared" ref="P66:P78" si="120">ROUND(CQ66*I66,2)</f>
        <v>0</v>
      </c>
      <c r="Q66">
        <f t="shared" ref="Q66:Q78" si="121">ROUND(CR66*I66,2)</f>
        <v>0</v>
      </c>
      <c r="R66">
        <f t="shared" ref="R66:R78" si="122">ROUND(CS66*I66,2)</f>
        <v>0</v>
      </c>
      <c r="S66">
        <f t="shared" ref="S66:S78" si="123">ROUND(CT66*I66,2)</f>
        <v>14588.59</v>
      </c>
      <c r="T66">
        <f t="shared" ref="T66:T78" si="124">ROUND(CU66*I66,2)</f>
        <v>0</v>
      </c>
      <c r="U66">
        <f t="shared" ref="U66:U78" si="125">CV66*I66</f>
        <v>61.240664799999998</v>
      </c>
      <c r="V66">
        <f t="shared" ref="V66:V78" si="126">CW66*I66</f>
        <v>0</v>
      </c>
      <c r="W66">
        <f t="shared" ref="W66:W78" si="127">ROUND(CX66*I66,2)</f>
        <v>0</v>
      </c>
      <c r="X66">
        <f t="shared" ref="X66:X78" si="128">ROUND(CY66,2)</f>
        <v>13275.62</v>
      </c>
      <c r="Y66">
        <f t="shared" ref="Y66:Y78" si="129">ROUND(CZ66,2)</f>
        <v>7586.07</v>
      </c>
      <c r="AA66">
        <v>145033679</v>
      </c>
      <c r="AB66">
        <f t="shared" ref="AB66:AB78" si="130">ROUND((AC66+AD66+AF66),2)</f>
        <v>204.7</v>
      </c>
      <c r="AC66">
        <f t="shared" ref="AC66:AC78" si="131">ROUND((ES66),2)</f>
        <v>0</v>
      </c>
      <c r="AD66">
        <f>ROUND(((((ET66*1.15))-((EU66*1.15)))+AE66),2)</f>
        <v>0</v>
      </c>
      <c r="AE66">
        <f>ROUND(((EU66*1.15)),2)</f>
        <v>0</v>
      </c>
      <c r="AF66">
        <f>ROUND(((EV66*1.15)),2)</f>
        <v>204.7</v>
      </c>
      <c r="AG66">
        <f t="shared" ref="AG66:AG78" si="132">ROUND((AP66),2)</f>
        <v>0</v>
      </c>
      <c r="AH66">
        <f>((EW66*1.15))</f>
        <v>26.242999999999999</v>
      </c>
      <c r="AI66">
        <f>((EX66*1.15))</f>
        <v>0</v>
      </c>
      <c r="AJ66">
        <f t="shared" ref="AJ66:AJ78" si="133">(AS66)</f>
        <v>0</v>
      </c>
      <c r="AK66">
        <v>178</v>
      </c>
      <c r="AL66">
        <v>0</v>
      </c>
      <c r="AM66">
        <v>0</v>
      </c>
      <c r="AN66">
        <v>0</v>
      </c>
      <c r="AO66">
        <v>178</v>
      </c>
      <c r="AP66">
        <v>0</v>
      </c>
      <c r="AQ66">
        <v>22.82</v>
      </c>
      <c r="AR66">
        <v>0</v>
      </c>
      <c r="AS66">
        <v>0</v>
      </c>
      <c r="AT66">
        <v>91</v>
      </c>
      <c r="AU66">
        <v>52</v>
      </c>
      <c r="AV66">
        <v>1</v>
      </c>
      <c r="AW66">
        <v>1</v>
      </c>
      <c r="AZ66">
        <v>1</v>
      </c>
      <c r="BA66">
        <v>30.54</v>
      </c>
      <c r="BB66">
        <v>12.13</v>
      </c>
      <c r="BC66">
        <v>8.7100000000000009</v>
      </c>
      <c r="BD66" t="s">
        <v>3</v>
      </c>
      <c r="BE66" t="s">
        <v>3</v>
      </c>
      <c r="BF66" t="s">
        <v>3</v>
      </c>
      <c r="BG66" t="s">
        <v>3</v>
      </c>
      <c r="BH66">
        <v>0</v>
      </c>
      <c r="BI66">
        <v>1</v>
      </c>
      <c r="BJ66" t="s">
        <v>20</v>
      </c>
      <c r="BM66">
        <v>46003</v>
      </c>
      <c r="BN66">
        <v>0</v>
      </c>
      <c r="BO66" t="s">
        <v>3</v>
      </c>
      <c r="BP66">
        <v>0</v>
      </c>
      <c r="BQ66">
        <v>2</v>
      </c>
      <c r="BR66">
        <v>0</v>
      </c>
      <c r="BS66">
        <v>30.54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91</v>
      </c>
      <c r="CA66">
        <v>52</v>
      </c>
      <c r="CB66" t="s">
        <v>3</v>
      </c>
      <c r="CE66">
        <v>0</v>
      </c>
      <c r="CF66">
        <v>0</v>
      </c>
      <c r="CG66">
        <v>0</v>
      </c>
      <c r="CM66">
        <v>0</v>
      </c>
      <c r="CN66" t="s">
        <v>1102</v>
      </c>
      <c r="CO66">
        <v>0</v>
      </c>
      <c r="CP66">
        <f t="shared" ref="CP66:CP78" si="134">(P66+Q66+S66)</f>
        <v>14588.59</v>
      </c>
      <c r="CQ66">
        <f t="shared" ref="CQ66:CQ78" si="135">AC66*BC66</f>
        <v>0</v>
      </c>
      <c r="CR66">
        <f>((((ET66*1.15))*BB66-((EU66*1.15))*BS66)+AE66*BS66)</f>
        <v>0</v>
      </c>
      <c r="CS66">
        <f t="shared" ref="CS66:CS78" si="136">AE66*BS66</f>
        <v>0</v>
      </c>
      <c r="CT66">
        <f t="shared" ref="CT66:CT78" si="137">AF66*BA66</f>
        <v>6251.5379999999996</v>
      </c>
      <c r="CU66">
        <f t="shared" ref="CU66:CU78" si="138">AG66</f>
        <v>0</v>
      </c>
      <c r="CV66">
        <f t="shared" ref="CV66:CV78" si="139">AH66</f>
        <v>26.242999999999999</v>
      </c>
      <c r="CW66">
        <f t="shared" ref="CW66:CW78" si="140">AI66</f>
        <v>0</v>
      </c>
      <c r="CX66">
        <f t="shared" ref="CX66:CX78" si="141">AJ66</f>
        <v>0</v>
      </c>
      <c r="CY66">
        <f t="shared" ref="CY66:CY78" si="142">(((S66+R66)*AT66)/100)</f>
        <v>13275.616899999999</v>
      </c>
      <c r="CZ66">
        <f t="shared" ref="CZ66:CZ78" si="143">(((S66+R66)*AU66)/100)</f>
        <v>7586.0668000000005</v>
      </c>
      <c r="DC66" t="s">
        <v>3</v>
      </c>
      <c r="DD66" t="s">
        <v>3</v>
      </c>
      <c r="DE66" t="s">
        <v>21</v>
      </c>
      <c r="DF66" t="s">
        <v>21</v>
      </c>
      <c r="DG66" t="s">
        <v>21</v>
      </c>
      <c r="DH66" t="s">
        <v>3</v>
      </c>
      <c r="DI66" t="s">
        <v>21</v>
      </c>
      <c r="DJ66" t="s">
        <v>21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1005</v>
      </c>
      <c r="DV66" t="s">
        <v>19</v>
      </c>
      <c r="DW66" t="s">
        <v>19</v>
      </c>
      <c r="DX66">
        <v>100</v>
      </c>
      <c r="DZ66" t="s">
        <v>3</v>
      </c>
      <c r="EA66" t="s">
        <v>3</v>
      </c>
      <c r="EB66" t="s">
        <v>3</v>
      </c>
      <c r="EC66" t="s">
        <v>3</v>
      </c>
      <c r="EE66">
        <v>140625347</v>
      </c>
      <c r="EF66">
        <v>2</v>
      </c>
      <c r="EG66" t="s">
        <v>22</v>
      </c>
      <c r="EH66">
        <v>40</v>
      </c>
      <c r="EI66" t="s">
        <v>23</v>
      </c>
      <c r="EJ66">
        <v>1</v>
      </c>
      <c r="EK66">
        <v>46003</v>
      </c>
      <c r="EL66" t="s">
        <v>24</v>
      </c>
      <c r="EM66" t="s">
        <v>25</v>
      </c>
      <c r="EO66" t="s">
        <v>26</v>
      </c>
      <c r="EQ66">
        <v>0</v>
      </c>
      <c r="ER66">
        <v>178</v>
      </c>
      <c r="ES66">
        <v>0</v>
      </c>
      <c r="ET66">
        <v>0</v>
      </c>
      <c r="EU66">
        <v>0</v>
      </c>
      <c r="EV66">
        <v>178</v>
      </c>
      <c r="EW66">
        <v>22.82</v>
      </c>
      <c r="EX66">
        <v>0</v>
      </c>
      <c r="EY66">
        <v>0</v>
      </c>
      <c r="FQ66">
        <v>0</v>
      </c>
      <c r="FR66">
        <f t="shared" ref="FR66:FR78" si="144">ROUND(IF(BI66=3,GM66,0),2)</f>
        <v>0</v>
      </c>
      <c r="FS66">
        <v>0</v>
      </c>
      <c r="FX66">
        <v>91</v>
      </c>
      <c r="FY66">
        <v>52</v>
      </c>
      <c r="GA66" t="s">
        <v>3</v>
      </c>
      <c r="GD66">
        <v>1</v>
      </c>
      <c r="GF66">
        <v>-636248557</v>
      </c>
      <c r="GG66">
        <v>2</v>
      </c>
      <c r="GH66">
        <v>1</v>
      </c>
      <c r="GI66">
        <v>4</v>
      </c>
      <c r="GJ66">
        <v>0</v>
      </c>
      <c r="GK66">
        <v>0</v>
      </c>
      <c r="GL66">
        <f t="shared" ref="GL66:GL78" si="145">ROUND(IF(AND(BH66=3,BI66=3,FS66&lt;&gt;0),P66,0),2)</f>
        <v>0</v>
      </c>
      <c r="GM66">
        <f t="shared" ref="GM66:GM78" si="146">ROUND(O66+X66+Y66,2)+GX66</f>
        <v>35450.28</v>
      </c>
      <c r="GN66">
        <f t="shared" ref="GN66:GN78" si="147">IF(OR(BI66=0,BI66=1),ROUND(O66+X66+Y66,2),0)</f>
        <v>35450.28</v>
      </c>
      <c r="GO66">
        <f t="shared" ref="GO66:GO78" si="148">IF(BI66=2,ROUND(O66+X66+Y66,2),0)</f>
        <v>0</v>
      </c>
      <c r="GP66">
        <f t="shared" ref="GP66:GP78" si="149">IF(BI66=4,ROUND(O66+X66+Y66,2)+GX66,0)</f>
        <v>0</v>
      </c>
      <c r="GR66">
        <v>0</v>
      </c>
      <c r="GS66">
        <v>3</v>
      </c>
      <c r="GT66">
        <v>0</v>
      </c>
      <c r="GU66" t="s">
        <v>3</v>
      </c>
      <c r="GV66">
        <f t="shared" ref="GV66:GV78" si="150">ROUND((GT66),2)</f>
        <v>0</v>
      </c>
      <c r="GW66">
        <v>1</v>
      </c>
      <c r="GX66">
        <f t="shared" ref="GX66:GX78" si="151">ROUND(HC66*I66,2)</f>
        <v>0</v>
      </c>
      <c r="HA66">
        <v>0</v>
      </c>
      <c r="HB66">
        <v>0</v>
      </c>
      <c r="HC66">
        <f t="shared" ref="HC66:HC78" si="152">GV66*GW66</f>
        <v>0</v>
      </c>
      <c r="HE66" t="s">
        <v>3</v>
      </c>
      <c r="HF66" t="s">
        <v>3</v>
      </c>
      <c r="HM66" t="s">
        <v>3</v>
      </c>
      <c r="HN66" t="s">
        <v>27</v>
      </c>
      <c r="HO66" t="s">
        <v>28</v>
      </c>
      <c r="HP66" t="s">
        <v>24</v>
      </c>
      <c r="HQ66" t="s">
        <v>24</v>
      </c>
      <c r="IK66">
        <v>0</v>
      </c>
    </row>
    <row r="67" spans="1:245" x14ac:dyDescent="0.2">
      <c r="A67">
        <v>17</v>
      </c>
      <c r="B67">
        <v>1</v>
      </c>
      <c r="C67">
        <f>ROW(SmtRes!A106)</f>
        <v>106</v>
      </c>
      <c r="D67">
        <f>ROW(EtalonRes!A106)</f>
        <v>106</v>
      </c>
      <c r="E67" t="s">
        <v>237</v>
      </c>
      <c r="F67" t="s">
        <v>238</v>
      </c>
      <c r="G67" t="s">
        <v>239</v>
      </c>
      <c r="H67" t="s">
        <v>32</v>
      </c>
      <c r="I67">
        <f>ROUND((14.304+32.368)/10,9)</f>
        <v>4.6672000000000002</v>
      </c>
      <c r="J67">
        <v>0</v>
      </c>
      <c r="K67">
        <f>ROUND((14.304+32.368)/10,9)</f>
        <v>4.6672000000000002</v>
      </c>
      <c r="O67">
        <f t="shared" si="119"/>
        <v>75400.23</v>
      </c>
      <c r="P67">
        <f t="shared" si="120"/>
        <v>68091.350000000006</v>
      </c>
      <c r="Q67">
        <f t="shared" si="121"/>
        <v>127.9</v>
      </c>
      <c r="R67">
        <f t="shared" si="122"/>
        <v>57.01</v>
      </c>
      <c r="S67">
        <f t="shared" si="123"/>
        <v>7180.98</v>
      </c>
      <c r="T67">
        <f t="shared" si="124"/>
        <v>0</v>
      </c>
      <c r="U67">
        <f t="shared" si="125"/>
        <v>25.923962400000001</v>
      </c>
      <c r="V67">
        <f t="shared" si="126"/>
        <v>0.16101839999999998</v>
      </c>
      <c r="W67">
        <f t="shared" si="127"/>
        <v>0</v>
      </c>
      <c r="X67">
        <f t="shared" si="128"/>
        <v>6731.33</v>
      </c>
      <c r="Y67">
        <f t="shared" si="129"/>
        <v>3980.89</v>
      </c>
      <c r="AA67">
        <v>145033679</v>
      </c>
      <c r="AB67">
        <f t="shared" si="130"/>
        <v>1727.65</v>
      </c>
      <c r="AC67">
        <f t="shared" si="131"/>
        <v>1675.01</v>
      </c>
      <c r="AD67">
        <f>ROUND(((((ET67*1.15))-((EU67*1.15)))+AE67),2)</f>
        <v>2.2599999999999998</v>
      </c>
      <c r="AE67">
        <f>ROUND(((EU67*1.15)),2)</f>
        <v>0.4</v>
      </c>
      <c r="AF67">
        <f>ROUND(((EV67*1.15)),2)</f>
        <v>50.38</v>
      </c>
      <c r="AG67">
        <f t="shared" si="132"/>
        <v>0</v>
      </c>
      <c r="AH67">
        <f>((EW67*1.15))</f>
        <v>5.5545</v>
      </c>
      <c r="AI67">
        <f>((EX67*1.15))</f>
        <v>3.4499999999999996E-2</v>
      </c>
      <c r="AJ67">
        <f t="shared" si="133"/>
        <v>0</v>
      </c>
      <c r="AK67">
        <v>1720.79</v>
      </c>
      <c r="AL67">
        <v>1675.01</v>
      </c>
      <c r="AM67">
        <v>1.97</v>
      </c>
      <c r="AN67">
        <v>0.35</v>
      </c>
      <c r="AO67">
        <v>43.81</v>
      </c>
      <c r="AP67">
        <v>0</v>
      </c>
      <c r="AQ67">
        <v>4.83</v>
      </c>
      <c r="AR67">
        <v>0.03</v>
      </c>
      <c r="AS67">
        <v>0</v>
      </c>
      <c r="AT67">
        <v>93</v>
      </c>
      <c r="AU67">
        <v>55</v>
      </c>
      <c r="AV67">
        <v>1</v>
      </c>
      <c r="AW67">
        <v>1</v>
      </c>
      <c r="AZ67">
        <v>1</v>
      </c>
      <c r="BA67">
        <v>30.54</v>
      </c>
      <c r="BB67">
        <v>12.13</v>
      </c>
      <c r="BC67">
        <v>8.7100000000000009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240</v>
      </c>
      <c r="BM67">
        <v>52001</v>
      </c>
      <c r="BN67">
        <v>0</v>
      </c>
      <c r="BO67" t="s">
        <v>3</v>
      </c>
      <c r="BP67">
        <v>0</v>
      </c>
      <c r="BQ67">
        <v>6</v>
      </c>
      <c r="BR67">
        <v>0</v>
      </c>
      <c r="BS67">
        <v>30.54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93</v>
      </c>
      <c r="CA67">
        <v>55</v>
      </c>
      <c r="CB67" t="s">
        <v>3</v>
      </c>
      <c r="CE67">
        <v>0</v>
      </c>
      <c r="CF67">
        <v>0</v>
      </c>
      <c r="CG67">
        <v>0</v>
      </c>
      <c r="CM67">
        <v>0</v>
      </c>
      <c r="CN67" t="s">
        <v>1103</v>
      </c>
      <c r="CO67">
        <v>0</v>
      </c>
      <c r="CP67">
        <f t="shared" si="134"/>
        <v>75400.23</v>
      </c>
      <c r="CQ67">
        <f t="shared" si="135"/>
        <v>14589.337100000001</v>
      </c>
      <c r="CR67">
        <f>((((ET67*1.15))*BB67-((EU67*1.15))*BS67)+AE67*BS67)</f>
        <v>27.404165000000003</v>
      </c>
      <c r="CS67">
        <f t="shared" si="136"/>
        <v>12.216000000000001</v>
      </c>
      <c r="CT67">
        <f t="shared" si="137"/>
        <v>1538.6052</v>
      </c>
      <c r="CU67">
        <f t="shared" si="138"/>
        <v>0</v>
      </c>
      <c r="CV67">
        <f t="shared" si="139"/>
        <v>5.5545</v>
      </c>
      <c r="CW67">
        <f t="shared" si="140"/>
        <v>3.4499999999999996E-2</v>
      </c>
      <c r="CX67">
        <f t="shared" si="141"/>
        <v>0</v>
      </c>
      <c r="CY67">
        <f t="shared" si="142"/>
        <v>6731.3306999999995</v>
      </c>
      <c r="CZ67">
        <f t="shared" si="143"/>
        <v>3980.8945000000003</v>
      </c>
      <c r="DC67" t="s">
        <v>3</v>
      </c>
      <c r="DD67" t="s">
        <v>3</v>
      </c>
      <c r="DE67" t="s">
        <v>21</v>
      </c>
      <c r="DF67" t="s">
        <v>21</v>
      </c>
      <c r="DG67" t="s">
        <v>21</v>
      </c>
      <c r="DH67" t="s">
        <v>3</v>
      </c>
      <c r="DI67" t="s">
        <v>21</v>
      </c>
      <c r="DJ67" t="s">
        <v>21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1005</v>
      </c>
      <c r="DV67" t="s">
        <v>32</v>
      </c>
      <c r="DW67" t="s">
        <v>32</v>
      </c>
      <c r="DX67">
        <v>10</v>
      </c>
      <c r="DZ67" t="s">
        <v>3</v>
      </c>
      <c r="EA67" t="s">
        <v>3</v>
      </c>
      <c r="EB67" t="s">
        <v>3</v>
      </c>
      <c r="EC67" t="s">
        <v>3</v>
      </c>
      <c r="EE67">
        <v>140625142</v>
      </c>
      <c r="EF67">
        <v>6</v>
      </c>
      <c r="EG67" t="s">
        <v>34</v>
      </c>
      <c r="EH67">
        <v>86</v>
      </c>
      <c r="EI67" t="s">
        <v>35</v>
      </c>
      <c r="EJ67">
        <v>1</v>
      </c>
      <c r="EK67">
        <v>52001</v>
      </c>
      <c r="EL67" t="s">
        <v>35</v>
      </c>
      <c r="EM67" t="s">
        <v>36</v>
      </c>
      <c r="EO67" t="s">
        <v>37</v>
      </c>
      <c r="EQ67">
        <v>0</v>
      </c>
      <c r="ER67">
        <v>1720.79</v>
      </c>
      <c r="ES67">
        <v>1675.01</v>
      </c>
      <c r="ET67">
        <v>1.97</v>
      </c>
      <c r="EU67">
        <v>0.35</v>
      </c>
      <c r="EV67">
        <v>43.81</v>
      </c>
      <c r="EW67">
        <v>4.83</v>
      </c>
      <c r="EX67">
        <v>0.03</v>
      </c>
      <c r="EY67">
        <v>0</v>
      </c>
      <c r="FQ67">
        <v>0</v>
      </c>
      <c r="FR67">
        <f t="shared" si="144"/>
        <v>0</v>
      </c>
      <c r="FS67">
        <v>0</v>
      </c>
      <c r="FX67">
        <v>93</v>
      </c>
      <c r="FY67">
        <v>55</v>
      </c>
      <c r="GA67" t="s">
        <v>3</v>
      </c>
      <c r="GD67">
        <v>1</v>
      </c>
      <c r="GF67">
        <v>-838629358</v>
      </c>
      <c r="GG67">
        <v>2</v>
      </c>
      <c r="GH67">
        <v>1</v>
      </c>
      <c r="GI67">
        <v>4</v>
      </c>
      <c r="GJ67">
        <v>0</v>
      </c>
      <c r="GK67">
        <v>0</v>
      </c>
      <c r="GL67">
        <f t="shared" si="145"/>
        <v>0</v>
      </c>
      <c r="GM67">
        <f t="shared" si="146"/>
        <v>86112.45</v>
      </c>
      <c r="GN67">
        <f t="shared" si="147"/>
        <v>86112.45</v>
      </c>
      <c r="GO67">
        <f t="shared" si="148"/>
        <v>0</v>
      </c>
      <c r="GP67">
        <f t="shared" si="149"/>
        <v>0</v>
      </c>
      <c r="GR67">
        <v>0</v>
      </c>
      <c r="GS67">
        <v>3</v>
      </c>
      <c r="GT67">
        <v>0</v>
      </c>
      <c r="GU67" t="s">
        <v>3</v>
      </c>
      <c r="GV67">
        <f t="shared" si="150"/>
        <v>0</v>
      </c>
      <c r="GW67">
        <v>1</v>
      </c>
      <c r="GX67">
        <f t="shared" si="151"/>
        <v>0</v>
      </c>
      <c r="HA67">
        <v>0</v>
      </c>
      <c r="HB67">
        <v>0</v>
      </c>
      <c r="HC67">
        <f t="shared" si="152"/>
        <v>0</v>
      </c>
      <c r="HE67" t="s">
        <v>3</v>
      </c>
      <c r="HF67" t="s">
        <v>3</v>
      </c>
      <c r="HM67" t="s">
        <v>3</v>
      </c>
      <c r="HN67" t="s">
        <v>38</v>
      </c>
      <c r="HO67" t="s">
        <v>39</v>
      </c>
      <c r="HP67" t="s">
        <v>35</v>
      </c>
      <c r="HQ67" t="s">
        <v>35</v>
      </c>
      <c r="IK67">
        <v>0</v>
      </c>
    </row>
    <row r="68" spans="1:245" x14ac:dyDescent="0.2">
      <c r="A68">
        <v>18</v>
      </c>
      <c r="B68">
        <v>1</v>
      </c>
      <c r="C68">
        <v>106</v>
      </c>
      <c r="E68" t="s">
        <v>241</v>
      </c>
      <c r="F68" t="s">
        <v>41</v>
      </c>
      <c r="G68" t="s">
        <v>42</v>
      </c>
      <c r="H68" t="s">
        <v>43</v>
      </c>
      <c r="I68">
        <f>I67*J68</f>
        <v>-129.51480000000001</v>
      </c>
      <c r="J68">
        <v>-27.75</v>
      </c>
      <c r="K68">
        <v>-27.75</v>
      </c>
      <c r="O68">
        <f t="shared" si="119"/>
        <v>-68090.539999999994</v>
      </c>
      <c r="P68">
        <f t="shared" si="120"/>
        <v>-68090.539999999994</v>
      </c>
      <c r="Q68">
        <f t="shared" si="121"/>
        <v>0</v>
      </c>
      <c r="R68">
        <f t="shared" si="122"/>
        <v>0</v>
      </c>
      <c r="S68">
        <f t="shared" si="123"/>
        <v>0</v>
      </c>
      <c r="T68">
        <f t="shared" si="124"/>
        <v>0</v>
      </c>
      <c r="U68">
        <f t="shared" si="125"/>
        <v>0</v>
      </c>
      <c r="V68">
        <f t="shared" si="126"/>
        <v>0</v>
      </c>
      <c r="W68">
        <f t="shared" si="127"/>
        <v>0</v>
      </c>
      <c r="X68">
        <f t="shared" si="128"/>
        <v>0</v>
      </c>
      <c r="Y68">
        <f t="shared" si="129"/>
        <v>0</v>
      </c>
      <c r="AA68">
        <v>145033679</v>
      </c>
      <c r="AB68">
        <f t="shared" si="130"/>
        <v>60.36</v>
      </c>
      <c r="AC68">
        <f t="shared" si="131"/>
        <v>60.36</v>
      </c>
      <c r="AD68">
        <f>ROUND((((ET68)-(EU68))+AE68),2)</f>
        <v>0</v>
      </c>
      <c r="AE68">
        <f>ROUND((EU68),2)</f>
        <v>0</v>
      </c>
      <c r="AF68">
        <f>ROUND((EV68),2)</f>
        <v>0</v>
      </c>
      <c r="AG68">
        <f t="shared" si="132"/>
        <v>0</v>
      </c>
      <c r="AH68">
        <f>(EW68)</f>
        <v>0</v>
      </c>
      <c r="AI68">
        <f>(EX68)</f>
        <v>0</v>
      </c>
      <c r="AJ68">
        <f t="shared" si="133"/>
        <v>0</v>
      </c>
      <c r="AK68">
        <v>60.36</v>
      </c>
      <c r="AL68">
        <v>60.36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93</v>
      </c>
      <c r="AU68">
        <v>55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8.7100000000000009</v>
      </c>
      <c r="BD68" t="s">
        <v>3</v>
      </c>
      <c r="BE68" t="s">
        <v>3</v>
      </c>
      <c r="BF68" t="s">
        <v>3</v>
      </c>
      <c r="BG68" t="s">
        <v>3</v>
      </c>
      <c r="BH68">
        <v>3</v>
      </c>
      <c r="BI68">
        <v>1</v>
      </c>
      <c r="BJ68" t="s">
        <v>44</v>
      </c>
      <c r="BM68">
        <v>52001</v>
      </c>
      <c r="BN68">
        <v>0</v>
      </c>
      <c r="BO68" t="s">
        <v>3</v>
      </c>
      <c r="BP68">
        <v>0</v>
      </c>
      <c r="BQ68">
        <v>6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93</v>
      </c>
      <c r="CA68">
        <v>55</v>
      </c>
      <c r="CB68" t="s">
        <v>3</v>
      </c>
      <c r="CE68">
        <v>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134"/>
        <v>-68090.539999999994</v>
      </c>
      <c r="CQ68">
        <f t="shared" si="135"/>
        <v>525.73560000000009</v>
      </c>
      <c r="CR68">
        <f>(((ET68)*BB68-(EU68)*BS68)+AE68*BS68)</f>
        <v>0</v>
      </c>
      <c r="CS68">
        <f t="shared" si="136"/>
        <v>0</v>
      </c>
      <c r="CT68">
        <f t="shared" si="137"/>
        <v>0</v>
      </c>
      <c r="CU68">
        <f t="shared" si="138"/>
        <v>0</v>
      </c>
      <c r="CV68">
        <f t="shared" si="139"/>
        <v>0</v>
      </c>
      <c r="CW68">
        <f t="shared" si="140"/>
        <v>0</v>
      </c>
      <c r="CX68">
        <f t="shared" si="141"/>
        <v>0</v>
      </c>
      <c r="CY68">
        <f t="shared" si="142"/>
        <v>0</v>
      </c>
      <c r="CZ68">
        <f t="shared" si="143"/>
        <v>0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1009</v>
      </c>
      <c r="DV68" t="s">
        <v>43</v>
      </c>
      <c r="DW68" t="s">
        <v>43</v>
      </c>
      <c r="DX68">
        <v>1</v>
      </c>
      <c r="DZ68" t="s">
        <v>3</v>
      </c>
      <c r="EA68" t="s">
        <v>3</v>
      </c>
      <c r="EB68" t="s">
        <v>3</v>
      </c>
      <c r="EC68" t="s">
        <v>3</v>
      </c>
      <c r="EE68">
        <v>140625142</v>
      </c>
      <c r="EF68">
        <v>6</v>
      </c>
      <c r="EG68" t="s">
        <v>34</v>
      </c>
      <c r="EH68">
        <v>86</v>
      </c>
      <c r="EI68" t="s">
        <v>35</v>
      </c>
      <c r="EJ68">
        <v>1</v>
      </c>
      <c r="EK68">
        <v>52001</v>
      </c>
      <c r="EL68" t="s">
        <v>35</v>
      </c>
      <c r="EM68" t="s">
        <v>36</v>
      </c>
      <c r="EO68" t="s">
        <v>3</v>
      </c>
      <c r="EQ68">
        <v>0</v>
      </c>
      <c r="ER68">
        <v>60.36</v>
      </c>
      <c r="ES68">
        <v>60.36</v>
      </c>
      <c r="ET68">
        <v>0</v>
      </c>
      <c r="EU68">
        <v>0</v>
      </c>
      <c r="EV68">
        <v>0</v>
      </c>
      <c r="EW68">
        <v>0</v>
      </c>
      <c r="EX68">
        <v>0</v>
      </c>
      <c r="FQ68">
        <v>0</v>
      </c>
      <c r="FR68">
        <f t="shared" si="144"/>
        <v>0</v>
      </c>
      <c r="FS68">
        <v>0</v>
      </c>
      <c r="FX68">
        <v>93</v>
      </c>
      <c r="FY68">
        <v>55</v>
      </c>
      <c r="GA68" t="s">
        <v>3</v>
      </c>
      <c r="GD68">
        <v>1</v>
      </c>
      <c r="GF68">
        <v>1351658750</v>
      </c>
      <c r="GG68">
        <v>2</v>
      </c>
      <c r="GH68">
        <v>1</v>
      </c>
      <c r="GI68">
        <v>4</v>
      </c>
      <c r="GJ68">
        <v>0</v>
      </c>
      <c r="GK68">
        <v>0</v>
      </c>
      <c r="GL68">
        <f t="shared" si="145"/>
        <v>0</v>
      </c>
      <c r="GM68">
        <f t="shared" si="146"/>
        <v>-68090.539999999994</v>
      </c>
      <c r="GN68">
        <f t="shared" si="147"/>
        <v>-68090.539999999994</v>
      </c>
      <c r="GO68">
        <f t="shared" si="148"/>
        <v>0</v>
      </c>
      <c r="GP68">
        <f t="shared" si="149"/>
        <v>0</v>
      </c>
      <c r="GR68">
        <v>0</v>
      </c>
      <c r="GS68">
        <v>3</v>
      </c>
      <c r="GT68">
        <v>0</v>
      </c>
      <c r="GU68" t="s">
        <v>3</v>
      </c>
      <c r="GV68">
        <f t="shared" si="150"/>
        <v>0</v>
      </c>
      <c r="GW68">
        <v>1</v>
      </c>
      <c r="GX68">
        <f t="shared" si="151"/>
        <v>0</v>
      </c>
      <c r="HA68">
        <v>0</v>
      </c>
      <c r="HB68">
        <v>0</v>
      </c>
      <c r="HC68">
        <f t="shared" si="152"/>
        <v>0</v>
      </c>
      <c r="HE68" t="s">
        <v>3</v>
      </c>
      <c r="HF68" t="s">
        <v>3</v>
      </c>
      <c r="HM68" t="s">
        <v>3</v>
      </c>
      <c r="HN68" t="s">
        <v>38</v>
      </c>
      <c r="HO68" t="s">
        <v>39</v>
      </c>
      <c r="HP68" t="s">
        <v>35</v>
      </c>
      <c r="HQ68" t="s">
        <v>35</v>
      </c>
      <c r="IK68">
        <v>0</v>
      </c>
    </row>
    <row r="69" spans="1:245" x14ac:dyDescent="0.2">
      <c r="A69">
        <v>17</v>
      </c>
      <c r="B69">
        <v>1</v>
      </c>
      <c r="E69" t="s">
        <v>242</v>
      </c>
      <c r="F69" t="s">
        <v>46</v>
      </c>
      <c r="G69" t="s">
        <v>47</v>
      </c>
      <c r="H69" t="s">
        <v>43</v>
      </c>
      <c r="I69">
        <f>ROUND(I67*27.75,9)</f>
        <v>129.51480000000001</v>
      </c>
      <c r="J69">
        <v>0</v>
      </c>
      <c r="K69">
        <f>ROUND(I67*27.75,9)</f>
        <v>129.51480000000001</v>
      </c>
      <c r="O69">
        <f t="shared" si="119"/>
        <v>38986.230000000003</v>
      </c>
      <c r="P69">
        <f t="shared" si="120"/>
        <v>38986.230000000003</v>
      </c>
      <c r="Q69">
        <f t="shared" si="121"/>
        <v>0</v>
      </c>
      <c r="R69">
        <f t="shared" si="122"/>
        <v>0</v>
      </c>
      <c r="S69">
        <f t="shared" si="123"/>
        <v>0</v>
      </c>
      <c r="T69">
        <f t="shared" si="124"/>
        <v>0</v>
      </c>
      <c r="U69">
        <f t="shared" si="125"/>
        <v>0</v>
      </c>
      <c r="V69">
        <f t="shared" si="126"/>
        <v>0</v>
      </c>
      <c r="W69">
        <f t="shared" si="127"/>
        <v>0</v>
      </c>
      <c r="X69">
        <f t="shared" si="128"/>
        <v>0</v>
      </c>
      <c r="Y69">
        <f t="shared" si="129"/>
        <v>0</v>
      </c>
      <c r="AA69">
        <v>145033679</v>
      </c>
      <c r="AB69">
        <f t="shared" si="130"/>
        <v>34.56</v>
      </c>
      <c r="AC69">
        <f t="shared" si="131"/>
        <v>34.56</v>
      </c>
      <c r="AD69">
        <f>ROUND((((ET69)-(EU69))+AE69),2)</f>
        <v>0</v>
      </c>
      <c r="AE69">
        <f>ROUND((EU69),2)</f>
        <v>0</v>
      </c>
      <c r="AF69">
        <f>ROUND((EV69),2)</f>
        <v>0</v>
      </c>
      <c r="AG69">
        <f t="shared" si="132"/>
        <v>0</v>
      </c>
      <c r="AH69">
        <f>(EW69)</f>
        <v>0</v>
      </c>
      <c r="AI69">
        <f>(EX69)</f>
        <v>0</v>
      </c>
      <c r="AJ69">
        <f t="shared" si="133"/>
        <v>0</v>
      </c>
      <c r="AK69">
        <v>34.56</v>
      </c>
      <c r="AL69">
        <v>34.56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8.7100000000000009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8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B69" t="s">
        <v>3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134"/>
        <v>38986.230000000003</v>
      </c>
      <c r="CQ69">
        <f t="shared" si="135"/>
        <v>301.01760000000007</v>
      </c>
      <c r="CR69">
        <f>(((ET69)*BB69-(EU69)*BS69)+AE69*BS69)</f>
        <v>0</v>
      </c>
      <c r="CS69">
        <f t="shared" si="136"/>
        <v>0</v>
      </c>
      <c r="CT69">
        <f t="shared" si="137"/>
        <v>0</v>
      </c>
      <c r="CU69">
        <f t="shared" si="138"/>
        <v>0</v>
      </c>
      <c r="CV69">
        <f t="shared" si="139"/>
        <v>0</v>
      </c>
      <c r="CW69">
        <f t="shared" si="140"/>
        <v>0</v>
      </c>
      <c r="CX69">
        <f t="shared" si="141"/>
        <v>0</v>
      </c>
      <c r="CY69">
        <f t="shared" si="142"/>
        <v>0</v>
      </c>
      <c r="CZ69">
        <f t="shared" si="14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43</v>
      </c>
      <c r="DW69" t="s">
        <v>43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140625274</v>
      </c>
      <c r="EF69">
        <v>8</v>
      </c>
      <c r="EG69" t="s">
        <v>48</v>
      </c>
      <c r="EH69">
        <v>0</v>
      </c>
      <c r="EI69" t="s">
        <v>3</v>
      </c>
      <c r="EJ69">
        <v>1</v>
      </c>
      <c r="EK69">
        <v>1100</v>
      </c>
      <c r="EL69" t="s">
        <v>49</v>
      </c>
      <c r="EM69" t="s">
        <v>50</v>
      </c>
      <c r="EO69" t="s">
        <v>3</v>
      </c>
      <c r="EQ69">
        <v>0</v>
      </c>
      <c r="ER69">
        <v>34.56</v>
      </c>
      <c r="ES69">
        <v>34.56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1</v>
      </c>
      <c r="FD69">
        <v>18</v>
      </c>
      <c r="FF69">
        <v>337.33</v>
      </c>
      <c r="FQ69">
        <v>0</v>
      </c>
      <c r="FR69">
        <f t="shared" si="144"/>
        <v>0</v>
      </c>
      <c r="FS69">
        <v>0</v>
      </c>
      <c r="FX69">
        <v>0</v>
      </c>
      <c r="FY69">
        <v>0</v>
      </c>
      <c r="GA69" t="s">
        <v>51</v>
      </c>
      <c r="GD69">
        <v>1</v>
      </c>
      <c r="GF69">
        <v>1334868333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145"/>
        <v>0</v>
      </c>
      <c r="GM69">
        <f t="shared" si="146"/>
        <v>38986.230000000003</v>
      </c>
      <c r="GN69">
        <f t="shared" si="147"/>
        <v>38986.230000000003</v>
      </c>
      <c r="GO69">
        <f t="shared" si="148"/>
        <v>0</v>
      </c>
      <c r="GP69">
        <f t="shared" si="149"/>
        <v>0</v>
      </c>
      <c r="GR69">
        <v>1</v>
      </c>
      <c r="GS69">
        <v>1</v>
      </c>
      <c r="GT69">
        <v>0</v>
      </c>
      <c r="GU69" t="s">
        <v>3</v>
      </c>
      <c r="GV69">
        <f t="shared" si="150"/>
        <v>0</v>
      </c>
      <c r="GW69">
        <v>1</v>
      </c>
      <c r="GX69">
        <f t="shared" si="151"/>
        <v>0</v>
      </c>
      <c r="HA69">
        <v>0</v>
      </c>
      <c r="HB69">
        <v>0</v>
      </c>
      <c r="HC69">
        <f t="shared" si="152"/>
        <v>0</v>
      </c>
      <c r="HE69" t="s">
        <v>52</v>
      </c>
      <c r="HF69" t="s">
        <v>29</v>
      </c>
      <c r="HM69" t="s">
        <v>3</v>
      </c>
      <c r="HN69" t="s">
        <v>3</v>
      </c>
      <c r="HO69" t="s">
        <v>3</v>
      </c>
      <c r="HP69" t="s">
        <v>3</v>
      </c>
      <c r="HQ69" t="s">
        <v>3</v>
      </c>
      <c r="IK69">
        <v>0</v>
      </c>
    </row>
    <row r="70" spans="1:245" x14ac:dyDescent="0.2">
      <c r="A70">
        <v>17</v>
      </c>
      <c r="B70">
        <v>1</v>
      </c>
      <c r="C70">
        <f>ROW(SmtRes!A112)</f>
        <v>112</v>
      </c>
      <c r="D70">
        <f>ROW(EtalonRes!A112)</f>
        <v>112</v>
      </c>
      <c r="E70" t="s">
        <v>243</v>
      </c>
      <c r="F70" t="s">
        <v>244</v>
      </c>
      <c r="G70" t="s">
        <v>245</v>
      </c>
      <c r="H70" t="s">
        <v>19</v>
      </c>
      <c r="I70">
        <f>ROUND((71.52+161.84)/100,9)</f>
        <v>2.3336000000000001</v>
      </c>
      <c r="J70">
        <v>0</v>
      </c>
      <c r="K70">
        <f>ROUND((71.52+161.84)/100,9)</f>
        <v>2.3336000000000001</v>
      </c>
      <c r="O70">
        <f t="shared" si="119"/>
        <v>35789.21</v>
      </c>
      <c r="P70">
        <f t="shared" si="120"/>
        <v>0</v>
      </c>
      <c r="Q70">
        <f t="shared" si="121"/>
        <v>3251.03</v>
      </c>
      <c r="R70">
        <f t="shared" si="122"/>
        <v>1444.61</v>
      </c>
      <c r="S70">
        <f t="shared" si="123"/>
        <v>32538.18</v>
      </c>
      <c r="T70">
        <f t="shared" si="124"/>
        <v>0</v>
      </c>
      <c r="U70">
        <f t="shared" si="125"/>
        <v>118.77790639999999</v>
      </c>
      <c r="V70">
        <f t="shared" si="126"/>
        <v>4.0791328</v>
      </c>
      <c r="W70">
        <f t="shared" si="127"/>
        <v>0</v>
      </c>
      <c r="X70">
        <f t="shared" si="128"/>
        <v>35002.269999999997</v>
      </c>
      <c r="Y70">
        <f t="shared" si="129"/>
        <v>20049.849999999999</v>
      </c>
      <c r="AA70">
        <v>145033679</v>
      </c>
      <c r="AB70">
        <f t="shared" si="130"/>
        <v>571.41999999999996</v>
      </c>
      <c r="AC70">
        <f t="shared" si="131"/>
        <v>0</v>
      </c>
      <c r="AD70">
        <f>ROUND(((((ET70*1.15))-((EU70*1.15)))+AE70),2)</f>
        <v>114.86</v>
      </c>
      <c r="AE70">
        <f t="shared" ref="AE70:AF72" si="153">ROUND(((EU70*1.15)),2)</f>
        <v>20.27</v>
      </c>
      <c r="AF70">
        <f t="shared" si="153"/>
        <v>456.56</v>
      </c>
      <c r="AG70">
        <f t="shared" si="132"/>
        <v>0</v>
      </c>
      <c r="AH70">
        <f t="shared" ref="AH70:AI72" si="154">((EW70*1.15))</f>
        <v>50.898999999999994</v>
      </c>
      <c r="AI70">
        <f t="shared" si="154"/>
        <v>1.7479999999999998</v>
      </c>
      <c r="AJ70">
        <f t="shared" si="133"/>
        <v>0</v>
      </c>
      <c r="AK70">
        <v>496.89</v>
      </c>
      <c r="AL70">
        <v>0</v>
      </c>
      <c r="AM70">
        <v>99.88</v>
      </c>
      <c r="AN70">
        <v>17.63</v>
      </c>
      <c r="AO70">
        <v>397.01</v>
      </c>
      <c r="AP70">
        <v>0</v>
      </c>
      <c r="AQ70">
        <v>44.26</v>
      </c>
      <c r="AR70">
        <v>1.52</v>
      </c>
      <c r="AS70">
        <v>0</v>
      </c>
      <c r="AT70">
        <v>103</v>
      </c>
      <c r="AU70">
        <v>59</v>
      </c>
      <c r="AV70">
        <v>1</v>
      </c>
      <c r="AW70">
        <v>1</v>
      </c>
      <c r="AZ70">
        <v>1</v>
      </c>
      <c r="BA70">
        <v>30.54</v>
      </c>
      <c r="BB70">
        <v>12.13</v>
      </c>
      <c r="BC70">
        <v>8.7100000000000009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1</v>
      </c>
      <c r="BJ70" t="s">
        <v>246</v>
      </c>
      <c r="BM70">
        <v>46001</v>
      </c>
      <c r="BN70">
        <v>0</v>
      </c>
      <c r="BO70" t="s">
        <v>3</v>
      </c>
      <c r="BP70">
        <v>0</v>
      </c>
      <c r="BQ70">
        <v>2</v>
      </c>
      <c r="BR70">
        <v>0</v>
      </c>
      <c r="BS70">
        <v>30.54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103</v>
      </c>
      <c r="CA70">
        <v>59</v>
      </c>
      <c r="CB70" t="s">
        <v>3</v>
      </c>
      <c r="CE70">
        <v>0</v>
      </c>
      <c r="CF70">
        <v>0</v>
      </c>
      <c r="CG70">
        <v>0</v>
      </c>
      <c r="CM70">
        <v>0</v>
      </c>
      <c r="CN70" t="s">
        <v>1102</v>
      </c>
      <c r="CO70">
        <v>0</v>
      </c>
      <c r="CP70">
        <f t="shared" si="134"/>
        <v>35789.21</v>
      </c>
      <c r="CQ70">
        <f t="shared" si="135"/>
        <v>0</v>
      </c>
      <c r="CR70">
        <f>((((ET70*1.15))*BB70-((EU70*1.15))*BS70)+AE70*BS70)</f>
        <v>1393.1386299999999</v>
      </c>
      <c r="CS70">
        <f t="shared" si="136"/>
        <v>619.04579999999999</v>
      </c>
      <c r="CT70">
        <f t="shared" si="137"/>
        <v>13943.3424</v>
      </c>
      <c r="CU70">
        <f t="shared" si="138"/>
        <v>0</v>
      </c>
      <c r="CV70">
        <f t="shared" si="139"/>
        <v>50.898999999999994</v>
      </c>
      <c r="CW70">
        <f t="shared" si="140"/>
        <v>1.7479999999999998</v>
      </c>
      <c r="CX70">
        <f t="shared" si="141"/>
        <v>0</v>
      </c>
      <c r="CY70">
        <f t="shared" si="142"/>
        <v>35002.273699999998</v>
      </c>
      <c r="CZ70">
        <f t="shared" si="143"/>
        <v>20049.846100000002</v>
      </c>
      <c r="DC70" t="s">
        <v>3</v>
      </c>
      <c r="DD70" t="s">
        <v>3</v>
      </c>
      <c r="DE70" t="s">
        <v>21</v>
      </c>
      <c r="DF70" t="s">
        <v>21</v>
      </c>
      <c r="DG70" t="s">
        <v>21</v>
      </c>
      <c r="DH70" t="s">
        <v>3</v>
      </c>
      <c r="DI70" t="s">
        <v>21</v>
      </c>
      <c r="DJ70" t="s">
        <v>21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1005</v>
      </c>
      <c r="DV70" t="s">
        <v>19</v>
      </c>
      <c r="DW70" t="s">
        <v>19</v>
      </c>
      <c r="DX70">
        <v>100</v>
      </c>
      <c r="DZ70" t="s">
        <v>3</v>
      </c>
      <c r="EA70" t="s">
        <v>3</v>
      </c>
      <c r="EB70" t="s">
        <v>3</v>
      </c>
      <c r="EC70" t="s">
        <v>3</v>
      </c>
      <c r="EE70">
        <v>140625131</v>
      </c>
      <c r="EF70">
        <v>2</v>
      </c>
      <c r="EG70" t="s">
        <v>22</v>
      </c>
      <c r="EH70">
        <v>40</v>
      </c>
      <c r="EI70" t="s">
        <v>23</v>
      </c>
      <c r="EJ70">
        <v>1</v>
      </c>
      <c r="EK70">
        <v>46001</v>
      </c>
      <c r="EL70" t="s">
        <v>57</v>
      </c>
      <c r="EM70" t="s">
        <v>25</v>
      </c>
      <c r="EO70" t="s">
        <v>26</v>
      </c>
      <c r="EQ70">
        <v>0</v>
      </c>
      <c r="ER70">
        <v>496.89</v>
      </c>
      <c r="ES70">
        <v>0</v>
      </c>
      <c r="ET70">
        <v>99.88</v>
      </c>
      <c r="EU70">
        <v>17.63</v>
      </c>
      <c r="EV70">
        <v>397.01</v>
      </c>
      <c r="EW70">
        <v>44.26</v>
      </c>
      <c r="EX70">
        <v>1.52</v>
      </c>
      <c r="EY70">
        <v>0</v>
      </c>
      <c r="FQ70">
        <v>0</v>
      </c>
      <c r="FR70">
        <f t="shared" si="144"/>
        <v>0</v>
      </c>
      <c r="FS70">
        <v>0</v>
      </c>
      <c r="FX70">
        <v>103</v>
      </c>
      <c r="FY70">
        <v>59</v>
      </c>
      <c r="GA70" t="s">
        <v>3</v>
      </c>
      <c r="GD70">
        <v>1</v>
      </c>
      <c r="GF70">
        <v>1936833757</v>
      </c>
      <c r="GG70">
        <v>2</v>
      </c>
      <c r="GH70">
        <v>1</v>
      </c>
      <c r="GI70">
        <v>4</v>
      </c>
      <c r="GJ70">
        <v>0</v>
      </c>
      <c r="GK70">
        <v>0</v>
      </c>
      <c r="GL70">
        <f t="shared" si="145"/>
        <v>0</v>
      </c>
      <c r="GM70">
        <f t="shared" si="146"/>
        <v>90841.33</v>
      </c>
      <c r="GN70">
        <f t="shared" si="147"/>
        <v>90841.33</v>
      </c>
      <c r="GO70">
        <f t="shared" si="148"/>
        <v>0</v>
      </c>
      <c r="GP70">
        <f t="shared" si="149"/>
        <v>0</v>
      </c>
      <c r="GR70">
        <v>0</v>
      </c>
      <c r="GS70">
        <v>3</v>
      </c>
      <c r="GT70">
        <v>0</v>
      </c>
      <c r="GU70" t="s">
        <v>3</v>
      </c>
      <c r="GV70">
        <f t="shared" si="150"/>
        <v>0</v>
      </c>
      <c r="GW70">
        <v>1</v>
      </c>
      <c r="GX70">
        <f t="shared" si="151"/>
        <v>0</v>
      </c>
      <c r="HA70">
        <v>0</v>
      </c>
      <c r="HB70">
        <v>0</v>
      </c>
      <c r="HC70">
        <f t="shared" si="152"/>
        <v>0</v>
      </c>
      <c r="HE70" t="s">
        <v>3</v>
      </c>
      <c r="HF70" t="s">
        <v>3</v>
      </c>
      <c r="HM70" t="s">
        <v>3</v>
      </c>
      <c r="HN70" t="s">
        <v>58</v>
      </c>
      <c r="HO70" t="s">
        <v>59</v>
      </c>
      <c r="HP70" t="s">
        <v>57</v>
      </c>
      <c r="HQ70" t="s">
        <v>57</v>
      </c>
      <c r="IK70">
        <v>0</v>
      </c>
    </row>
    <row r="71" spans="1:245" x14ac:dyDescent="0.2">
      <c r="A71">
        <v>17</v>
      </c>
      <c r="B71">
        <v>1</v>
      </c>
      <c r="C71">
        <f>ROW(SmtRes!A117)</f>
        <v>117</v>
      </c>
      <c r="D71">
        <f>ROW(EtalonRes!A117)</f>
        <v>117</v>
      </c>
      <c r="E71" t="s">
        <v>247</v>
      </c>
      <c r="F71" t="s">
        <v>248</v>
      </c>
      <c r="G71" t="s">
        <v>249</v>
      </c>
      <c r="H71" t="s">
        <v>19</v>
      </c>
      <c r="I71">
        <f>ROUND(-233.36/100,9)</f>
        <v>-2.3336000000000001</v>
      </c>
      <c r="J71">
        <v>0</v>
      </c>
      <c r="K71">
        <f>ROUND(-233.36/100,9)</f>
        <v>-2.3336000000000001</v>
      </c>
      <c r="O71">
        <f t="shared" si="119"/>
        <v>-3768.22</v>
      </c>
      <c r="P71">
        <f t="shared" si="120"/>
        <v>0</v>
      </c>
      <c r="Q71">
        <f t="shared" si="121"/>
        <v>-812.73</v>
      </c>
      <c r="R71">
        <f t="shared" si="122"/>
        <v>-361.33</v>
      </c>
      <c r="S71">
        <f t="shared" si="123"/>
        <v>-2955.49</v>
      </c>
      <c r="T71">
        <f t="shared" si="124"/>
        <v>0</v>
      </c>
      <c r="U71">
        <f t="shared" si="125"/>
        <v>-10.788232799999999</v>
      </c>
      <c r="V71">
        <f t="shared" si="126"/>
        <v>-1.0197832</v>
      </c>
      <c r="W71">
        <f t="shared" si="127"/>
        <v>0</v>
      </c>
      <c r="X71">
        <f t="shared" si="128"/>
        <v>-3416.32</v>
      </c>
      <c r="Y71">
        <f t="shared" si="129"/>
        <v>-1956.92</v>
      </c>
      <c r="AA71">
        <v>145033679</v>
      </c>
      <c r="AB71">
        <f t="shared" si="130"/>
        <v>70.180000000000007</v>
      </c>
      <c r="AC71">
        <f t="shared" si="131"/>
        <v>0</v>
      </c>
      <c r="AD71">
        <f>ROUND(((((ET71*1.15))-((EU71*1.15)))+AE71),2)</f>
        <v>28.71</v>
      </c>
      <c r="AE71">
        <f t="shared" si="153"/>
        <v>5.07</v>
      </c>
      <c r="AF71">
        <f t="shared" si="153"/>
        <v>41.47</v>
      </c>
      <c r="AG71">
        <f t="shared" si="132"/>
        <v>0</v>
      </c>
      <c r="AH71">
        <f t="shared" si="154"/>
        <v>4.6229999999999993</v>
      </c>
      <c r="AI71">
        <f t="shared" si="154"/>
        <v>0.43699999999999994</v>
      </c>
      <c r="AJ71">
        <f t="shared" si="133"/>
        <v>0</v>
      </c>
      <c r="AK71">
        <v>61.03</v>
      </c>
      <c r="AL71">
        <v>0</v>
      </c>
      <c r="AM71">
        <v>24.97</v>
      </c>
      <c r="AN71">
        <v>4.41</v>
      </c>
      <c r="AO71">
        <v>36.06</v>
      </c>
      <c r="AP71">
        <v>0</v>
      </c>
      <c r="AQ71">
        <v>4.0199999999999996</v>
      </c>
      <c r="AR71">
        <v>0.38</v>
      </c>
      <c r="AS71">
        <v>0</v>
      </c>
      <c r="AT71">
        <v>103</v>
      </c>
      <c r="AU71">
        <v>59</v>
      </c>
      <c r="AV71">
        <v>1</v>
      </c>
      <c r="AW71">
        <v>1</v>
      </c>
      <c r="AZ71">
        <v>1</v>
      </c>
      <c r="BA71">
        <v>30.54</v>
      </c>
      <c r="BB71">
        <v>12.13</v>
      </c>
      <c r="BC71">
        <v>8.7100000000000009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250</v>
      </c>
      <c r="BM71">
        <v>46001</v>
      </c>
      <c r="BN71">
        <v>0</v>
      </c>
      <c r="BO71" t="s">
        <v>3</v>
      </c>
      <c r="BP71">
        <v>0</v>
      </c>
      <c r="BQ71">
        <v>2</v>
      </c>
      <c r="BR71">
        <v>0</v>
      </c>
      <c r="BS71">
        <v>30.54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103</v>
      </c>
      <c r="CA71">
        <v>59</v>
      </c>
      <c r="CB71" t="s">
        <v>3</v>
      </c>
      <c r="CE71">
        <v>0</v>
      </c>
      <c r="CF71">
        <v>0</v>
      </c>
      <c r="CG71">
        <v>0</v>
      </c>
      <c r="CM71">
        <v>0</v>
      </c>
      <c r="CN71" t="s">
        <v>1102</v>
      </c>
      <c r="CO71">
        <v>0</v>
      </c>
      <c r="CP71">
        <f t="shared" si="134"/>
        <v>-3768.22</v>
      </c>
      <c r="CQ71">
        <f t="shared" si="135"/>
        <v>0</v>
      </c>
      <c r="CR71">
        <f>((((ET71*1.15))*BB71-((EU71*1.15))*BS71)+AE71*BS71)</f>
        <v>348.27320500000002</v>
      </c>
      <c r="CS71">
        <f t="shared" si="136"/>
        <v>154.83780000000002</v>
      </c>
      <c r="CT71">
        <f t="shared" si="137"/>
        <v>1266.4938</v>
      </c>
      <c r="CU71">
        <f t="shared" si="138"/>
        <v>0</v>
      </c>
      <c r="CV71">
        <f t="shared" si="139"/>
        <v>4.6229999999999993</v>
      </c>
      <c r="CW71">
        <f t="shared" si="140"/>
        <v>0.43699999999999994</v>
      </c>
      <c r="CX71">
        <f t="shared" si="141"/>
        <v>0</v>
      </c>
      <c r="CY71">
        <f t="shared" si="142"/>
        <v>-3416.3245999999995</v>
      </c>
      <c r="CZ71">
        <f t="shared" si="143"/>
        <v>-1956.9237999999998</v>
      </c>
      <c r="DC71" t="s">
        <v>3</v>
      </c>
      <c r="DD71" t="s">
        <v>3</v>
      </c>
      <c r="DE71" t="s">
        <v>21</v>
      </c>
      <c r="DF71" t="s">
        <v>21</v>
      </c>
      <c r="DG71" t="s">
        <v>21</v>
      </c>
      <c r="DH71" t="s">
        <v>3</v>
      </c>
      <c r="DI71" t="s">
        <v>21</v>
      </c>
      <c r="DJ71" t="s">
        <v>21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1005</v>
      </c>
      <c r="DV71" t="s">
        <v>19</v>
      </c>
      <c r="DW71" t="s">
        <v>19</v>
      </c>
      <c r="DX71">
        <v>100</v>
      </c>
      <c r="DZ71" t="s">
        <v>3</v>
      </c>
      <c r="EA71" t="s">
        <v>3</v>
      </c>
      <c r="EB71" t="s">
        <v>3</v>
      </c>
      <c r="EC71" t="s">
        <v>3</v>
      </c>
      <c r="EE71">
        <v>140625131</v>
      </c>
      <c r="EF71">
        <v>2</v>
      </c>
      <c r="EG71" t="s">
        <v>22</v>
      </c>
      <c r="EH71">
        <v>40</v>
      </c>
      <c r="EI71" t="s">
        <v>23</v>
      </c>
      <c r="EJ71">
        <v>1</v>
      </c>
      <c r="EK71">
        <v>46001</v>
      </c>
      <c r="EL71" t="s">
        <v>57</v>
      </c>
      <c r="EM71" t="s">
        <v>25</v>
      </c>
      <c r="EO71" t="s">
        <v>26</v>
      </c>
      <c r="EQ71">
        <v>0</v>
      </c>
      <c r="ER71">
        <v>61.03</v>
      </c>
      <c r="ES71">
        <v>0</v>
      </c>
      <c r="ET71">
        <v>24.97</v>
      </c>
      <c r="EU71">
        <v>4.41</v>
      </c>
      <c r="EV71">
        <v>36.06</v>
      </c>
      <c r="EW71">
        <v>4.0199999999999996</v>
      </c>
      <c r="EX71">
        <v>0.38</v>
      </c>
      <c r="EY71">
        <v>0</v>
      </c>
      <c r="FQ71">
        <v>0</v>
      </c>
      <c r="FR71">
        <f t="shared" si="144"/>
        <v>0</v>
      </c>
      <c r="FS71">
        <v>0</v>
      </c>
      <c r="FX71">
        <v>103</v>
      </c>
      <c r="FY71">
        <v>59</v>
      </c>
      <c r="GA71" t="s">
        <v>3</v>
      </c>
      <c r="GD71">
        <v>1</v>
      </c>
      <c r="GF71">
        <v>1941943893</v>
      </c>
      <c r="GG71">
        <v>2</v>
      </c>
      <c r="GH71">
        <v>1</v>
      </c>
      <c r="GI71">
        <v>4</v>
      </c>
      <c r="GJ71">
        <v>0</v>
      </c>
      <c r="GK71">
        <v>0</v>
      </c>
      <c r="GL71">
        <f t="shared" si="145"/>
        <v>0</v>
      </c>
      <c r="GM71">
        <f t="shared" si="146"/>
        <v>-9141.4599999999991</v>
      </c>
      <c r="GN71">
        <f t="shared" si="147"/>
        <v>-9141.4599999999991</v>
      </c>
      <c r="GO71">
        <f t="shared" si="148"/>
        <v>0</v>
      </c>
      <c r="GP71">
        <f t="shared" si="149"/>
        <v>0</v>
      </c>
      <c r="GR71">
        <v>0</v>
      </c>
      <c r="GS71">
        <v>3</v>
      </c>
      <c r="GT71">
        <v>0</v>
      </c>
      <c r="GU71" t="s">
        <v>3</v>
      </c>
      <c r="GV71">
        <f t="shared" si="150"/>
        <v>0</v>
      </c>
      <c r="GW71">
        <v>1</v>
      </c>
      <c r="GX71">
        <f t="shared" si="151"/>
        <v>0</v>
      </c>
      <c r="HA71">
        <v>0</v>
      </c>
      <c r="HB71">
        <v>0</v>
      </c>
      <c r="HC71">
        <f t="shared" si="152"/>
        <v>0</v>
      </c>
      <c r="HE71" t="s">
        <v>3</v>
      </c>
      <c r="HF71" t="s">
        <v>3</v>
      </c>
      <c r="HM71" t="s">
        <v>3</v>
      </c>
      <c r="HN71" t="s">
        <v>58</v>
      </c>
      <c r="HO71" t="s">
        <v>59</v>
      </c>
      <c r="HP71" t="s">
        <v>57</v>
      </c>
      <c r="HQ71" t="s">
        <v>57</v>
      </c>
      <c r="IK71">
        <v>0</v>
      </c>
    </row>
    <row r="72" spans="1:245" x14ac:dyDescent="0.2">
      <c r="A72">
        <v>17</v>
      </c>
      <c r="B72">
        <v>1</v>
      </c>
      <c r="C72">
        <f>ROW(SmtRes!A120)</f>
        <v>120</v>
      </c>
      <c r="D72">
        <f>ROW(EtalonRes!A120)</f>
        <v>120</v>
      </c>
      <c r="E72" t="s">
        <v>251</v>
      </c>
      <c r="F72" t="s">
        <v>252</v>
      </c>
      <c r="G72" t="s">
        <v>253</v>
      </c>
      <c r="H72" t="s">
        <v>66</v>
      </c>
      <c r="I72">
        <f>ROUND(233.36*0.015,9)</f>
        <v>3.5004</v>
      </c>
      <c r="J72">
        <v>0</v>
      </c>
      <c r="K72">
        <f>ROUND(233.36*0.015,9)</f>
        <v>3.5004</v>
      </c>
      <c r="O72">
        <f t="shared" si="119"/>
        <v>7742.53</v>
      </c>
      <c r="P72">
        <f t="shared" si="120"/>
        <v>0</v>
      </c>
      <c r="Q72">
        <f t="shared" si="121"/>
        <v>2153.6799999999998</v>
      </c>
      <c r="R72">
        <f t="shared" si="122"/>
        <v>4402.2299999999996</v>
      </c>
      <c r="S72">
        <f t="shared" si="123"/>
        <v>5588.85</v>
      </c>
      <c r="T72">
        <f t="shared" si="124"/>
        <v>0</v>
      </c>
      <c r="U72">
        <f t="shared" si="125"/>
        <v>21.455701799999996</v>
      </c>
      <c r="V72">
        <f t="shared" si="126"/>
        <v>14.330637599999998</v>
      </c>
      <c r="W72">
        <f t="shared" si="127"/>
        <v>0</v>
      </c>
      <c r="X72">
        <f t="shared" si="128"/>
        <v>7293.49</v>
      </c>
      <c r="Y72">
        <f t="shared" si="129"/>
        <v>3396.97</v>
      </c>
      <c r="AA72">
        <v>145033679</v>
      </c>
      <c r="AB72">
        <f t="shared" si="130"/>
        <v>103.01</v>
      </c>
      <c r="AC72">
        <f t="shared" si="131"/>
        <v>0</v>
      </c>
      <c r="AD72">
        <f>ROUND(((((ET72*1.15))-((EU72*1.15)))+AE72),2)</f>
        <v>50.73</v>
      </c>
      <c r="AE72">
        <f t="shared" si="153"/>
        <v>41.18</v>
      </c>
      <c r="AF72">
        <f t="shared" si="153"/>
        <v>52.28</v>
      </c>
      <c r="AG72">
        <f t="shared" si="132"/>
        <v>0</v>
      </c>
      <c r="AH72">
        <f t="shared" si="154"/>
        <v>6.1294999999999993</v>
      </c>
      <c r="AI72">
        <f t="shared" si="154"/>
        <v>4.0939999999999994</v>
      </c>
      <c r="AJ72">
        <f t="shared" si="133"/>
        <v>0</v>
      </c>
      <c r="AK72">
        <v>89.57</v>
      </c>
      <c r="AL72">
        <v>0</v>
      </c>
      <c r="AM72">
        <v>44.11</v>
      </c>
      <c r="AN72">
        <v>35.81</v>
      </c>
      <c r="AO72">
        <v>45.46</v>
      </c>
      <c r="AP72">
        <v>0</v>
      </c>
      <c r="AQ72">
        <v>5.33</v>
      </c>
      <c r="AR72">
        <v>3.56</v>
      </c>
      <c r="AS72">
        <v>0</v>
      </c>
      <c r="AT72">
        <v>73</v>
      </c>
      <c r="AU72">
        <v>34</v>
      </c>
      <c r="AV72">
        <v>1</v>
      </c>
      <c r="AW72">
        <v>1</v>
      </c>
      <c r="AZ72">
        <v>1</v>
      </c>
      <c r="BA72">
        <v>30.54</v>
      </c>
      <c r="BB72">
        <v>12.13</v>
      </c>
      <c r="BC72">
        <v>8.7100000000000009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1</v>
      </c>
      <c r="BJ72" t="s">
        <v>254</v>
      </c>
      <c r="BM72">
        <v>46002</v>
      </c>
      <c r="BN72">
        <v>0</v>
      </c>
      <c r="BO72" t="s">
        <v>3</v>
      </c>
      <c r="BP72">
        <v>0</v>
      </c>
      <c r="BQ72">
        <v>2</v>
      </c>
      <c r="BR72">
        <v>0</v>
      </c>
      <c r="BS72">
        <v>30.54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73</v>
      </c>
      <c r="CA72">
        <v>34</v>
      </c>
      <c r="CB72" t="s">
        <v>3</v>
      </c>
      <c r="CE72">
        <v>0</v>
      </c>
      <c r="CF72">
        <v>0</v>
      </c>
      <c r="CG72">
        <v>0</v>
      </c>
      <c r="CM72">
        <v>0</v>
      </c>
      <c r="CN72" t="s">
        <v>1102</v>
      </c>
      <c r="CO72">
        <v>0</v>
      </c>
      <c r="CP72">
        <f t="shared" si="134"/>
        <v>7742.5300000000007</v>
      </c>
      <c r="CQ72">
        <f t="shared" si="135"/>
        <v>0</v>
      </c>
      <c r="CR72">
        <f>((((ET72*1.15))*BB72-((EU72*1.15))*BS72)+AE72*BS72)</f>
        <v>615.26663499999995</v>
      </c>
      <c r="CS72">
        <f t="shared" si="136"/>
        <v>1257.6371999999999</v>
      </c>
      <c r="CT72">
        <f t="shared" si="137"/>
        <v>1596.6312</v>
      </c>
      <c r="CU72">
        <f t="shared" si="138"/>
        <v>0</v>
      </c>
      <c r="CV72">
        <f t="shared" si="139"/>
        <v>6.1294999999999993</v>
      </c>
      <c r="CW72">
        <f t="shared" si="140"/>
        <v>4.0939999999999994</v>
      </c>
      <c r="CX72">
        <f t="shared" si="141"/>
        <v>0</v>
      </c>
      <c r="CY72">
        <f t="shared" si="142"/>
        <v>7293.4883999999993</v>
      </c>
      <c r="CZ72">
        <f t="shared" si="143"/>
        <v>3396.9671999999996</v>
      </c>
      <c r="DC72" t="s">
        <v>3</v>
      </c>
      <c r="DD72" t="s">
        <v>3</v>
      </c>
      <c r="DE72" t="s">
        <v>21</v>
      </c>
      <c r="DF72" t="s">
        <v>21</v>
      </c>
      <c r="DG72" t="s">
        <v>21</v>
      </c>
      <c r="DH72" t="s">
        <v>3</v>
      </c>
      <c r="DI72" t="s">
        <v>21</v>
      </c>
      <c r="DJ72" t="s">
        <v>21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1007</v>
      </c>
      <c r="DV72" t="s">
        <v>66</v>
      </c>
      <c r="DW72" t="s">
        <v>66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140625310</v>
      </c>
      <c r="EF72">
        <v>2</v>
      </c>
      <c r="EG72" t="s">
        <v>22</v>
      </c>
      <c r="EH72">
        <v>108</v>
      </c>
      <c r="EI72" t="s">
        <v>68</v>
      </c>
      <c r="EJ72">
        <v>1</v>
      </c>
      <c r="EK72">
        <v>46002</v>
      </c>
      <c r="EL72" t="s">
        <v>68</v>
      </c>
      <c r="EM72" t="s">
        <v>69</v>
      </c>
      <c r="EO72" t="s">
        <v>26</v>
      </c>
      <c r="EQ72">
        <v>0</v>
      </c>
      <c r="ER72">
        <v>89.57</v>
      </c>
      <c r="ES72">
        <v>0</v>
      </c>
      <c r="ET72">
        <v>44.11</v>
      </c>
      <c r="EU72">
        <v>35.81</v>
      </c>
      <c r="EV72">
        <v>45.46</v>
      </c>
      <c r="EW72">
        <v>5.33</v>
      </c>
      <c r="EX72">
        <v>3.56</v>
      </c>
      <c r="EY72">
        <v>0</v>
      </c>
      <c r="FQ72">
        <v>0</v>
      </c>
      <c r="FR72">
        <f t="shared" si="144"/>
        <v>0</v>
      </c>
      <c r="FS72">
        <v>0</v>
      </c>
      <c r="FX72">
        <v>73</v>
      </c>
      <c r="FY72">
        <v>34</v>
      </c>
      <c r="GA72" t="s">
        <v>3</v>
      </c>
      <c r="GD72">
        <v>1</v>
      </c>
      <c r="GF72">
        <v>-867491934</v>
      </c>
      <c r="GG72">
        <v>2</v>
      </c>
      <c r="GH72">
        <v>1</v>
      </c>
      <c r="GI72">
        <v>4</v>
      </c>
      <c r="GJ72">
        <v>0</v>
      </c>
      <c r="GK72">
        <v>0</v>
      </c>
      <c r="GL72">
        <f t="shared" si="145"/>
        <v>0</v>
      </c>
      <c r="GM72">
        <f t="shared" si="146"/>
        <v>18432.990000000002</v>
      </c>
      <c r="GN72">
        <f t="shared" si="147"/>
        <v>18432.990000000002</v>
      </c>
      <c r="GO72">
        <f t="shared" si="148"/>
        <v>0</v>
      </c>
      <c r="GP72">
        <f t="shared" si="149"/>
        <v>0</v>
      </c>
      <c r="GR72">
        <v>0</v>
      </c>
      <c r="GS72">
        <v>3</v>
      </c>
      <c r="GT72">
        <v>0</v>
      </c>
      <c r="GU72" t="s">
        <v>3</v>
      </c>
      <c r="GV72">
        <f t="shared" si="150"/>
        <v>0</v>
      </c>
      <c r="GW72">
        <v>1</v>
      </c>
      <c r="GX72">
        <f t="shared" si="151"/>
        <v>0</v>
      </c>
      <c r="HA72">
        <v>0</v>
      </c>
      <c r="HB72">
        <v>0</v>
      </c>
      <c r="HC72">
        <f t="shared" si="152"/>
        <v>0</v>
      </c>
      <c r="HE72" t="s">
        <v>3</v>
      </c>
      <c r="HF72" t="s">
        <v>3</v>
      </c>
      <c r="HM72" t="s">
        <v>3</v>
      </c>
      <c r="HN72" t="s">
        <v>70</v>
      </c>
      <c r="HO72" t="s">
        <v>71</v>
      </c>
      <c r="HP72" t="s">
        <v>72</v>
      </c>
      <c r="HQ72" t="s">
        <v>72</v>
      </c>
      <c r="IK72">
        <v>0</v>
      </c>
    </row>
    <row r="73" spans="1:245" x14ac:dyDescent="0.2">
      <c r="A73">
        <v>17</v>
      </c>
      <c r="B73">
        <v>1</v>
      </c>
      <c r="E73" t="s">
        <v>255</v>
      </c>
      <c r="F73" t="s">
        <v>46</v>
      </c>
      <c r="G73" t="s">
        <v>256</v>
      </c>
      <c r="H73" t="s">
        <v>43</v>
      </c>
      <c r="I73">
        <f>ROUND(2145.6+4855.2,9)</f>
        <v>7000.8</v>
      </c>
      <c r="J73">
        <v>0</v>
      </c>
      <c r="K73">
        <f>ROUND(2145.6+4855.2,9)</f>
        <v>7000.8</v>
      </c>
      <c r="O73">
        <f t="shared" si="119"/>
        <v>231102.71</v>
      </c>
      <c r="P73">
        <f t="shared" si="120"/>
        <v>231102.71</v>
      </c>
      <c r="Q73">
        <f t="shared" si="121"/>
        <v>0</v>
      </c>
      <c r="R73">
        <f t="shared" si="122"/>
        <v>0</v>
      </c>
      <c r="S73">
        <f t="shared" si="123"/>
        <v>0</v>
      </c>
      <c r="T73">
        <f t="shared" si="124"/>
        <v>0</v>
      </c>
      <c r="U73">
        <f t="shared" si="125"/>
        <v>0</v>
      </c>
      <c r="V73">
        <f t="shared" si="126"/>
        <v>0</v>
      </c>
      <c r="W73">
        <f t="shared" si="127"/>
        <v>0</v>
      </c>
      <c r="X73">
        <f t="shared" si="128"/>
        <v>0</v>
      </c>
      <c r="Y73">
        <f t="shared" si="129"/>
        <v>0</v>
      </c>
      <c r="AA73">
        <v>145033679</v>
      </c>
      <c r="AB73">
        <f t="shared" si="130"/>
        <v>3.79</v>
      </c>
      <c r="AC73">
        <f t="shared" si="131"/>
        <v>3.79</v>
      </c>
      <c r="AD73">
        <f>ROUND((((ET73)-(EU73))+AE73),2)</f>
        <v>0</v>
      </c>
      <c r="AE73">
        <f>ROUND((EU73),2)</f>
        <v>0</v>
      </c>
      <c r="AF73">
        <f>ROUND((EV73),2)</f>
        <v>0</v>
      </c>
      <c r="AG73">
        <f t="shared" si="132"/>
        <v>0</v>
      </c>
      <c r="AH73">
        <f>(EW73)</f>
        <v>0</v>
      </c>
      <c r="AI73">
        <f>(EX73)</f>
        <v>0</v>
      </c>
      <c r="AJ73">
        <f t="shared" si="133"/>
        <v>0</v>
      </c>
      <c r="AK73">
        <v>3.79</v>
      </c>
      <c r="AL73">
        <v>3.79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8.7100000000000009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8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B73" t="s">
        <v>3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134"/>
        <v>231102.71</v>
      </c>
      <c r="CQ73">
        <f t="shared" si="135"/>
        <v>33.010900000000007</v>
      </c>
      <c r="CR73">
        <f>(((ET73)*BB73-(EU73)*BS73)+AE73*BS73)</f>
        <v>0</v>
      </c>
      <c r="CS73">
        <f t="shared" si="136"/>
        <v>0</v>
      </c>
      <c r="CT73">
        <f t="shared" si="137"/>
        <v>0</v>
      </c>
      <c r="CU73">
        <f t="shared" si="138"/>
        <v>0</v>
      </c>
      <c r="CV73">
        <f t="shared" si="139"/>
        <v>0</v>
      </c>
      <c r="CW73">
        <f t="shared" si="140"/>
        <v>0</v>
      </c>
      <c r="CX73">
        <f t="shared" si="141"/>
        <v>0</v>
      </c>
      <c r="CY73">
        <f t="shared" si="142"/>
        <v>0</v>
      </c>
      <c r="CZ73">
        <f t="shared" si="14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43</v>
      </c>
      <c r="DW73" t="s">
        <v>43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140625274</v>
      </c>
      <c r="EF73">
        <v>8</v>
      </c>
      <c r="EG73" t="s">
        <v>48</v>
      </c>
      <c r="EH73">
        <v>0</v>
      </c>
      <c r="EI73" t="s">
        <v>3</v>
      </c>
      <c r="EJ73">
        <v>1</v>
      </c>
      <c r="EK73">
        <v>1100</v>
      </c>
      <c r="EL73" t="s">
        <v>49</v>
      </c>
      <c r="EM73" t="s">
        <v>50</v>
      </c>
      <c r="EO73" t="s">
        <v>3</v>
      </c>
      <c r="EQ73">
        <v>0</v>
      </c>
      <c r="ER73">
        <v>3.79</v>
      </c>
      <c r="ES73">
        <v>3.79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1</v>
      </c>
      <c r="FD73">
        <v>18</v>
      </c>
      <c r="FF73">
        <v>38.9</v>
      </c>
      <c r="FQ73">
        <v>0</v>
      </c>
      <c r="FR73">
        <f t="shared" si="144"/>
        <v>0</v>
      </c>
      <c r="FS73">
        <v>0</v>
      </c>
      <c r="FX73">
        <v>0</v>
      </c>
      <c r="FY73">
        <v>0</v>
      </c>
      <c r="GA73" t="s">
        <v>257</v>
      </c>
      <c r="GD73">
        <v>1</v>
      </c>
      <c r="GF73">
        <v>-1920583046</v>
      </c>
      <c r="GG73">
        <v>2</v>
      </c>
      <c r="GH73">
        <v>3</v>
      </c>
      <c r="GI73">
        <v>4</v>
      </c>
      <c r="GJ73">
        <v>0</v>
      </c>
      <c r="GK73">
        <v>0</v>
      </c>
      <c r="GL73">
        <f t="shared" si="145"/>
        <v>0</v>
      </c>
      <c r="GM73">
        <f t="shared" si="146"/>
        <v>231102.71</v>
      </c>
      <c r="GN73">
        <f t="shared" si="147"/>
        <v>231102.71</v>
      </c>
      <c r="GO73">
        <f t="shared" si="148"/>
        <v>0</v>
      </c>
      <c r="GP73">
        <f t="shared" si="149"/>
        <v>0</v>
      </c>
      <c r="GR73">
        <v>1</v>
      </c>
      <c r="GS73">
        <v>1</v>
      </c>
      <c r="GT73">
        <v>0</v>
      </c>
      <c r="GU73" t="s">
        <v>3</v>
      </c>
      <c r="GV73">
        <f t="shared" si="150"/>
        <v>0</v>
      </c>
      <c r="GW73">
        <v>1</v>
      </c>
      <c r="GX73">
        <f t="shared" si="151"/>
        <v>0</v>
      </c>
      <c r="HA73">
        <v>0</v>
      </c>
      <c r="HB73">
        <v>0</v>
      </c>
      <c r="HC73">
        <f t="shared" si="152"/>
        <v>0</v>
      </c>
      <c r="HE73" t="s">
        <v>258</v>
      </c>
      <c r="HF73" t="s">
        <v>29</v>
      </c>
      <c r="HM73" t="s">
        <v>3</v>
      </c>
      <c r="HN73" t="s">
        <v>3</v>
      </c>
      <c r="HO73" t="s">
        <v>3</v>
      </c>
      <c r="HP73" t="s">
        <v>3</v>
      </c>
      <c r="HQ73" t="s">
        <v>3</v>
      </c>
      <c r="IK73">
        <v>0</v>
      </c>
    </row>
    <row r="74" spans="1:245" x14ac:dyDescent="0.2">
      <c r="A74">
        <v>17</v>
      </c>
      <c r="B74">
        <v>1</v>
      </c>
      <c r="C74">
        <f>ROW(SmtRes!A127)</f>
        <v>127</v>
      </c>
      <c r="D74">
        <f>ROW(EtalonRes!A127)</f>
        <v>127</v>
      </c>
      <c r="E74" t="s">
        <v>259</v>
      </c>
      <c r="F74" t="s">
        <v>260</v>
      </c>
      <c r="G74" t="s">
        <v>261</v>
      </c>
      <c r="H74" t="s">
        <v>88</v>
      </c>
      <c r="I74">
        <f>ROUND(0.016/100,9)</f>
        <v>1.6000000000000001E-4</v>
      </c>
      <c r="J74">
        <v>0</v>
      </c>
      <c r="K74">
        <f>ROUND(0.016/100,9)</f>
        <v>1.6000000000000001E-4</v>
      </c>
      <c r="O74">
        <f t="shared" si="119"/>
        <v>2.1</v>
      </c>
      <c r="P74">
        <f t="shared" si="120"/>
        <v>0.39</v>
      </c>
      <c r="Q74">
        <f t="shared" si="121"/>
        <v>0.02</v>
      </c>
      <c r="R74">
        <f t="shared" si="122"/>
        <v>0</v>
      </c>
      <c r="S74">
        <f t="shared" si="123"/>
        <v>1.69</v>
      </c>
      <c r="T74">
        <f t="shared" si="124"/>
        <v>0</v>
      </c>
      <c r="U74">
        <f t="shared" si="125"/>
        <v>5.7628800000000006E-3</v>
      </c>
      <c r="V74">
        <f t="shared" si="126"/>
        <v>1.8400000000000002E-6</v>
      </c>
      <c r="W74">
        <f t="shared" si="127"/>
        <v>0</v>
      </c>
      <c r="X74">
        <f t="shared" si="128"/>
        <v>1.57</v>
      </c>
      <c r="Y74">
        <f t="shared" si="129"/>
        <v>1.05</v>
      </c>
      <c r="AA74">
        <v>145033679</v>
      </c>
      <c r="AB74">
        <f t="shared" si="130"/>
        <v>635.23</v>
      </c>
      <c r="AC74">
        <f t="shared" si="131"/>
        <v>280.54000000000002</v>
      </c>
      <c r="AD74">
        <f>ROUND(((((ET74*1.15))-((EU74*1.15)))+AE74),2)</f>
        <v>8.19</v>
      </c>
      <c r="AE74">
        <f>ROUND(((EU74*1.15)),2)</f>
        <v>0.09</v>
      </c>
      <c r="AF74">
        <f>ROUND(((EV74*1.15)),2)</f>
        <v>346.5</v>
      </c>
      <c r="AG74">
        <f t="shared" si="132"/>
        <v>0</v>
      </c>
      <c r="AH74">
        <f>((EW74*1.15))</f>
        <v>36.018000000000001</v>
      </c>
      <c r="AI74">
        <f>((EX74*1.15))</f>
        <v>1.15E-2</v>
      </c>
      <c r="AJ74">
        <f t="shared" si="133"/>
        <v>0</v>
      </c>
      <c r="AK74">
        <v>588.96</v>
      </c>
      <c r="AL74">
        <v>280.54000000000002</v>
      </c>
      <c r="AM74">
        <v>7.12</v>
      </c>
      <c r="AN74">
        <v>0.08</v>
      </c>
      <c r="AO74">
        <v>301.3</v>
      </c>
      <c r="AP74">
        <v>0</v>
      </c>
      <c r="AQ74">
        <v>31.32</v>
      </c>
      <c r="AR74">
        <v>0.01</v>
      </c>
      <c r="AS74">
        <v>0</v>
      </c>
      <c r="AT74">
        <v>93</v>
      </c>
      <c r="AU74">
        <v>62</v>
      </c>
      <c r="AV74">
        <v>1</v>
      </c>
      <c r="AW74">
        <v>1</v>
      </c>
      <c r="AZ74">
        <v>1</v>
      </c>
      <c r="BA74">
        <v>30.54</v>
      </c>
      <c r="BB74">
        <v>12.13</v>
      </c>
      <c r="BC74">
        <v>8.7100000000000009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1</v>
      </c>
      <c r="BJ74" t="s">
        <v>262</v>
      </c>
      <c r="BM74">
        <v>9001</v>
      </c>
      <c r="BN74">
        <v>0</v>
      </c>
      <c r="BO74" t="s">
        <v>3</v>
      </c>
      <c r="BP74">
        <v>0</v>
      </c>
      <c r="BQ74">
        <v>2</v>
      </c>
      <c r="BR74">
        <v>0</v>
      </c>
      <c r="BS74">
        <v>30.54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93</v>
      </c>
      <c r="CA74">
        <v>62</v>
      </c>
      <c r="CB74" t="s">
        <v>3</v>
      </c>
      <c r="CE74">
        <v>0</v>
      </c>
      <c r="CF74">
        <v>0</v>
      </c>
      <c r="CG74">
        <v>0</v>
      </c>
      <c r="CM74">
        <v>0</v>
      </c>
      <c r="CN74" t="s">
        <v>1103</v>
      </c>
      <c r="CO74">
        <v>0</v>
      </c>
      <c r="CP74">
        <f t="shared" si="134"/>
        <v>2.1</v>
      </c>
      <c r="CQ74">
        <f t="shared" si="135"/>
        <v>2443.5034000000005</v>
      </c>
      <c r="CR74">
        <f>((((ET74*1.15))*BB74-((EU74*1.15))*BS74)+AE74*BS74)</f>
        <v>99.259359999999987</v>
      </c>
      <c r="CS74">
        <f t="shared" si="136"/>
        <v>2.7485999999999997</v>
      </c>
      <c r="CT74">
        <f t="shared" si="137"/>
        <v>10582.11</v>
      </c>
      <c r="CU74">
        <f t="shared" si="138"/>
        <v>0</v>
      </c>
      <c r="CV74">
        <f t="shared" si="139"/>
        <v>36.018000000000001</v>
      </c>
      <c r="CW74">
        <f t="shared" si="140"/>
        <v>1.15E-2</v>
      </c>
      <c r="CX74">
        <f t="shared" si="141"/>
        <v>0</v>
      </c>
      <c r="CY74">
        <f t="shared" si="142"/>
        <v>1.5716999999999999</v>
      </c>
      <c r="CZ74">
        <f t="shared" si="143"/>
        <v>1.0478000000000001</v>
      </c>
      <c r="DC74" t="s">
        <v>3</v>
      </c>
      <c r="DD74" t="s">
        <v>3</v>
      </c>
      <c r="DE74" t="s">
        <v>21</v>
      </c>
      <c r="DF74" t="s">
        <v>21</v>
      </c>
      <c r="DG74" t="s">
        <v>21</v>
      </c>
      <c r="DH74" t="s">
        <v>3</v>
      </c>
      <c r="DI74" t="s">
        <v>21</v>
      </c>
      <c r="DJ74" t="s">
        <v>21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1003</v>
      </c>
      <c r="DV74" t="s">
        <v>88</v>
      </c>
      <c r="DW74" t="s">
        <v>88</v>
      </c>
      <c r="DX74">
        <v>100</v>
      </c>
      <c r="DZ74" t="s">
        <v>3</v>
      </c>
      <c r="EA74" t="s">
        <v>3</v>
      </c>
      <c r="EB74" t="s">
        <v>3</v>
      </c>
      <c r="EC74" t="s">
        <v>3</v>
      </c>
      <c r="EE74">
        <v>140625026</v>
      </c>
      <c r="EF74">
        <v>2</v>
      </c>
      <c r="EG74" t="s">
        <v>22</v>
      </c>
      <c r="EH74">
        <v>9</v>
      </c>
      <c r="EI74" t="s">
        <v>263</v>
      </c>
      <c r="EJ74">
        <v>1</v>
      </c>
      <c r="EK74">
        <v>9001</v>
      </c>
      <c r="EL74" t="s">
        <v>263</v>
      </c>
      <c r="EM74" t="s">
        <v>264</v>
      </c>
      <c r="EO74" t="s">
        <v>37</v>
      </c>
      <c r="EQ74">
        <v>0</v>
      </c>
      <c r="ER74">
        <v>588.96</v>
      </c>
      <c r="ES74">
        <v>280.54000000000002</v>
      </c>
      <c r="ET74">
        <v>7.12</v>
      </c>
      <c r="EU74">
        <v>0.08</v>
      </c>
      <c r="EV74">
        <v>301.3</v>
      </c>
      <c r="EW74">
        <v>31.32</v>
      </c>
      <c r="EX74">
        <v>0.01</v>
      </c>
      <c r="EY74">
        <v>0</v>
      </c>
      <c r="FQ74">
        <v>0</v>
      </c>
      <c r="FR74">
        <f t="shared" si="144"/>
        <v>0</v>
      </c>
      <c r="FS74">
        <v>0</v>
      </c>
      <c r="FX74">
        <v>93</v>
      </c>
      <c r="FY74">
        <v>62</v>
      </c>
      <c r="GA74" t="s">
        <v>3</v>
      </c>
      <c r="GD74">
        <v>1</v>
      </c>
      <c r="GF74">
        <v>1533029397</v>
      </c>
      <c r="GG74">
        <v>2</v>
      </c>
      <c r="GH74">
        <v>1</v>
      </c>
      <c r="GI74">
        <v>4</v>
      </c>
      <c r="GJ74">
        <v>0</v>
      </c>
      <c r="GK74">
        <v>0</v>
      </c>
      <c r="GL74">
        <f t="shared" si="145"/>
        <v>0</v>
      </c>
      <c r="GM74">
        <f t="shared" si="146"/>
        <v>4.72</v>
      </c>
      <c r="GN74">
        <f t="shared" si="147"/>
        <v>4.72</v>
      </c>
      <c r="GO74">
        <f t="shared" si="148"/>
        <v>0</v>
      </c>
      <c r="GP74">
        <f t="shared" si="149"/>
        <v>0</v>
      </c>
      <c r="GR74">
        <v>0</v>
      </c>
      <c r="GS74">
        <v>3</v>
      </c>
      <c r="GT74">
        <v>0</v>
      </c>
      <c r="GU74" t="s">
        <v>3</v>
      </c>
      <c r="GV74">
        <f t="shared" si="150"/>
        <v>0</v>
      </c>
      <c r="GW74">
        <v>1</v>
      </c>
      <c r="GX74">
        <f t="shared" si="151"/>
        <v>0</v>
      </c>
      <c r="HA74">
        <v>0</v>
      </c>
      <c r="HB74">
        <v>0</v>
      </c>
      <c r="HC74">
        <f t="shared" si="152"/>
        <v>0</v>
      </c>
      <c r="HE74" t="s">
        <v>3</v>
      </c>
      <c r="HF74" t="s">
        <v>3</v>
      </c>
      <c r="HM74" t="s">
        <v>3</v>
      </c>
      <c r="HN74" t="s">
        <v>265</v>
      </c>
      <c r="HO74" t="s">
        <v>266</v>
      </c>
      <c r="HP74" t="s">
        <v>263</v>
      </c>
      <c r="HQ74" t="s">
        <v>263</v>
      </c>
      <c r="IK74">
        <v>0</v>
      </c>
    </row>
    <row r="75" spans="1:245" x14ac:dyDescent="0.2">
      <c r="A75">
        <v>17</v>
      </c>
      <c r="B75">
        <v>1</v>
      </c>
      <c r="C75">
        <f>ROW(SmtRes!A132)</f>
        <v>132</v>
      </c>
      <c r="D75">
        <f>ROW(EtalonRes!A132)</f>
        <v>132</v>
      </c>
      <c r="E75" t="s">
        <v>267</v>
      </c>
      <c r="F75" t="s">
        <v>268</v>
      </c>
      <c r="G75" t="s">
        <v>269</v>
      </c>
      <c r="H75" t="s">
        <v>270</v>
      </c>
      <c r="I75">
        <f>ROUND(2/100,9)</f>
        <v>0.02</v>
      </c>
      <c r="J75">
        <v>0</v>
      </c>
      <c r="K75">
        <f>ROUND(2/100,9)</f>
        <v>0.02</v>
      </c>
      <c r="O75">
        <f t="shared" si="119"/>
        <v>71.19</v>
      </c>
      <c r="P75">
        <f t="shared" si="120"/>
        <v>0</v>
      </c>
      <c r="Q75">
        <f t="shared" si="121"/>
        <v>3.72</v>
      </c>
      <c r="R75">
        <f t="shared" si="122"/>
        <v>0</v>
      </c>
      <c r="S75">
        <f t="shared" si="123"/>
        <v>67.47</v>
      </c>
      <c r="T75">
        <f t="shared" si="124"/>
        <v>0</v>
      </c>
      <c r="U75">
        <f t="shared" si="125"/>
        <v>0.25897999999999999</v>
      </c>
      <c r="V75">
        <f t="shared" si="126"/>
        <v>0</v>
      </c>
      <c r="W75">
        <f t="shared" si="127"/>
        <v>0</v>
      </c>
      <c r="X75">
        <f t="shared" si="128"/>
        <v>69.489999999999995</v>
      </c>
      <c r="Y75">
        <f t="shared" si="129"/>
        <v>39.81</v>
      </c>
      <c r="AA75">
        <v>145033679</v>
      </c>
      <c r="AB75">
        <f t="shared" si="130"/>
        <v>125.79</v>
      </c>
      <c r="AC75">
        <f t="shared" si="131"/>
        <v>0</v>
      </c>
      <c r="AD75">
        <f>ROUND(((((ET75*1.15))-((EU75*1.15)))+AE75),2)</f>
        <v>15.33</v>
      </c>
      <c r="AE75">
        <f>ROUND(((EU75*1.15)),2)</f>
        <v>0</v>
      </c>
      <c r="AF75">
        <f>ROUND(((EV75*1.15)),2)</f>
        <v>110.46</v>
      </c>
      <c r="AG75">
        <f t="shared" si="132"/>
        <v>0</v>
      </c>
      <c r="AH75">
        <f>((EW75*1.15))</f>
        <v>12.948999999999998</v>
      </c>
      <c r="AI75">
        <f>((EX75*1.15))</f>
        <v>0</v>
      </c>
      <c r="AJ75">
        <f t="shared" si="133"/>
        <v>0</v>
      </c>
      <c r="AK75">
        <v>109.38</v>
      </c>
      <c r="AL75">
        <v>0</v>
      </c>
      <c r="AM75">
        <v>13.33</v>
      </c>
      <c r="AN75">
        <v>0</v>
      </c>
      <c r="AO75">
        <v>96.05</v>
      </c>
      <c r="AP75">
        <v>0</v>
      </c>
      <c r="AQ75">
        <v>11.26</v>
      </c>
      <c r="AR75">
        <v>0</v>
      </c>
      <c r="AS75">
        <v>0</v>
      </c>
      <c r="AT75">
        <v>103</v>
      </c>
      <c r="AU75">
        <v>59</v>
      </c>
      <c r="AV75">
        <v>1</v>
      </c>
      <c r="AW75">
        <v>1</v>
      </c>
      <c r="AZ75">
        <v>1</v>
      </c>
      <c r="BA75">
        <v>30.54</v>
      </c>
      <c r="BB75">
        <v>12.13</v>
      </c>
      <c r="BC75">
        <v>8.7100000000000009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271</v>
      </c>
      <c r="BM75">
        <v>46001</v>
      </c>
      <c r="BN75">
        <v>0</v>
      </c>
      <c r="BO75" t="s">
        <v>3</v>
      </c>
      <c r="BP75">
        <v>0</v>
      </c>
      <c r="BQ75">
        <v>2</v>
      </c>
      <c r="BR75">
        <v>0</v>
      </c>
      <c r="BS75">
        <v>30.54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103</v>
      </c>
      <c r="CA75">
        <v>59</v>
      </c>
      <c r="CB75" t="s">
        <v>3</v>
      </c>
      <c r="CE75">
        <v>0</v>
      </c>
      <c r="CF75">
        <v>0</v>
      </c>
      <c r="CG75">
        <v>0</v>
      </c>
      <c r="CM75">
        <v>0</v>
      </c>
      <c r="CN75" t="s">
        <v>1102</v>
      </c>
      <c r="CO75">
        <v>0</v>
      </c>
      <c r="CP75">
        <f t="shared" si="134"/>
        <v>71.19</v>
      </c>
      <c r="CQ75">
        <f t="shared" si="135"/>
        <v>0</v>
      </c>
      <c r="CR75">
        <f>((((ET75*1.15))*BB75-((EU75*1.15))*BS75)+AE75*BS75)</f>
        <v>185.94683499999999</v>
      </c>
      <c r="CS75">
        <f t="shared" si="136"/>
        <v>0</v>
      </c>
      <c r="CT75">
        <f t="shared" si="137"/>
        <v>3373.4483999999998</v>
      </c>
      <c r="CU75">
        <f t="shared" si="138"/>
        <v>0</v>
      </c>
      <c r="CV75">
        <f t="shared" si="139"/>
        <v>12.948999999999998</v>
      </c>
      <c r="CW75">
        <f t="shared" si="140"/>
        <v>0</v>
      </c>
      <c r="CX75">
        <f t="shared" si="141"/>
        <v>0</v>
      </c>
      <c r="CY75">
        <f t="shared" si="142"/>
        <v>69.494100000000003</v>
      </c>
      <c r="CZ75">
        <f t="shared" si="143"/>
        <v>39.807299999999998</v>
      </c>
      <c r="DC75" t="s">
        <v>3</v>
      </c>
      <c r="DD75" t="s">
        <v>3</v>
      </c>
      <c r="DE75" t="s">
        <v>21</v>
      </c>
      <c r="DF75" t="s">
        <v>21</v>
      </c>
      <c r="DG75" t="s">
        <v>21</v>
      </c>
      <c r="DH75" t="s">
        <v>3</v>
      </c>
      <c r="DI75" t="s">
        <v>21</v>
      </c>
      <c r="DJ75" t="s">
        <v>21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270</v>
      </c>
      <c r="DW75" t="s">
        <v>270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140625131</v>
      </c>
      <c r="EF75">
        <v>2</v>
      </c>
      <c r="EG75" t="s">
        <v>22</v>
      </c>
      <c r="EH75">
        <v>40</v>
      </c>
      <c r="EI75" t="s">
        <v>23</v>
      </c>
      <c r="EJ75">
        <v>1</v>
      </c>
      <c r="EK75">
        <v>46001</v>
      </c>
      <c r="EL75" t="s">
        <v>57</v>
      </c>
      <c r="EM75" t="s">
        <v>25</v>
      </c>
      <c r="EO75" t="s">
        <v>26</v>
      </c>
      <c r="EQ75">
        <v>0</v>
      </c>
      <c r="ER75">
        <v>109.38</v>
      </c>
      <c r="ES75">
        <v>0</v>
      </c>
      <c r="ET75">
        <v>13.33</v>
      </c>
      <c r="EU75">
        <v>0</v>
      </c>
      <c r="EV75">
        <v>96.05</v>
      </c>
      <c r="EW75">
        <v>11.26</v>
      </c>
      <c r="EX75">
        <v>0</v>
      </c>
      <c r="EY75">
        <v>0</v>
      </c>
      <c r="FQ75">
        <v>0</v>
      </c>
      <c r="FR75">
        <f t="shared" si="144"/>
        <v>0</v>
      </c>
      <c r="FS75">
        <v>0</v>
      </c>
      <c r="FX75">
        <v>103</v>
      </c>
      <c r="FY75">
        <v>59</v>
      </c>
      <c r="GA75" t="s">
        <v>3</v>
      </c>
      <c r="GD75">
        <v>1</v>
      </c>
      <c r="GF75">
        <v>348850465</v>
      </c>
      <c r="GG75">
        <v>2</v>
      </c>
      <c r="GH75">
        <v>1</v>
      </c>
      <c r="GI75">
        <v>4</v>
      </c>
      <c r="GJ75">
        <v>0</v>
      </c>
      <c r="GK75">
        <v>0</v>
      </c>
      <c r="GL75">
        <f t="shared" si="145"/>
        <v>0</v>
      </c>
      <c r="GM75">
        <f t="shared" si="146"/>
        <v>180.49</v>
      </c>
      <c r="GN75">
        <f t="shared" si="147"/>
        <v>180.49</v>
      </c>
      <c r="GO75">
        <f t="shared" si="148"/>
        <v>0</v>
      </c>
      <c r="GP75">
        <f t="shared" si="149"/>
        <v>0</v>
      </c>
      <c r="GR75">
        <v>0</v>
      </c>
      <c r="GS75">
        <v>3</v>
      </c>
      <c r="GT75">
        <v>0</v>
      </c>
      <c r="GU75" t="s">
        <v>3</v>
      </c>
      <c r="GV75">
        <f t="shared" si="150"/>
        <v>0</v>
      </c>
      <c r="GW75">
        <v>1</v>
      </c>
      <c r="GX75">
        <f t="shared" si="151"/>
        <v>0</v>
      </c>
      <c r="HA75">
        <v>0</v>
      </c>
      <c r="HB75">
        <v>0</v>
      </c>
      <c r="HC75">
        <f t="shared" si="152"/>
        <v>0</v>
      </c>
      <c r="HE75" t="s">
        <v>3</v>
      </c>
      <c r="HF75" t="s">
        <v>3</v>
      </c>
      <c r="HM75" t="s">
        <v>3</v>
      </c>
      <c r="HN75" t="s">
        <v>58</v>
      </c>
      <c r="HO75" t="s">
        <v>59</v>
      </c>
      <c r="HP75" t="s">
        <v>57</v>
      </c>
      <c r="HQ75" t="s">
        <v>57</v>
      </c>
      <c r="IK75">
        <v>0</v>
      </c>
    </row>
    <row r="76" spans="1:245" x14ac:dyDescent="0.2">
      <c r="A76">
        <v>18</v>
      </c>
      <c r="B76">
        <v>1</v>
      </c>
      <c r="C76">
        <v>130</v>
      </c>
      <c r="E76" t="s">
        <v>272</v>
      </c>
      <c r="F76" t="s">
        <v>273</v>
      </c>
      <c r="G76" t="s">
        <v>274</v>
      </c>
      <c r="H76" t="s">
        <v>275</v>
      </c>
      <c r="I76">
        <f>I75*J76</f>
        <v>3.8399999999999997E-2</v>
      </c>
      <c r="J76">
        <v>1.9199999999999997</v>
      </c>
      <c r="K76">
        <v>1.92</v>
      </c>
      <c r="O76">
        <f t="shared" si="119"/>
        <v>0.33</v>
      </c>
      <c r="P76">
        <f t="shared" si="120"/>
        <v>0.33</v>
      </c>
      <c r="Q76">
        <f t="shared" si="121"/>
        <v>0</v>
      </c>
      <c r="R76">
        <f t="shared" si="122"/>
        <v>0</v>
      </c>
      <c r="S76">
        <f t="shared" si="123"/>
        <v>0</v>
      </c>
      <c r="T76">
        <f t="shared" si="124"/>
        <v>0</v>
      </c>
      <c r="U76">
        <f t="shared" si="125"/>
        <v>0</v>
      </c>
      <c r="V76">
        <f t="shared" si="126"/>
        <v>0</v>
      </c>
      <c r="W76">
        <f t="shared" si="127"/>
        <v>0</v>
      </c>
      <c r="X76">
        <f t="shared" si="128"/>
        <v>0</v>
      </c>
      <c r="Y76">
        <f t="shared" si="129"/>
        <v>0</v>
      </c>
      <c r="AA76">
        <v>145033679</v>
      </c>
      <c r="AB76">
        <f t="shared" si="130"/>
        <v>1</v>
      </c>
      <c r="AC76">
        <f t="shared" si="131"/>
        <v>1</v>
      </c>
      <c r="AD76">
        <f>ROUND((((ET76)-(EU76))+AE76),2)</f>
        <v>0</v>
      </c>
      <c r="AE76">
        <f t="shared" ref="AE76:AF78" si="155">ROUND((EU76),2)</f>
        <v>0</v>
      </c>
      <c r="AF76">
        <f t="shared" si="155"/>
        <v>0</v>
      </c>
      <c r="AG76">
        <f t="shared" si="132"/>
        <v>0</v>
      </c>
      <c r="AH76">
        <f t="shared" ref="AH76:AI78" si="156">(EW76)</f>
        <v>0</v>
      </c>
      <c r="AI76">
        <f t="shared" si="156"/>
        <v>0</v>
      </c>
      <c r="AJ76">
        <f t="shared" si="133"/>
        <v>0</v>
      </c>
      <c r="AK76">
        <v>1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103</v>
      </c>
      <c r="AU76">
        <v>59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8.7100000000000009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276</v>
      </c>
      <c r="BM76">
        <v>46001</v>
      </c>
      <c r="BN76">
        <v>0</v>
      </c>
      <c r="BO76" t="s">
        <v>3</v>
      </c>
      <c r="BP76">
        <v>0</v>
      </c>
      <c r="BQ76">
        <v>2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103</v>
      </c>
      <c r="CA76">
        <v>59</v>
      </c>
      <c r="CB76" t="s">
        <v>3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134"/>
        <v>0.33</v>
      </c>
      <c r="CQ76">
        <f t="shared" si="135"/>
        <v>8.7100000000000009</v>
      </c>
      <c r="CR76">
        <f>(((ET76)*BB76-(EU76)*BS76)+AE76*BS76)</f>
        <v>0</v>
      </c>
      <c r="CS76">
        <f t="shared" si="136"/>
        <v>0</v>
      </c>
      <c r="CT76">
        <f t="shared" si="137"/>
        <v>0</v>
      </c>
      <c r="CU76">
        <f t="shared" si="138"/>
        <v>0</v>
      </c>
      <c r="CV76">
        <f t="shared" si="139"/>
        <v>0</v>
      </c>
      <c r="CW76">
        <f t="shared" si="140"/>
        <v>0</v>
      </c>
      <c r="CX76">
        <f t="shared" si="141"/>
        <v>0</v>
      </c>
      <c r="CY76">
        <f t="shared" si="142"/>
        <v>0</v>
      </c>
      <c r="CZ76">
        <f t="shared" si="143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275</v>
      </c>
      <c r="DW76" t="s">
        <v>275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140625131</v>
      </c>
      <c r="EF76">
        <v>2</v>
      </c>
      <c r="EG76" t="s">
        <v>22</v>
      </c>
      <c r="EH76">
        <v>40</v>
      </c>
      <c r="EI76" t="s">
        <v>23</v>
      </c>
      <c r="EJ76">
        <v>1</v>
      </c>
      <c r="EK76">
        <v>46001</v>
      </c>
      <c r="EL76" t="s">
        <v>57</v>
      </c>
      <c r="EM76" t="s">
        <v>25</v>
      </c>
      <c r="EO76" t="s">
        <v>3</v>
      </c>
      <c r="EQ76">
        <v>0</v>
      </c>
      <c r="ER76">
        <v>1</v>
      </c>
      <c r="ES76">
        <v>1</v>
      </c>
      <c r="ET76">
        <v>0</v>
      </c>
      <c r="EU76">
        <v>0</v>
      </c>
      <c r="EV76">
        <v>0</v>
      </c>
      <c r="EW76">
        <v>0</v>
      </c>
      <c r="EX76">
        <v>0</v>
      </c>
      <c r="FQ76">
        <v>0</v>
      </c>
      <c r="FR76">
        <f t="shared" si="144"/>
        <v>0</v>
      </c>
      <c r="FS76">
        <v>0</v>
      </c>
      <c r="FX76">
        <v>103</v>
      </c>
      <c r="FY76">
        <v>59</v>
      </c>
      <c r="GA76" t="s">
        <v>3</v>
      </c>
      <c r="GD76">
        <v>1</v>
      </c>
      <c r="GF76">
        <v>933151182</v>
      </c>
      <c r="GG76">
        <v>2</v>
      </c>
      <c r="GH76">
        <v>1</v>
      </c>
      <c r="GI76">
        <v>4</v>
      </c>
      <c r="GJ76">
        <v>0</v>
      </c>
      <c r="GK76">
        <v>0</v>
      </c>
      <c r="GL76">
        <f t="shared" si="145"/>
        <v>0</v>
      </c>
      <c r="GM76">
        <f t="shared" si="146"/>
        <v>0.33</v>
      </c>
      <c r="GN76">
        <f t="shared" si="147"/>
        <v>0.33</v>
      </c>
      <c r="GO76">
        <f t="shared" si="148"/>
        <v>0</v>
      </c>
      <c r="GP76">
        <f t="shared" si="149"/>
        <v>0</v>
      </c>
      <c r="GR76">
        <v>0</v>
      </c>
      <c r="GS76">
        <v>3</v>
      </c>
      <c r="GT76">
        <v>0</v>
      </c>
      <c r="GU76" t="s">
        <v>3</v>
      </c>
      <c r="GV76">
        <f t="shared" si="150"/>
        <v>0</v>
      </c>
      <c r="GW76">
        <v>1</v>
      </c>
      <c r="GX76">
        <f t="shared" si="151"/>
        <v>0</v>
      </c>
      <c r="HA76">
        <v>0</v>
      </c>
      <c r="HB76">
        <v>0</v>
      </c>
      <c r="HC76">
        <f t="shared" si="152"/>
        <v>0</v>
      </c>
      <c r="HE76" t="s">
        <v>3</v>
      </c>
      <c r="HF76" t="s">
        <v>3</v>
      </c>
      <c r="HM76" t="s">
        <v>3</v>
      </c>
      <c r="HN76" t="s">
        <v>58</v>
      </c>
      <c r="HO76" t="s">
        <v>59</v>
      </c>
      <c r="HP76" t="s">
        <v>57</v>
      </c>
      <c r="HQ76" t="s">
        <v>57</v>
      </c>
      <c r="IK76">
        <v>0</v>
      </c>
    </row>
    <row r="77" spans="1:245" x14ac:dyDescent="0.2">
      <c r="A77">
        <v>17</v>
      </c>
      <c r="B77">
        <v>1</v>
      </c>
      <c r="E77" t="s">
        <v>277</v>
      </c>
      <c r="F77" t="s">
        <v>46</v>
      </c>
      <c r="G77" t="s">
        <v>278</v>
      </c>
      <c r="H77" t="s">
        <v>105</v>
      </c>
      <c r="I77">
        <f>ROUND(3.56/1000,9)</f>
        <v>3.5599999999999998E-3</v>
      </c>
      <c r="J77">
        <v>0</v>
      </c>
      <c r="K77">
        <f>ROUND(3.56/1000,9)</f>
        <v>3.5599999999999998E-3</v>
      </c>
      <c r="O77">
        <f t="shared" si="119"/>
        <v>206.52</v>
      </c>
      <c r="P77">
        <f t="shared" si="120"/>
        <v>206.52</v>
      </c>
      <c r="Q77">
        <f t="shared" si="121"/>
        <v>0</v>
      </c>
      <c r="R77">
        <f t="shared" si="122"/>
        <v>0</v>
      </c>
      <c r="S77">
        <f t="shared" si="123"/>
        <v>0</v>
      </c>
      <c r="T77">
        <f t="shared" si="124"/>
        <v>0</v>
      </c>
      <c r="U77">
        <f t="shared" si="125"/>
        <v>0</v>
      </c>
      <c r="V77">
        <f t="shared" si="126"/>
        <v>0</v>
      </c>
      <c r="W77">
        <f t="shared" si="127"/>
        <v>0</v>
      </c>
      <c r="X77">
        <f t="shared" si="128"/>
        <v>0</v>
      </c>
      <c r="Y77">
        <f t="shared" si="129"/>
        <v>0</v>
      </c>
      <c r="AA77">
        <v>145033679</v>
      </c>
      <c r="AB77">
        <f t="shared" si="130"/>
        <v>6660.46</v>
      </c>
      <c r="AC77">
        <f t="shared" si="131"/>
        <v>6660.46</v>
      </c>
      <c r="AD77">
        <f>ROUND((((ET77)-(EU77))+AE77),2)</f>
        <v>0</v>
      </c>
      <c r="AE77">
        <f t="shared" si="155"/>
        <v>0</v>
      </c>
      <c r="AF77">
        <f t="shared" si="155"/>
        <v>0</v>
      </c>
      <c r="AG77">
        <f t="shared" si="132"/>
        <v>0</v>
      </c>
      <c r="AH77">
        <f t="shared" si="156"/>
        <v>0</v>
      </c>
      <c r="AI77">
        <f t="shared" si="156"/>
        <v>0</v>
      </c>
      <c r="AJ77">
        <f t="shared" si="133"/>
        <v>0</v>
      </c>
      <c r="AK77">
        <v>6660.46</v>
      </c>
      <c r="AL77">
        <v>6660.46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8.7100000000000009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8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B77" t="s">
        <v>3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134"/>
        <v>206.52</v>
      </c>
      <c r="CQ77">
        <f t="shared" si="135"/>
        <v>58012.606600000006</v>
      </c>
      <c r="CR77">
        <f>(((ET77)*BB77-(EU77)*BS77)+AE77*BS77)</f>
        <v>0</v>
      </c>
      <c r="CS77">
        <f t="shared" si="136"/>
        <v>0</v>
      </c>
      <c r="CT77">
        <f t="shared" si="137"/>
        <v>0</v>
      </c>
      <c r="CU77">
        <f t="shared" si="138"/>
        <v>0</v>
      </c>
      <c r="CV77">
        <f t="shared" si="139"/>
        <v>0</v>
      </c>
      <c r="CW77">
        <f t="shared" si="140"/>
        <v>0</v>
      </c>
      <c r="CX77">
        <f t="shared" si="141"/>
        <v>0</v>
      </c>
      <c r="CY77">
        <f t="shared" si="142"/>
        <v>0</v>
      </c>
      <c r="CZ77">
        <f t="shared" si="14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105</v>
      </c>
      <c r="DW77" t="s">
        <v>105</v>
      </c>
      <c r="DX77">
        <v>1000</v>
      </c>
      <c r="DZ77" t="s">
        <v>3</v>
      </c>
      <c r="EA77" t="s">
        <v>3</v>
      </c>
      <c r="EB77" t="s">
        <v>3</v>
      </c>
      <c r="EC77" t="s">
        <v>3</v>
      </c>
      <c r="EE77">
        <v>140625274</v>
      </c>
      <c r="EF77">
        <v>8</v>
      </c>
      <c r="EG77" t="s">
        <v>48</v>
      </c>
      <c r="EH77">
        <v>0</v>
      </c>
      <c r="EI77" t="s">
        <v>3</v>
      </c>
      <c r="EJ77">
        <v>1</v>
      </c>
      <c r="EK77">
        <v>1100</v>
      </c>
      <c r="EL77" t="s">
        <v>49</v>
      </c>
      <c r="EM77" t="s">
        <v>50</v>
      </c>
      <c r="EO77" t="s">
        <v>3</v>
      </c>
      <c r="EQ77">
        <v>0</v>
      </c>
      <c r="ER77">
        <v>6660.46</v>
      </c>
      <c r="ES77">
        <v>6660.46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1</v>
      </c>
      <c r="FD77">
        <v>18</v>
      </c>
      <c r="FF77">
        <v>65000</v>
      </c>
      <c r="FQ77">
        <v>0</v>
      </c>
      <c r="FR77">
        <f t="shared" si="144"/>
        <v>0</v>
      </c>
      <c r="FS77">
        <v>0</v>
      </c>
      <c r="FX77">
        <v>0</v>
      </c>
      <c r="FY77">
        <v>0</v>
      </c>
      <c r="GA77" t="s">
        <v>279</v>
      </c>
      <c r="GD77">
        <v>1</v>
      </c>
      <c r="GF77">
        <v>-1670242845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145"/>
        <v>0</v>
      </c>
      <c r="GM77">
        <f t="shared" si="146"/>
        <v>206.52</v>
      </c>
      <c r="GN77">
        <f t="shared" si="147"/>
        <v>206.52</v>
      </c>
      <c r="GO77">
        <f t="shared" si="148"/>
        <v>0</v>
      </c>
      <c r="GP77">
        <f t="shared" si="149"/>
        <v>0</v>
      </c>
      <c r="GR77">
        <v>1</v>
      </c>
      <c r="GS77">
        <v>1</v>
      </c>
      <c r="GT77">
        <v>0</v>
      </c>
      <c r="GU77" t="s">
        <v>3</v>
      </c>
      <c r="GV77">
        <f t="shared" si="150"/>
        <v>0</v>
      </c>
      <c r="GW77">
        <v>1</v>
      </c>
      <c r="GX77">
        <f t="shared" si="151"/>
        <v>0</v>
      </c>
      <c r="HA77">
        <v>0</v>
      </c>
      <c r="HB77">
        <v>0</v>
      </c>
      <c r="HC77">
        <f t="shared" si="152"/>
        <v>0</v>
      </c>
      <c r="HE77" t="s">
        <v>52</v>
      </c>
      <c r="HF77" t="s">
        <v>29</v>
      </c>
      <c r="HM77" t="s">
        <v>3</v>
      </c>
      <c r="HN77" t="s">
        <v>3</v>
      </c>
      <c r="HO77" t="s">
        <v>3</v>
      </c>
      <c r="HP77" t="s">
        <v>3</v>
      </c>
      <c r="HQ77" t="s">
        <v>3</v>
      </c>
      <c r="IK77">
        <v>0</v>
      </c>
    </row>
    <row r="78" spans="1:245" x14ac:dyDescent="0.2">
      <c r="A78">
        <v>17</v>
      </c>
      <c r="B78">
        <v>1</v>
      </c>
      <c r="E78" t="s">
        <v>280</v>
      </c>
      <c r="F78" t="s">
        <v>281</v>
      </c>
      <c r="G78" t="s">
        <v>282</v>
      </c>
      <c r="H78" t="s">
        <v>79</v>
      </c>
      <c r="I78">
        <v>195.42</v>
      </c>
      <c r="J78">
        <v>0</v>
      </c>
      <c r="K78">
        <v>195.42</v>
      </c>
      <c r="O78">
        <f t="shared" si="119"/>
        <v>83676.69</v>
      </c>
      <c r="P78">
        <f t="shared" si="120"/>
        <v>0</v>
      </c>
      <c r="Q78">
        <f t="shared" si="121"/>
        <v>83676.69</v>
      </c>
      <c r="R78">
        <f t="shared" si="122"/>
        <v>60039.360000000001</v>
      </c>
      <c r="S78">
        <f t="shared" si="123"/>
        <v>0</v>
      </c>
      <c r="T78">
        <f t="shared" si="124"/>
        <v>0</v>
      </c>
      <c r="U78">
        <f t="shared" si="125"/>
        <v>0</v>
      </c>
      <c r="V78">
        <f t="shared" si="126"/>
        <v>0</v>
      </c>
      <c r="W78">
        <f t="shared" si="127"/>
        <v>0</v>
      </c>
      <c r="X78">
        <f t="shared" si="128"/>
        <v>0</v>
      </c>
      <c r="Y78">
        <f t="shared" si="129"/>
        <v>0</v>
      </c>
      <c r="AA78">
        <v>145033679</v>
      </c>
      <c r="AB78">
        <f t="shared" si="130"/>
        <v>35.299999999999997</v>
      </c>
      <c r="AC78">
        <f t="shared" si="131"/>
        <v>0</v>
      </c>
      <c r="AD78">
        <f>ROUND((((ET78)-(EU78))+AE78),2)</f>
        <v>35.299999999999997</v>
      </c>
      <c r="AE78">
        <f t="shared" si="155"/>
        <v>10.06</v>
      </c>
      <c r="AF78">
        <f t="shared" si="155"/>
        <v>0</v>
      </c>
      <c r="AG78">
        <f t="shared" si="132"/>
        <v>0</v>
      </c>
      <c r="AH78">
        <f t="shared" si="156"/>
        <v>0</v>
      </c>
      <c r="AI78">
        <f t="shared" si="156"/>
        <v>0</v>
      </c>
      <c r="AJ78">
        <f t="shared" si="133"/>
        <v>0</v>
      </c>
      <c r="AK78">
        <v>35.299999999999997</v>
      </c>
      <c r="AL78">
        <v>0</v>
      </c>
      <c r="AM78">
        <v>35.299999999999997</v>
      </c>
      <c r="AN78">
        <v>10.06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12.13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2</v>
      </c>
      <c r="BI78">
        <v>1</v>
      </c>
      <c r="BJ78" t="s">
        <v>283</v>
      </c>
      <c r="BM78">
        <v>400001</v>
      </c>
      <c r="BN78">
        <v>0</v>
      </c>
      <c r="BO78" t="s">
        <v>3</v>
      </c>
      <c r="BP78">
        <v>0</v>
      </c>
      <c r="BQ78">
        <v>7</v>
      </c>
      <c r="BR78">
        <v>0</v>
      </c>
      <c r="BS78">
        <v>30.54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B78" t="s">
        <v>3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134"/>
        <v>83676.69</v>
      </c>
      <c r="CQ78">
        <f t="shared" si="135"/>
        <v>0</v>
      </c>
      <c r="CR78">
        <f>(((ET78)*BB78-(EU78)*BS78)+AE78*BS78)</f>
        <v>428.18900000000002</v>
      </c>
      <c r="CS78">
        <f t="shared" si="136"/>
        <v>307.23239999999998</v>
      </c>
      <c r="CT78">
        <f t="shared" si="137"/>
        <v>0</v>
      </c>
      <c r="CU78">
        <f t="shared" si="138"/>
        <v>0</v>
      </c>
      <c r="CV78">
        <f t="shared" si="139"/>
        <v>0</v>
      </c>
      <c r="CW78">
        <f t="shared" si="140"/>
        <v>0</v>
      </c>
      <c r="CX78">
        <f t="shared" si="141"/>
        <v>0</v>
      </c>
      <c r="CY78">
        <f t="shared" si="142"/>
        <v>0</v>
      </c>
      <c r="CZ78">
        <f t="shared" si="143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1011</v>
      </c>
      <c r="DV78" t="s">
        <v>79</v>
      </c>
      <c r="DW78" t="s">
        <v>79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140624937</v>
      </c>
      <c r="EF78">
        <v>7</v>
      </c>
      <c r="EG78" t="s">
        <v>81</v>
      </c>
      <c r="EH78">
        <v>0</v>
      </c>
      <c r="EI78" t="s">
        <v>3</v>
      </c>
      <c r="EJ78">
        <v>1</v>
      </c>
      <c r="EK78">
        <v>400001</v>
      </c>
      <c r="EL78" t="s">
        <v>82</v>
      </c>
      <c r="EM78" t="s">
        <v>83</v>
      </c>
      <c r="EO78" t="s">
        <v>3</v>
      </c>
      <c r="EQ78">
        <v>0</v>
      </c>
      <c r="ER78">
        <v>35.299999999999997</v>
      </c>
      <c r="ES78">
        <v>0</v>
      </c>
      <c r="ET78">
        <v>35.299999999999997</v>
      </c>
      <c r="EU78">
        <v>10.06</v>
      </c>
      <c r="EV78">
        <v>0</v>
      </c>
      <c r="EW78">
        <v>0</v>
      </c>
      <c r="EX78">
        <v>0</v>
      </c>
      <c r="EY78">
        <v>0</v>
      </c>
      <c r="FQ78">
        <v>0</v>
      </c>
      <c r="FR78">
        <f t="shared" si="144"/>
        <v>0</v>
      </c>
      <c r="FS78">
        <v>0</v>
      </c>
      <c r="FX78">
        <v>0</v>
      </c>
      <c r="FY78">
        <v>0</v>
      </c>
      <c r="GA78" t="s">
        <v>3</v>
      </c>
      <c r="GD78">
        <v>1</v>
      </c>
      <c r="GF78">
        <v>-1458367635</v>
      </c>
      <c r="GG78">
        <v>2</v>
      </c>
      <c r="GH78">
        <v>1</v>
      </c>
      <c r="GI78">
        <v>4</v>
      </c>
      <c r="GJ78">
        <v>0</v>
      </c>
      <c r="GK78">
        <v>0</v>
      </c>
      <c r="GL78">
        <f t="shared" si="145"/>
        <v>0</v>
      </c>
      <c r="GM78">
        <f t="shared" si="146"/>
        <v>83676.69</v>
      </c>
      <c r="GN78">
        <f t="shared" si="147"/>
        <v>83676.69</v>
      </c>
      <c r="GO78">
        <f t="shared" si="148"/>
        <v>0</v>
      </c>
      <c r="GP78">
        <f t="shared" si="149"/>
        <v>0</v>
      </c>
      <c r="GR78">
        <v>0</v>
      </c>
      <c r="GS78">
        <v>3</v>
      </c>
      <c r="GT78">
        <v>0</v>
      </c>
      <c r="GU78" t="s">
        <v>3</v>
      </c>
      <c r="GV78">
        <f t="shared" si="150"/>
        <v>0</v>
      </c>
      <c r="GW78">
        <v>1</v>
      </c>
      <c r="GX78">
        <f t="shared" si="151"/>
        <v>0</v>
      </c>
      <c r="HA78">
        <v>0</v>
      </c>
      <c r="HB78">
        <v>0</v>
      </c>
      <c r="HC78">
        <f t="shared" si="152"/>
        <v>0</v>
      </c>
      <c r="HE78" t="s">
        <v>3</v>
      </c>
      <c r="HF78" t="s">
        <v>3</v>
      </c>
      <c r="HM78" t="s">
        <v>3</v>
      </c>
      <c r="HN78" t="s">
        <v>3</v>
      </c>
      <c r="HO78" t="s">
        <v>3</v>
      </c>
      <c r="HP78" t="s">
        <v>3</v>
      </c>
      <c r="HQ78" t="s">
        <v>3</v>
      </c>
      <c r="IK78">
        <v>0</v>
      </c>
    </row>
    <row r="79" spans="1:245" x14ac:dyDescent="0.2">
      <c r="A79">
        <v>19</v>
      </c>
      <c r="B79">
        <v>1</v>
      </c>
      <c r="F79" t="s">
        <v>3</v>
      </c>
      <c r="G79" t="s">
        <v>284</v>
      </c>
      <c r="H79" t="s">
        <v>3</v>
      </c>
      <c r="AA79">
        <v>1</v>
      </c>
      <c r="IK79">
        <v>0</v>
      </c>
    </row>
    <row r="80" spans="1:245" x14ac:dyDescent="0.2">
      <c r="A80">
        <v>17</v>
      </c>
      <c r="B80">
        <v>1</v>
      </c>
      <c r="C80">
        <f>ROW(SmtRes!A134)</f>
        <v>134</v>
      </c>
      <c r="D80">
        <f>ROW(EtalonRes!A134)</f>
        <v>134</v>
      </c>
      <c r="E80" t="s">
        <v>285</v>
      </c>
      <c r="F80" t="s">
        <v>17</v>
      </c>
      <c r="G80" t="s">
        <v>18</v>
      </c>
      <c r="H80" t="s">
        <v>19</v>
      </c>
      <c r="I80">
        <f>ROUND((40.26+184)/100,9)</f>
        <v>2.2425999999999999</v>
      </c>
      <c r="J80">
        <v>0</v>
      </c>
      <c r="K80">
        <f>ROUND((40.26+184)/100,9)</f>
        <v>2.2425999999999999</v>
      </c>
      <c r="O80">
        <f t="shared" ref="O80:O88" si="157">ROUND(CP80,2)</f>
        <v>14019.7</v>
      </c>
      <c r="P80">
        <f t="shared" ref="P80:P88" si="158">ROUND(CQ80*I80,2)</f>
        <v>0</v>
      </c>
      <c r="Q80">
        <f t="shared" ref="Q80:Q88" si="159">ROUND(CR80*I80,2)</f>
        <v>0</v>
      </c>
      <c r="R80">
        <f t="shared" ref="R80:R88" si="160">ROUND(CS80*I80,2)</f>
        <v>0</v>
      </c>
      <c r="S80">
        <f t="shared" ref="S80:S88" si="161">ROUND(CT80*I80,2)</f>
        <v>14019.7</v>
      </c>
      <c r="T80">
        <f t="shared" ref="T80:T88" si="162">ROUND(CU80*I80,2)</f>
        <v>0</v>
      </c>
      <c r="U80">
        <f t="shared" ref="U80:U88" si="163">CV80*I80</f>
        <v>58.852551799999993</v>
      </c>
      <c r="V80">
        <f t="shared" ref="V80:V88" si="164">CW80*I80</f>
        <v>0</v>
      </c>
      <c r="W80">
        <f t="shared" ref="W80:W88" si="165">ROUND(CX80*I80,2)</f>
        <v>0</v>
      </c>
      <c r="X80">
        <f t="shared" ref="X80:X88" si="166">ROUND(CY80,2)</f>
        <v>12757.93</v>
      </c>
      <c r="Y80">
        <f t="shared" ref="Y80:Y88" si="167">ROUND(CZ80,2)</f>
        <v>7290.24</v>
      </c>
      <c r="AA80">
        <v>145033679</v>
      </c>
      <c r="AB80">
        <f t="shared" ref="AB80:AB88" si="168">ROUND((AC80+AD80+AF80),2)</f>
        <v>204.7</v>
      </c>
      <c r="AC80">
        <f t="shared" ref="AC80:AC88" si="169">ROUND((ES80),2)</f>
        <v>0</v>
      </c>
      <c r="AD80">
        <f>ROUND(((((ET80*1.15))-((EU80*1.15)))+AE80),2)</f>
        <v>0</v>
      </c>
      <c r="AE80">
        <f>ROUND(((EU80*1.15)),2)</f>
        <v>0</v>
      </c>
      <c r="AF80">
        <f>ROUND(((EV80*1.15)),2)</f>
        <v>204.7</v>
      </c>
      <c r="AG80">
        <f t="shared" ref="AG80:AG88" si="170">ROUND((AP80),2)</f>
        <v>0</v>
      </c>
      <c r="AH80">
        <f>((EW80*1.15))</f>
        <v>26.242999999999999</v>
      </c>
      <c r="AI80">
        <f>((EX80*1.15))</f>
        <v>0</v>
      </c>
      <c r="AJ80">
        <f t="shared" ref="AJ80:AJ88" si="171">(AS80)</f>
        <v>0</v>
      </c>
      <c r="AK80">
        <v>178</v>
      </c>
      <c r="AL80">
        <v>0</v>
      </c>
      <c r="AM80">
        <v>0</v>
      </c>
      <c r="AN80">
        <v>0</v>
      </c>
      <c r="AO80">
        <v>178</v>
      </c>
      <c r="AP80">
        <v>0</v>
      </c>
      <c r="AQ80">
        <v>22.82</v>
      </c>
      <c r="AR80">
        <v>0</v>
      </c>
      <c r="AS80">
        <v>0</v>
      </c>
      <c r="AT80">
        <v>91</v>
      </c>
      <c r="AU80">
        <v>52</v>
      </c>
      <c r="AV80">
        <v>1</v>
      </c>
      <c r="AW80">
        <v>1</v>
      </c>
      <c r="AZ80">
        <v>1</v>
      </c>
      <c r="BA80">
        <v>30.54</v>
      </c>
      <c r="BB80">
        <v>12.13</v>
      </c>
      <c r="BC80">
        <v>8.7100000000000009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1</v>
      </c>
      <c r="BJ80" t="s">
        <v>20</v>
      </c>
      <c r="BM80">
        <v>46003</v>
      </c>
      <c r="BN80">
        <v>0</v>
      </c>
      <c r="BO80" t="s">
        <v>3</v>
      </c>
      <c r="BP80">
        <v>0</v>
      </c>
      <c r="BQ80">
        <v>2</v>
      </c>
      <c r="BR80">
        <v>0</v>
      </c>
      <c r="BS80">
        <v>30.54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91</v>
      </c>
      <c r="CA80">
        <v>52</v>
      </c>
      <c r="CB80" t="s">
        <v>3</v>
      </c>
      <c r="CE80">
        <v>0</v>
      </c>
      <c r="CF80">
        <v>0</v>
      </c>
      <c r="CG80">
        <v>0</v>
      </c>
      <c r="CM80">
        <v>0</v>
      </c>
      <c r="CN80" t="s">
        <v>1102</v>
      </c>
      <c r="CO80">
        <v>0</v>
      </c>
      <c r="CP80">
        <f t="shared" ref="CP80:CP88" si="172">(P80+Q80+S80)</f>
        <v>14019.7</v>
      </c>
      <c r="CQ80">
        <f t="shared" ref="CQ80:CQ88" si="173">AC80*BC80</f>
        <v>0</v>
      </c>
      <c r="CR80">
        <f>((((ET80*1.15))*BB80-((EU80*1.15))*BS80)+AE80*BS80)</f>
        <v>0</v>
      </c>
      <c r="CS80">
        <f t="shared" ref="CS80:CS88" si="174">AE80*BS80</f>
        <v>0</v>
      </c>
      <c r="CT80">
        <f t="shared" ref="CT80:CT88" si="175">AF80*BA80</f>
        <v>6251.5379999999996</v>
      </c>
      <c r="CU80">
        <f t="shared" ref="CU80:CU88" si="176">AG80</f>
        <v>0</v>
      </c>
      <c r="CV80">
        <f t="shared" ref="CV80:CV88" si="177">AH80</f>
        <v>26.242999999999999</v>
      </c>
      <c r="CW80">
        <f t="shared" ref="CW80:CW88" si="178">AI80</f>
        <v>0</v>
      </c>
      <c r="CX80">
        <f t="shared" ref="CX80:CX88" si="179">AJ80</f>
        <v>0</v>
      </c>
      <c r="CY80">
        <f t="shared" ref="CY80:CY88" si="180">(((S80+R80)*AT80)/100)</f>
        <v>12757.927</v>
      </c>
      <c r="CZ80">
        <f t="shared" ref="CZ80:CZ88" si="181">(((S80+R80)*AU80)/100)</f>
        <v>7290.2440000000006</v>
      </c>
      <c r="DC80" t="s">
        <v>3</v>
      </c>
      <c r="DD80" t="s">
        <v>3</v>
      </c>
      <c r="DE80" t="s">
        <v>21</v>
      </c>
      <c r="DF80" t="s">
        <v>21</v>
      </c>
      <c r="DG80" t="s">
        <v>21</v>
      </c>
      <c r="DH80" t="s">
        <v>3</v>
      </c>
      <c r="DI80" t="s">
        <v>21</v>
      </c>
      <c r="DJ80" t="s">
        <v>21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19</v>
      </c>
      <c r="DW80" t="s">
        <v>19</v>
      </c>
      <c r="DX80">
        <v>100</v>
      </c>
      <c r="DZ80" t="s">
        <v>3</v>
      </c>
      <c r="EA80" t="s">
        <v>3</v>
      </c>
      <c r="EB80" t="s">
        <v>3</v>
      </c>
      <c r="EC80" t="s">
        <v>3</v>
      </c>
      <c r="EE80">
        <v>140625347</v>
      </c>
      <c r="EF80">
        <v>2</v>
      </c>
      <c r="EG80" t="s">
        <v>22</v>
      </c>
      <c r="EH80">
        <v>40</v>
      </c>
      <c r="EI80" t="s">
        <v>23</v>
      </c>
      <c r="EJ80">
        <v>1</v>
      </c>
      <c r="EK80">
        <v>46003</v>
      </c>
      <c r="EL80" t="s">
        <v>24</v>
      </c>
      <c r="EM80" t="s">
        <v>25</v>
      </c>
      <c r="EO80" t="s">
        <v>26</v>
      </c>
      <c r="EQ80">
        <v>0</v>
      </c>
      <c r="ER80">
        <v>178</v>
      </c>
      <c r="ES80">
        <v>0</v>
      </c>
      <c r="ET80">
        <v>0</v>
      </c>
      <c r="EU80">
        <v>0</v>
      </c>
      <c r="EV80">
        <v>178</v>
      </c>
      <c r="EW80">
        <v>22.82</v>
      </c>
      <c r="EX80">
        <v>0</v>
      </c>
      <c r="EY80">
        <v>0</v>
      </c>
      <c r="FQ80">
        <v>0</v>
      </c>
      <c r="FR80">
        <f t="shared" ref="FR80:FR88" si="182">ROUND(IF(BI80=3,GM80,0),2)</f>
        <v>0</v>
      </c>
      <c r="FS80">
        <v>0</v>
      </c>
      <c r="FX80">
        <v>91</v>
      </c>
      <c r="FY80">
        <v>52</v>
      </c>
      <c r="GA80" t="s">
        <v>3</v>
      </c>
      <c r="GD80">
        <v>1</v>
      </c>
      <c r="GF80">
        <v>-636248557</v>
      </c>
      <c r="GG80">
        <v>2</v>
      </c>
      <c r="GH80">
        <v>1</v>
      </c>
      <c r="GI80">
        <v>4</v>
      </c>
      <c r="GJ80">
        <v>0</v>
      </c>
      <c r="GK80">
        <v>0</v>
      </c>
      <c r="GL80">
        <f t="shared" ref="GL80:GL88" si="183">ROUND(IF(AND(BH80=3,BI80=3,FS80&lt;&gt;0),P80,0),2)</f>
        <v>0</v>
      </c>
      <c r="GM80">
        <f t="shared" ref="GM80:GM88" si="184">ROUND(O80+X80+Y80,2)+GX80</f>
        <v>34067.870000000003</v>
      </c>
      <c r="GN80">
        <f t="shared" ref="GN80:GN88" si="185">IF(OR(BI80=0,BI80=1),ROUND(O80+X80+Y80,2),0)</f>
        <v>34067.870000000003</v>
      </c>
      <c r="GO80">
        <f t="shared" ref="GO80:GO88" si="186">IF(BI80=2,ROUND(O80+X80+Y80,2),0)</f>
        <v>0</v>
      </c>
      <c r="GP80">
        <f t="shared" ref="GP80:GP88" si="187">IF(BI80=4,ROUND(O80+X80+Y80,2)+GX80,0)</f>
        <v>0</v>
      </c>
      <c r="GR80">
        <v>0</v>
      </c>
      <c r="GS80">
        <v>3</v>
      </c>
      <c r="GT80">
        <v>0</v>
      </c>
      <c r="GU80" t="s">
        <v>3</v>
      </c>
      <c r="GV80">
        <f t="shared" ref="GV80:GV88" si="188">ROUND((GT80),2)</f>
        <v>0</v>
      </c>
      <c r="GW80">
        <v>1</v>
      </c>
      <c r="GX80">
        <f t="shared" ref="GX80:GX88" si="189">ROUND(HC80*I80,2)</f>
        <v>0</v>
      </c>
      <c r="HA80">
        <v>0</v>
      </c>
      <c r="HB80">
        <v>0</v>
      </c>
      <c r="HC80">
        <f t="shared" ref="HC80:HC88" si="190">GV80*GW80</f>
        <v>0</v>
      </c>
      <c r="HE80" t="s">
        <v>3</v>
      </c>
      <c r="HF80" t="s">
        <v>3</v>
      </c>
      <c r="HM80" t="s">
        <v>3</v>
      </c>
      <c r="HN80" t="s">
        <v>27</v>
      </c>
      <c r="HO80" t="s">
        <v>28</v>
      </c>
      <c r="HP80" t="s">
        <v>24</v>
      </c>
      <c r="HQ80" t="s">
        <v>24</v>
      </c>
      <c r="IK80">
        <v>0</v>
      </c>
    </row>
    <row r="81" spans="1:245" x14ac:dyDescent="0.2">
      <c r="A81">
        <v>17</v>
      </c>
      <c r="B81">
        <v>1</v>
      </c>
      <c r="C81">
        <f>ROW(SmtRes!A139)</f>
        <v>139</v>
      </c>
      <c r="D81">
        <f>ROW(EtalonRes!A139)</f>
        <v>139</v>
      </c>
      <c r="E81" t="s">
        <v>286</v>
      </c>
      <c r="F81" t="s">
        <v>30</v>
      </c>
      <c r="G81" t="s">
        <v>31</v>
      </c>
      <c r="H81" t="s">
        <v>32</v>
      </c>
      <c r="I81">
        <f>ROUND((8.052+36.8)/10,9)</f>
        <v>4.4851999999999999</v>
      </c>
      <c r="J81">
        <v>0</v>
      </c>
      <c r="K81">
        <f>ROUND((8.052+36.8)/10,9)</f>
        <v>4.4851999999999999</v>
      </c>
      <c r="O81">
        <f t="shared" si="157"/>
        <v>74547.5</v>
      </c>
      <c r="P81">
        <f t="shared" si="158"/>
        <v>65436.09</v>
      </c>
      <c r="Q81">
        <f t="shared" si="159"/>
        <v>122.91</v>
      </c>
      <c r="R81">
        <f t="shared" si="160"/>
        <v>54.79</v>
      </c>
      <c r="S81">
        <f t="shared" si="161"/>
        <v>8988.5</v>
      </c>
      <c r="T81">
        <f t="shared" si="162"/>
        <v>0</v>
      </c>
      <c r="U81">
        <f t="shared" si="163"/>
        <v>30.947879999999998</v>
      </c>
      <c r="V81">
        <f t="shared" si="164"/>
        <v>0.15473939999999997</v>
      </c>
      <c r="W81">
        <f t="shared" si="165"/>
        <v>0</v>
      </c>
      <c r="X81">
        <f t="shared" si="166"/>
        <v>8410.26</v>
      </c>
      <c r="Y81">
        <f t="shared" si="167"/>
        <v>4973.8100000000004</v>
      </c>
      <c r="AA81">
        <v>145033679</v>
      </c>
      <c r="AB81">
        <f t="shared" si="168"/>
        <v>1742.89</v>
      </c>
      <c r="AC81">
        <f t="shared" si="169"/>
        <v>1675.01</v>
      </c>
      <c r="AD81">
        <f>ROUND(((((ET81*1.15))-((EU81*1.15)))+AE81),2)</f>
        <v>2.2599999999999998</v>
      </c>
      <c r="AE81">
        <f>ROUND(((EU81*1.15)),2)</f>
        <v>0.4</v>
      </c>
      <c r="AF81">
        <f>ROUND(((EV81*1.15)),2)</f>
        <v>65.62</v>
      </c>
      <c r="AG81">
        <f t="shared" si="170"/>
        <v>0</v>
      </c>
      <c r="AH81">
        <f>((EW81*1.15))</f>
        <v>6.8999999999999995</v>
      </c>
      <c r="AI81">
        <f>((EX81*1.15))</f>
        <v>3.4499999999999996E-2</v>
      </c>
      <c r="AJ81">
        <f t="shared" si="171"/>
        <v>0</v>
      </c>
      <c r="AK81">
        <v>1734.04</v>
      </c>
      <c r="AL81">
        <v>1675.01</v>
      </c>
      <c r="AM81">
        <v>1.97</v>
      </c>
      <c r="AN81">
        <v>0.35</v>
      </c>
      <c r="AO81">
        <v>57.06</v>
      </c>
      <c r="AP81">
        <v>0</v>
      </c>
      <c r="AQ81">
        <v>6</v>
      </c>
      <c r="AR81">
        <v>0.03</v>
      </c>
      <c r="AS81">
        <v>0</v>
      </c>
      <c r="AT81">
        <v>93</v>
      </c>
      <c r="AU81">
        <v>55</v>
      </c>
      <c r="AV81">
        <v>1</v>
      </c>
      <c r="AW81">
        <v>1</v>
      </c>
      <c r="AZ81">
        <v>1</v>
      </c>
      <c r="BA81">
        <v>30.54</v>
      </c>
      <c r="BB81">
        <v>12.13</v>
      </c>
      <c r="BC81">
        <v>8.7100000000000009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33</v>
      </c>
      <c r="BM81">
        <v>52001</v>
      </c>
      <c r="BN81">
        <v>0</v>
      </c>
      <c r="BO81" t="s">
        <v>3</v>
      </c>
      <c r="BP81">
        <v>0</v>
      </c>
      <c r="BQ81">
        <v>6</v>
      </c>
      <c r="BR81">
        <v>0</v>
      </c>
      <c r="BS81">
        <v>30.54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93</v>
      </c>
      <c r="CA81">
        <v>55</v>
      </c>
      <c r="CB81" t="s">
        <v>3</v>
      </c>
      <c r="CE81">
        <v>0</v>
      </c>
      <c r="CF81">
        <v>0</v>
      </c>
      <c r="CG81">
        <v>0</v>
      </c>
      <c r="CM81">
        <v>0</v>
      </c>
      <c r="CN81" t="s">
        <v>1103</v>
      </c>
      <c r="CO81">
        <v>0</v>
      </c>
      <c r="CP81">
        <f t="shared" si="172"/>
        <v>74547.5</v>
      </c>
      <c r="CQ81">
        <f t="shared" si="173"/>
        <v>14589.337100000001</v>
      </c>
      <c r="CR81">
        <f>((((ET81*1.15))*BB81-((EU81*1.15))*BS81)+AE81*BS81)</f>
        <v>27.404165000000003</v>
      </c>
      <c r="CS81">
        <f t="shared" si="174"/>
        <v>12.216000000000001</v>
      </c>
      <c r="CT81">
        <f t="shared" si="175"/>
        <v>2004.0348000000001</v>
      </c>
      <c r="CU81">
        <f t="shared" si="176"/>
        <v>0</v>
      </c>
      <c r="CV81">
        <f t="shared" si="177"/>
        <v>6.8999999999999995</v>
      </c>
      <c r="CW81">
        <f t="shared" si="178"/>
        <v>3.4499999999999996E-2</v>
      </c>
      <c r="CX81">
        <f t="shared" si="179"/>
        <v>0</v>
      </c>
      <c r="CY81">
        <f t="shared" si="180"/>
        <v>8410.2597000000005</v>
      </c>
      <c r="CZ81">
        <f t="shared" si="181"/>
        <v>4973.8095000000003</v>
      </c>
      <c r="DC81" t="s">
        <v>3</v>
      </c>
      <c r="DD81" t="s">
        <v>3</v>
      </c>
      <c r="DE81" t="s">
        <v>21</v>
      </c>
      <c r="DF81" t="s">
        <v>21</v>
      </c>
      <c r="DG81" t="s">
        <v>21</v>
      </c>
      <c r="DH81" t="s">
        <v>3</v>
      </c>
      <c r="DI81" t="s">
        <v>21</v>
      </c>
      <c r="DJ81" t="s">
        <v>21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1005</v>
      </c>
      <c r="DV81" t="s">
        <v>32</v>
      </c>
      <c r="DW81" t="s">
        <v>32</v>
      </c>
      <c r="DX81">
        <v>10</v>
      </c>
      <c r="DZ81" t="s">
        <v>3</v>
      </c>
      <c r="EA81" t="s">
        <v>3</v>
      </c>
      <c r="EB81" t="s">
        <v>3</v>
      </c>
      <c r="EC81" t="s">
        <v>3</v>
      </c>
      <c r="EE81">
        <v>140625142</v>
      </c>
      <c r="EF81">
        <v>6</v>
      </c>
      <c r="EG81" t="s">
        <v>34</v>
      </c>
      <c r="EH81">
        <v>86</v>
      </c>
      <c r="EI81" t="s">
        <v>35</v>
      </c>
      <c r="EJ81">
        <v>1</v>
      </c>
      <c r="EK81">
        <v>52001</v>
      </c>
      <c r="EL81" t="s">
        <v>35</v>
      </c>
      <c r="EM81" t="s">
        <v>36</v>
      </c>
      <c r="EO81" t="s">
        <v>37</v>
      </c>
      <c r="EQ81">
        <v>0</v>
      </c>
      <c r="ER81">
        <v>1734.04</v>
      </c>
      <c r="ES81">
        <v>1675.01</v>
      </c>
      <c r="ET81">
        <v>1.97</v>
      </c>
      <c r="EU81">
        <v>0.35</v>
      </c>
      <c r="EV81">
        <v>57.06</v>
      </c>
      <c r="EW81">
        <v>6</v>
      </c>
      <c r="EX81">
        <v>0.03</v>
      </c>
      <c r="EY81">
        <v>0</v>
      </c>
      <c r="FQ81">
        <v>0</v>
      </c>
      <c r="FR81">
        <f t="shared" si="182"/>
        <v>0</v>
      </c>
      <c r="FS81">
        <v>0</v>
      </c>
      <c r="FX81">
        <v>93</v>
      </c>
      <c r="FY81">
        <v>55</v>
      </c>
      <c r="GA81" t="s">
        <v>3</v>
      </c>
      <c r="GD81">
        <v>1</v>
      </c>
      <c r="GF81">
        <v>1111510828</v>
      </c>
      <c r="GG81">
        <v>2</v>
      </c>
      <c r="GH81">
        <v>1</v>
      </c>
      <c r="GI81">
        <v>4</v>
      </c>
      <c r="GJ81">
        <v>0</v>
      </c>
      <c r="GK81">
        <v>0</v>
      </c>
      <c r="GL81">
        <f t="shared" si="183"/>
        <v>0</v>
      </c>
      <c r="GM81">
        <f t="shared" si="184"/>
        <v>87931.57</v>
      </c>
      <c r="GN81">
        <f t="shared" si="185"/>
        <v>87931.57</v>
      </c>
      <c r="GO81">
        <f t="shared" si="186"/>
        <v>0</v>
      </c>
      <c r="GP81">
        <f t="shared" si="187"/>
        <v>0</v>
      </c>
      <c r="GR81">
        <v>0</v>
      </c>
      <c r="GS81">
        <v>3</v>
      </c>
      <c r="GT81">
        <v>0</v>
      </c>
      <c r="GU81" t="s">
        <v>3</v>
      </c>
      <c r="GV81">
        <f t="shared" si="188"/>
        <v>0</v>
      </c>
      <c r="GW81">
        <v>1</v>
      </c>
      <c r="GX81">
        <f t="shared" si="189"/>
        <v>0</v>
      </c>
      <c r="HA81">
        <v>0</v>
      </c>
      <c r="HB81">
        <v>0</v>
      </c>
      <c r="HC81">
        <f t="shared" si="190"/>
        <v>0</v>
      </c>
      <c r="HE81" t="s">
        <v>3</v>
      </c>
      <c r="HF81" t="s">
        <v>3</v>
      </c>
      <c r="HM81" t="s">
        <v>3</v>
      </c>
      <c r="HN81" t="s">
        <v>38</v>
      </c>
      <c r="HO81" t="s">
        <v>39</v>
      </c>
      <c r="HP81" t="s">
        <v>35</v>
      </c>
      <c r="HQ81" t="s">
        <v>35</v>
      </c>
      <c r="IK81">
        <v>0</v>
      </c>
    </row>
    <row r="82" spans="1:245" x14ac:dyDescent="0.2">
      <c r="A82">
        <v>18</v>
      </c>
      <c r="B82">
        <v>1</v>
      </c>
      <c r="C82">
        <v>139</v>
      </c>
      <c r="E82" t="s">
        <v>287</v>
      </c>
      <c r="F82" t="s">
        <v>41</v>
      </c>
      <c r="G82" t="s">
        <v>42</v>
      </c>
      <c r="H82" t="s">
        <v>43</v>
      </c>
      <c r="I82">
        <f>I81*J82</f>
        <v>-124.46429999999999</v>
      </c>
      <c r="J82">
        <v>-27.75</v>
      </c>
      <c r="K82">
        <v>-27.75</v>
      </c>
      <c r="O82">
        <f t="shared" si="157"/>
        <v>-65435.31</v>
      </c>
      <c r="P82">
        <f t="shared" si="158"/>
        <v>-65435.31</v>
      </c>
      <c r="Q82">
        <f t="shared" si="159"/>
        <v>0</v>
      </c>
      <c r="R82">
        <f t="shared" si="160"/>
        <v>0</v>
      </c>
      <c r="S82">
        <f t="shared" si="161"/>
        <v>0</v>
      </c>
      <c r="T82">
        <f t="shared" si="162"/>
        <v>0</v>
      </c>
      <c r="U82">
        <f t="shared" si="163"/>
        <v>0</v>
      </c>
      <c r="V82">
        <f t="shared" si="164"/>
        <v>0</v>
      </c>
      <c r="W82">
        <f t="shared" si="165"/>
        <v>0</v>
      </c>
      <c r="X82">
        <f t="shared" si="166"/>
        <v>0</v>
      </c>
      <c r="Y82">
        <f t="shared" si="167"/>
        <v>0</v>
      </c>
      <c r="AA82">
        <v>145033679</v>
      </c>
      <c r="AB82">
        <f t="shared" si="168"/>
        <v>60.36</v>
      </c>
      <c r="AC82">
        <f t="shared" si="169"/>
        <v>60.36</v>
      </c>
      <c r="AD82">
        <f>ROUND((((ET82)-(EU82))+AE82),2)</f>
        <v>0</v>
      </c>
      <c r="AE82">
        <f>ROUND((EU82),2)</f>
        <v>0</v>
      </c>
      <c r="AF82">
        <f>ROUND((EV82),2)</f>
        <v>0</v>
      </c>
      <c r="AG82">
        <f t="shared" si="170"/>
        <v>0</v>
      </c>
      <c r="AH82">
        <f>(EW82)</f>
        <v>0</v>
      </c>
      <c r="AI82">
        <f>(EX82)</f>
        <v>0</v>
      </c>
      <c r="AJ82">
        <f t="shared" si="171"/>
        <v>0</v>
      </c>
      <c r="AK82">
        <v>60.36</v>
      </c>
      <c r="AL82">
        <v>60.36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93</v>
      </c>
      <c r="AU82">
        <v>55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8.7100000000000009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44</v>
      </c>
      <c r="BM82">
        <v>52001</v>
      </c>
      <c r="BN82">
        <v>0</v>
      </c>
      <c r="BO82" t="s">
        <v>3</v>
      </c>
      <c r="BP82">
        <v>0</v>
      </c>
      <c r="BQ82">
        <v>6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93</v>
      </c>
      <c r="CA82">
        <v>55</v>
      </c>
      <c r="CB82" t="s">
        <v>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172"/>
        <v>-65435.31</v>
      </c>
      <c r="CQ82">
        <f t="shared" si="173"/>
        <v>525.73560000000009</v>
      </c>
      <c r="CR82">
        <f>(((ET82)*BB82-(EU82)*BS82)+AE82*BS82)</f>
        <v>0</v>
      </c>
      <c r="CS82">
        <f t="shared" si="174"/>
        <v>0</v>
      </c>
      <c r="CT82">
        <f t="shared" si="175"/>
        <v>0</v>
      </c>
      <c r="CU82">
        <f t="shared" si="176"/>
        <v>0</v>
      </c>
      <c r="CV82">
        <f t="shared" si="177"/>
        <v>0</v>
      </c>
      <c r="CW82">
        <f t="shared" si="178"/>
        <v>0</v>
      </c>
      <c r="CX82">
        <f t="shared" si="179"/>
        <v>0</v>
      </c>
      <c r="CY82">
        <f t="shared" si="180"/>
        <v>0</v>
      </c>
      <c r="CZ82">
        <f t="shared" si="181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1009</v>
      </c>
      <c r="DV82" t="s">
        <v>43</v>
      </c>
      <c r="DW82" t="s">
        <v>43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140625142</v>
      </c>
      <c r="EF82">
        <v>6</v>
      </c>
      <c r="EG82" t="s">
        <v>34</v>
      </c>
      <c r="EH82">
        <v>86</v>
      </c>
      <c r="EI82" t="s">
        <v>35</v>
      </c>
      <c r="EJ82">
        <v>1</v>
      </c>
      <c r="EK82">
        <v>52001</v>
      </c>
      <c r="EL82" t="s">
        <v>35</v>
      </c>
      <c r="EM82" t="s">
        <v>36</v>
      </c>
      <c r="EO82" t="s">
        <v>3</v>
      </c>
      <c r="EQ82">
        <v>0</v>
      </c>
      <c r="ER82">
        <v>60.36</v>
      </c>
      <c r="ES82">
        <v>60.36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182"/>
        <v>0</v>
      </c>
      <c r="FS82">
        <v>0</v>
      </c>
      <c r="FX82">
        <v>93</v>
      </c>
      <c r="FY82">
        <v>55</v>
      </c>
      <c r="GA82" t="s">
        <v>3</v>
      </c>
      <c r="GD82">
        <v>1</v>
      </c>
      <c r="GF82">
        <v>1351658750</v>
      </c>
      <c r="GG82">
        <v>2</v>
      </c>
      <c r="GH82">
        <v>1</v>
      </c>
      <c r="GI82">
        <v>4</v>
      </c>
      <c r="GJ82">
        <v>0</v>
      </c>
      <c r="GK82">
        <v>0</v>
      </c>
      <c r="GL82">
        <f t="shared" si="183"/>
        <v>0</v>
      </c>
      <c r="GM82">
        <f t="shared" si="184"/>
        <v>-65435.31</v>
      </c>
      <c r="GN82">
        <f t="shared" si="185"/>
        <v>-65435.31</v>
      </c>
      <c r="GO82">
        <f t="shared" si="186"/>
        <v>0</v>
      </c>
      <c r="GP82">
        <f t="shared" si="187"/>
        <v>0</v>
      </c>
      <c r="GR82">
        <v>0</v>
      </c>
      <c r="GS82">
        <v>3</v>
      </c>
      <c r="GT82">
        <v>0</v>
      </c>
      <c r="GU82" t="s">
        <v>3</v>
      </c>
      <c r="GV82">
        <f t="shared" si="188"/>
        <v>0</v>
      </c>
      <c r="GW82">
        <v>1</v>
      </c>
      <c r="GX82">
        <f t="shared" si="189"/>
        <v>0</v>
      </c>
      <c r="HA82">
        <v>0</v>
      </c>
      <c r="HB82">
        <v>0</v>
      </c>
      <c r="HC82">
        <f t="shared" si="190"/>
        <v>0</v>
      </c>
      <c r="HE82" t="s">
        <v>3</v>
      </c>
      <c r="HF82" t="s">
        <v>3</v>
      </c>
      <c r="HM82" t="s">
        <v>3</v>
      </c>
      <c r="HN82" t="s">
        <v>38</v>
      </c>
      <c r="HO82" t="s">
        <v>39</v>
      </c>
      <c r="HP82" t="s">
        <v>35</v>
      </c>
      <c r="HQ82" t="s">
        <v>35</v>
      </c>
      <c r="IK82">
        <v>0</v>
      </c>
    </row>
    <row r="83" spans="1:245" x14ac:dyDescent="0.2">
      <c r="A83">
        <v>17</v>
      </c>
      <c r="B83">
        <v>1</v>
      </c>
      <c r="E83" t="s">
        <v>288</v>
      </c>
      <c r="F83" t="s">
        <v>46</v>
      </c>
      <c r="G83" t="s">
        <v>47</v>
      </c>
      <c r="H83" t="s">
        <v>43</v>
      </c>
      <c r="I83">
        <f>ROUND(I81*27.75,9)</f>
        <v>124.46429999999999</v>
      </c>
      <c r="J83">
        <v>0</v>
      </c>
      <c r="K83">
        <f>ROUND(I81*27.75,9)</f>
        <v>124.46429999999999</v>
      </c>
      <c r="O83">
        <f t="shared" si="157"/>
        <v>37465.94</v>
      </c>
      <c r="P83">
        <f t="shared" si="158"/>
        <v>37465.94</v>
      </c>
      <c r="Q83">
        <f t="shared" si="159"/>
        <v>0</v>
      </c>
      <c r="R83">
        <f t="shared" si="160"/>
        <v>0</v>
      </c>
      <c r="S83">
        <f t="shared" si="161"/>
        <v>0</v>
      </c>
      <c r="T83">
        <f t="shared" si="162"/>
        <v>0</v>
      </c>
      <c r="U83">
        <f t="shared" si="163"/>
        <v>0</v>
      </c>
      <c r="V83">
        <f t="shared" si="164"/>
        <v>0</v>
      </c>
      <c r="W83">
        <f t="shared" si="165"/>
        <v>0</v>
      </c>
      <c r="X83">
        <f t="shared" si="166"/>
        <v>0</v>
      </c>
      <c r="Y83">
        <f t="shared" si="167"/>
        <v>0</v>
      </c>
      <c r="AA83">
        <v>145033679</v>
      </c>
      <c r="AB83">
        <f t="shared" si="168"/>
        <v>34.56</v>
      </c>
      <c r="AC83">
        <f t="shared" si="169"/>
        <v>34.56</v>
      </c>
      <c r="AD83">
        <f>ROUND((((ET83)-(EU83))+AE83),2)</f>
        <v>0</v>
      </c>
      <c r="AE83">
        <f>ROUND((EU83),2)</f>
        <v>0</v>
      </c>
      <c r="AF83">
        <f>ROUND((EV83),2)</f>
        <v>0</v>
      </c>
      <c r="AG83">
        <f t="shared" si="170"/>
        <v>0</v>
      </c>
      <c r="AH83">
        <f>(EW83)</f>
        <v>0</v>
      </c>
      <c r="AI83">
        <f>(EX83)</f>
        <v>0</v>
      </c>
      <c r="AJ83">
        <f t="shared" si="171"/>
        <v>0</v>
      </c>
      <c r="AK83">
        <v>34.56</v>
      </c>
      <c r="AL83">
        <v>34.56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8.7100000000000009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172"/>
        <v>37465.94</v>
      </c>
      <c r="CQ83">
        <f t="shared" si="173"/>
        <v>301.01760000000007</v>
      </c>
      <c r="CR83">
        <f>(((ET83)*BB83-(EU83)*BS83)+AE83*BS83)</f>
        <v>0</v>
      </c>
      <c r="CS83">
        <f t="shared" si="174"/>
        <v>0</v>
      </c>
      <c r="CT83">
        <f t="shared" si="175"/>
        <v>0</v>
      </c>
      <c r="CU83">
        <f t="shared" si="176"/>
        <v>0</v>
      </c>
      <c r="CV83">
        <f t="shared" si="177"/>
        <v>0</v>
      </c>
      <c r="CW83">
        <f t="shared" si="178"/>
        <v>0</v>
      </c>
      <c r="CX83">
        <f t="shared" si="179"/>
        <v>0</v>
      </c>
      <c r="CY83">
        <f t="shared" si="180"/>
        <v>0</v>
      </c>
      <c r="CZ83">
        <f t="shared" si="181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43</v>
      </c>
      <c r="DW83" t="s">
        <v>43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140625274</v>
      </c>
      <c r="EF83">
        <v>8</v>
      </c>
      <c r="EG83" t="s">
        <v>48</v>
      </c>
      <c r="EH83">
        <v>0</v>
      </c>
      <c r="EI83" t="s">
        <v>3</v>
      </c>
      <c r="EJ83">
        <v>1</v>
      </c>
      <c r="EK83">
        <v>1100</v>
      </c>
      <c r="EL83" t="s">
        <v>49</v>
      </c>
      <c r="EM83" t="s">
        <v>50</v>
      </c>
      <c r="EO83" t="s">
        <v>3</v>
      </c>
      <c r="EQ83">
        <v>0</v>
      </c>
      <c r="ER83">
        <v>34.56</v>
      </c>
      <c r="ES83">
        <v>34.56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1</v>
      </c>
      <c r="FD83">
        <v>18</v>
      </c>
      <c r="FF83">
        <v>337.33</v>
      </c>
      <c r="FQ83">
        <v>0</v>
      </c>
      <c r="FR83">
        <f t="shared" si="182"/>
        <v>0</v>
      </c>
      <c r="FS83">
        <v>0</v>
      </c>
      <c r="FX83">
        <v>0</v>
      </c>
      <c r="FY83">
        <v>0</v>
      </c>
      <c r="GA83" t="s">
        <v>51</v>
      </c>
      <c r="GD83">
        <v>1</v>
      </c>
      <c r="GF83">
        <v>1334868333</v>
      </c>
      <c r="GG83">
        <v>2</v>
      </c>
      <c r="GH83">
        <v>3</v>
      </c>
      <c r="GI83">
        <v>4</v>
      </c>
      <c r="GJ83">
        <v>0</v>
      </c>
      <c r="GK83">
        <v>0</v>
      </c>
      <c r="GL83">
        <f t="shared" si="183"/>
        <v>0</v>
      </c>
      <c r="GM83">
        <f t="shared" si="184"/>
        <v>37465.94</v>
      </c>
      <c r="GN83">
        <f t="shared" si="185"/>
        <v>37465.94</v>
      </c>
      <c r="GO83">
        <f t="shared" si="186"/>
        <v>0</v>
      </c>
      <c r="GP83">
        <f t="shared" si="187"/>
        <v>0</v>
      </c>
      <c r="GR83">
        <v>1</v>
      </c>
      <c r="GS83">
        <v>1</v>
      </c>
      <c r="GT83">
        <v>0</v>
      </c>
      <c r="GU83" t="s">
        <v>3</v>
      </c>
      <c r="GV83">
        <f t="shared" si="188"/>
        <v>0</v>
      </c>
      <c r="GW83">
        <v>1</v>
      </c>
      <c r="GX83">
        <f t="shared" si="189"/>
        <v>0</v>
      </c>
      <c r="HA83">
        <v>0</v>
      </c>
      <c r="HB83">
        <v>0</v>
      </c>
      <c r="HC83">
        <f t="shared" si="190"/>
        <v>0</v>
      </c>
      <c r="HE83" t="s">
        <v>52</v>
      </c>
      <c r="HF83" t="s">
        <v>29</v>
      </c>
      <c r="HM83" t="s">
        <v>3</v>
      </c>
      <c r="HN83" t="s">
        <v>3</v>
      </c>
      <c r="HO83" t="s">
        <v>3</v>
      </c>
      <c r="HP83" t="s">
        <v>3</v>
      </c>
      <c r="HQ83" t="s">
        <v>3</v>
      </c>
      <c r="IK83">
        <v>0</v>
      </c>
    </row>
    <row r="84" spans="1:245" x14ac:dyDescent="0.2">
      <c r="A84">
        <v>17</v>
      </c>
      <c r="B84">
        <v>1</v>
      </c>
      <c r="C84">
        <f>ROW(SmtRes!A145)</f>
        <v>145</v>
      </c>
      <c r="D84">
        <f>ROW(EtalonRes!A145)</f>
        <v>145</v>
      </c>
      <c r="E84" t="s">
        <v>289</v>
      </c>
      <c r="F84" t="s">
        <v>54</v>
      </c>
      <c r="G84" t="s">
        <v>55</v>
      </c>
      <c r="H84" t="s">
        <v>19</v>
      </c>
      <c r="I84">
        <f>ROUND((40.26+184)/100,9)</f>
        <v>2.2425999999999999</v>
      </c>
      <c r="J84">
        <v>0</v>
      </c>
      <c r="K84">
        <f>ROUND((40.26+184)/100,9)</f>
        <v>2.2425999999999999</v>
      </c>
      <c r="O84">
        <f t="shared" si="157"/>
        <v>36944.120000000003</v>
      </c>
      <c r="P84">
        <f t="shared" si="158"/>
        <v>0</v>
      </c>
      <c r="Q84">
        <f t="shared" si="159"/>
        <v>3124.25</v>
      </c>
      <c r="R84">
        <f t="shared" si="160"/>
        <v>1388.27</v>
      </c>
      <c r="S84">
        <f t="shared" si="161"/>
        <v>33819.870000000003</v>
      </c>
      <c r="T84">
        <f t="shared" si="162"/>
        <v>0</v>
      </c>
      <c r="U84">
        <f t="shared" si="163"/>
        <v>123.45625129999998</v>
      </c>
      <c r="V84">
        <f t="shared" si="164"/>
        <v>3.9200647999999996</v>
      </c>
      <c r="W84">
        <f t="shared" si="165"/>
        <v>0</v>
      </c>
      <c r="X84">
        <f t="shared" si="166"/>
        <v>36264.379999999997</v>
      </c>
      <c r="Y84">
        <f t="shared" si="167"/>
        <v>20772.8</v>
      </c>
      <c r="AA84">
        <v>145033679</v>
      </c>
      <c r="AB84">
        <f t="shared" si="168"/>
        <v>608.66</v>
      </c>
      <c r="AC84">
        <f t="shared" si="169"/>
        <v>0</v>
      </c>
      <c r="AD84">
        <f>ROUND(((((ET84*1.15))-((EU84*1.15)))+AE84),2)</f>
        <v>114.86</v>
      </c>
      <c r="AE84">
        <f t="shared" ref="AE84:AF86" si="191">ROUND(((EU84*1.15)),2)</f>
        <v>20.27</v>
      </c>
      <c r="AF84">
        <f t="shared" si="191"/>
        <v>493.8</v>
      </c>
      <c r="AG84">
        <f t="shared" si="170"/>
        <v>0</v>
      </c>
      <c r="AH84">
        <f t="shared" ref="AH84:AI86" si="192">((EW84*1.15))</f>
        <v>55.050499999999992</v>
      </c>
      <c r="AI84">
        <f t="shared" si="192"/>
        <v>1.7479999999999998</v>
      </c>
      <c r="AJ84">
        <f t="shared" si="171"/>
        <v>0</v>
      </c>
      <c r="AK84">
        <v>529.27</v>
      </c>
      <c r="AL84">
        <v>0</v>
      </c>
      <c r="AM84">
        <v>99.88</v>
      </c>
      <c r="AN84">
        <v>17.63</v>
      </c>
      <c r="AO84">
        <v>429.39</v>
      </c>
      <c r="AP84">
        <v>0</v>
      </c>
      <c r="AQ84">
        <v>47.87</v>
      </c>
      <c r="AR84">
        <v>1.52</v>
      </c>
      <c r="AS84">
        <v>0</v>
      </c>
      <c r="AT84">
        <v>103</v>
      </c>
      <c r="AU84">
        <v>59</v>
      </c>
      <c r="AV84">
        <v>1</v>
      </c>
      <c r="AW84">
        <v>1</v>
      </c>
      <c r="AZ84">
        <v>1</v>
      </c>
      <c r="BA84">
        <v>30.54</v>
      </c>
      <c r="BB84">
        <v>12.13</v>
      </c>
      <c r="BC84">
        <v>8.7100000000000009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56</v>
      </c>
      <c r="BM84">
        <v>46001</v>
      </c>
      <c r="BN84">
        <v>0</v>
      </c>
      <c r="BO84" t="s">
        <v>3</v>
      </c>
      <c r="BP84">
        <v>0</v>
      </c>
      <c r="BQ84">
        <v>2</v>
      </c>
      <c r="BR84">
        <v>0</v>
      </c>
      <c r="BS84">
        <v>30.54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103</v>
      </c>
      <c r="CA84">
        <v>59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1102</v>
      </c>
      <c r="CO84">
        <v>0</v>
      </c>
      <c r="CP84">
        <f t="shared" si="172"/>
        <v>36944.120000000003</v>
      </c>
      <c r="CQ84">
        <f t="shared" si="173"/>
        <v>0</v>
      </c>
      <c r="CR84">
        <f>((((ET84*1.15))*BB84-((EU84*1.15))*BS84)+AE84*BS84)</f>
        <v>1393.1386299999999</v>
      </c>
      <c r="CS84">
        <f t="shared" si="174"/>
        <v>619.04579999999999</v>
      </c>
      <c r="CT84">
        <f t="shared" si="175"/>
        <v>15080.652</v>
      </c>
      <c r="CU84">
        <f t="shared" si="176"/>
        <v>0</v>
      </c>
      <c r="CV84">
        <f t="shared" si="177"/>
        <v>55.050499999999992</v>
      </c>
      <c r="CW84">
        <f t="shared" si="178"/>
        <v>1.7479999999999998</v>
      </c>
      <c r="CX84">
        <f t="shared" si="179"/>
        <v>0</v>
      </c>
      <c r="CY84">
        <f t="shared" si="180"/>
        <v>36264.3842</v>
      </c>
      <c r="CZ84">
        <f t="shared" si="181"/>
        <v>20772.802599999999</v>
      </c>
      <c r="DC84" t="s">
        <v>3</v>
      </c>
      <c r="DD84" t="s">
        <v>3</v>
      </c>
      <c r="DE84" t="s">
        <v>21</v>
      </c>
      <c r="DF84" t="s">
        <v>21</v>
      </c>
      <c r="DG84" t="s">
        <v>21</v>
      </c>
      <c r="DH84" t="s">
        <v>3</v>
      </c>
      <c r="DI84" t="s">
        <v>21</v>
      </c>
      <c r="DJ84" t="s">
        <v>21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1005</v>
      </c>
      <c r="DV84" t="s">
        <v>19</v>
      </c>
      <c r="DW84" t="s">
        <v>19</v>
      </c>
      <c r="DX84">
        <v>100</v>
      </c>
      <c r="DZ84" t="s">
        <v>3</v>
      </c>
      <c r="EA84" t="s">
        <v>3</v>
      </c>
      <c r="EB84" t="s">
        <v>3</v>
      </c>
      <c r="EC84" t="s">
        <v>3</v>
      </c>
      <c r="EE84">
        <v>140625131</v>
      </c>
      <c r="EF84">
        <v>2</v>
      </c>
      <c r="EG84" t="s">
        <v>22</v>
      </c>
      <c r="EH84">
        <v>40</v>
      </c>
      <c r="EI84" t="s">
        <v>23</v>
      </c>
      <c r="EJ84">
        <v>1</v>
      </c>
      <c r="EK84">
        <v>46001</v>
      </c>
      <c r="EL84" t="s">
        <v>57</v>
      </c>
      <c r="EM84" t="s">
        <v>25</v>
      </c>
      <c r="EO84" t="s">
        <v>26</v>
      </c>
      <c r="EQ84">
        <v>0</v>
      </c>
      <c r="ER84">
        <v>529.27</v>
      </c>
      <c r="ES84">
        <v>0</v>
      </c>
      <c r="ET84">
        <v>99.88</v>
      </c>
      <c r="EU84">
        <v>17.63</v>
      </c>
      <c r="EV84">
        <v>429.39</v>
      </c>
      <c r="EW84">
        <v>47.87</v>
      </c>
      <c r="EX84">
        <v>1.52</v>
      </c>
      <c r="EY84">
        <v>0</v>
      </c>
      <c r="FQ84">
        <v>0</v>
      </c>
      <c r="FR84">
        <f t="shared" si="182"/>
        <v>0</v>
      </c>
      <c r="FS84">
        <v>0</v>
      </c>
      <c r="FX84">
        <v>103</v>
      </c>
      <c r="FY84">
        <v>59</v>
      </c>
      <c r="GA84" t="s">
        <v>3</v>
      </c>
      <c r="GD84">
        <v>1</v>
      </c>
      <c r="GF84">
        <v>-938417999</v>
      </c>
      <c r="GG84">
        <v>2</v>
      </c>
      <c r="GH84">
        <v>1</v>
      </c>
      <c r="GI84">
        <v>4</v>
      </c>
      <c r="GJ84">
        <v>0</v>
      </c>
      <c r="GK84">
        <v>0</v>
      </c>
      <c r="GL84">
        <f t="shared" si="183"/>
        <v>0</v>
      </c>
      <c r="GM84">
        <f t="shared" si="184"/>
        <v>93981.3</v>
      </c>
      <c r="GN84">
        <f t="shared" si="185"/>
        <v>93981.3</v>
      </c>
      <c r="GO84">
        <f t="shared" si="186"/>
        <v>0</v>
      </c>
      <c r="GP84">
        <f t="shared" si="187"/>
        <v>0</v>
      </c>
      <c r="GR84">
        <v>0</v>
      </c>
      <c r="GS84">
        <v>3</v>
      </c>
      <c r="GT84">
        <v>0</v>
      </c>
      <c r="GU84" t="s">
        <v>3</v>
      </c>
      <c r="GV84">
        <f t="shared" si="188"/>
        <v>0</v>
      </c>
      <c r="GW84">
        <v>1</v>
      </c>
      <c r="GX84">
        <f t="shared" si="189"/>
        <v>0</v>
      </c>
      <c r="HA84">
        <v>0</v>
      </c>
      <c r="HB84">
        <v>0</v>
      </c>
      <c r="HC84">
        <f t="shared" si="190"/>
        <v>0</v>
      </c>
      <c r="HE84" t="s">
        <v>3</v>
      </c>
      <c r="HF84" t="s">
        <v>3</v>
      </c>
      <c r="HM84" t="s">
        <v>3</v>
      </c>
      <c r="HN84" t="s">
        <v>58</v>
      </c>
      <c r="HO84" t="s">
        <v>59</v>
      </c>
      <c r="HP84" t="s">
        <v>57</v>
      </c>
      <c r="HQ84" t="s">
        <v>57</v>
      </c>
      <c r="IK84">
        <v>0</v>
      </c>
    </row>
    <row r="85" spans="1:245" x14ac:dyDescent="0.2">
      <c r="A85">
        <v>17</v>
      </c>
      <c r="B85">
        <v>1</v>
      </c>
      <c r="C85">
        <f>ROW(SmtRes!A150)</f>
        <v>150</v>
      </c>
      <c r="D85">
        <f>ROW(EtalonRes!A150)</f>
        <v>150</v>
      </c>
      <c r="E85" t="s">
        <v>290</v>
      </c>
      <c r="F85" t="s">
        <v>60</v>
      </c>
      <c r="G85" t="s">
        <v>61</v>
      </c>
      <c r="H85" t="s">
        <v>19</v>
      </c>
      <c r="I85">
        <f>ROUND(-224.26/100,9)</f>
        <v>-2.2425999999999999</v>
      </c>
      <c r="J85">
        <v>0</v>
      </c>
      <c r="K85">
        <f>ROUND(-224.26/100,9)</f>
        <v>-2.2425999999999999</v>
      </c>
      <c r="O85">
        <f t="shared" si="157"/>
        <v>-3875.37</v>
      </c>
      <c r="P85">
        <f t="shared" si="158"/>
        <v>0</v>
      </c>
      <c r="Q85">
        <f t="shared" si="159"/>
        <v>-781.04</v>
      </c>
      <c r="R85">
        <f t="shared" si="160"/>
        <v>-347.24</v>
      </c>
      <c r="S85">
        <f t="shared" si="161"/>
        <v>-3094.33</v>
      </c>
      <c r="T85">
        <f t="shared" si="162"/>
        <v>0</v>
      </c>
      <c r="U85">
        <f t="shared" si="163"/>
        <v>-11.2959762</v>
      </c>
      <c r="V85">
        <f t="shared" si="164"/>
        <v>-0.98001619999999989</v>
      </c>
      <c r="W85">
        <f t="shared" si="165"/>
        <v>0</v>
      </c>
      <c r="X85">
        <f t="shared" si="166"/>
        <v>-3544.82</v>
      </c>
      <c r="Y85">
        <f t="shared" si="167"/>
        <v>-2030.53</v>
      </c>
      <c r="AA85">
        <v>145033679</v>
      </c>
      <c r="AB85">
        <f t="shared" si="168"/>
        <v>73.89</v>
      </c>
      <c r="AC85">
        <f t="shared" si="169"/>
        <v>0</v>
      </c>
      <c r="AD85">
        <f>ROUND(((((ET85*1.15))-((EU85*1.15)))+AE85),2)</f>
        <v>28.71</v>
      </c>
      <c r="AE85">
        <f t="shared" si="191"/>
        <v>5.07</v>
      </c>
      <c r="AF85">
        <f t="shared" si="191"/>
        <v>45.18</v>
      </c>
      <c r="AG85">
        <f t="shared" si="170"/>
        <v>0</v>
      </c>
      <c r="AH85">
        <f t="shared" si="192"/>
        <v>5.0369999999999999</v>
      </c>
      <c r="AI85">
        <f t="shared" si="192"/>
        <v>0.43699999999999994</v>
      </c>
      <c r="AJ85">
        <f t="shared" si="171"/>
        <v>0</v>
      </c>
      <c r="AK85">
        <v>64.260000000000005</v>
      </c>
      <c r="AL85">
        <v>0</v>
      </c>
      <c r="AM85">
        <v>24.97</v>
      </c>
      <c r="AN85">
        <v>4.41</v>
      </c>
      <c r="AO85">
        <v>39.29</v>
      </c>
      <c r="AP85">
        <v>0</v>
      </c>
      <c r="AQ85">
        <v>4.38</v>
      </c>
      <c r="AR85">
        <v>0.38</v>
      </c>
      <c r="AS85">
        <v>0</v>
      </c>
      <c r="AT85">
        <v>103</v>
      </c>
      <c r="AU85">
        <v>59</v>
      </c>
      <c r="AV85">
        <v>1</v>
      </c>
      <c r="AW85">
        <v>1</v>
      </c>
      <c r="AZ85">
        <v>1</v>
      </c>
      <c r="BA85">
        <v>30.54</v>
      </c>
      <c r="BB85">
        <v>12.13</v>
      </c>
      <c r="BC85">
        <v>8.7100000000000009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1</v>
      </c>
      <c r="BJ85" t="s">
        <v>62</v>
      </c>
      <c r="BM85">
        <v>46001</v>
      </c>
      <c r="BN85">
        <v>0</v>
      </c>
      <c r="BO85" t="s">
        <v>3</v>
      </c>
      <c r="BP85">
        <v>0</v>
      </c>
      <c r="BQ85">
        <v>2</v>
      </c>
      <c r="BR85">
        <v>0</v>
      </c>
      <c r="BS85">
        <v>30.54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103</v>
      </c>
      <c r="CA85">
        <v>59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1102</v>
      </c>
      <c r="CO85">
        <v>0</v>
      </c>
      <c r="CP85">
        <f t="shared" si="172"/>
        <v>-3875.37</v>
      </c>
      <c r="CQ85">
        <f t="shared" si="173"/>
        <v>0</v>
      </c>
      <c r="CR85">
        <f>((((ET85*1.15))*BB85-((EU85*1.15))*BS85)+AE85*BS85)</f>
        <v>348.27320500000002</v>
      </c>
      <c r="CS85">
        <f t="shared" si="174"/>
        <v>154.83780000000002</v>
      </c>
      <c r="CT85">
        <f t="shared" si="175"/>
        <v>1379.7972</v>
      </c>
      <c r="CU85">
        <f t="shared" si="176"/>
        <v>0</v>
      </c>
      <c r="CV85">
        <f t="shared" si="177"/>
        <v>5.0369999999999999</v>
      </c>
      <c r="CW85">
        <f t="shared" si="178"/>
        <v>0.43699999999999994</v>
      </c>
      <c r="CX85">
        <f t="shared" si="179"/>
        <v>0</v>
      </c>
      <c r="CY85">
        <f t="shared" si="180"/>
        <v>-3544.8170999999998</v>
      </c>
      <c r="CZ85">
        <f t="shared" si="181"/>
        <v>-2030.5262999999998</v>
      </c>
      <c r="DC85" t="s">
        <v>3</v>
      </c>
      <c r="DD85" t="s">
        <v>3</v>
      </c>
      <c r="DE85" t="s">
        <v>21</v>
      </c>
      <c r="DF85" t="s">
        <v>21</v>
      </c>
      <c r="DG85" t="s">
        <v>21</v>
      </c>
      <c r="DH85" t="s">
        <v>3</v>
      </c>
      <c r="DI85" t="s">
        <v>21</v>
      </c>
      <c r="DJ85" t="s">
        <v>21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1005</v>
      </c>
      <c r="DV85" t="s">
        <v>19</v>
      </c>
      <c r="DW85" t="s">
        <v>19</v>
      </c>
      <c r="DX85">
        <v>100</v>
      </c>
      <c r="DZ85" t="s">
        <v>3</v>
      </c>
      <c r="EA85" t="s">
        <v>3</v>
      </c>
      <c r="EB85" t="s">
        <v>3</v>
      </c>
      <c r="EC85" t="s">
        <v>3</v>
      </c>
      <c r="EE85">
        <v>140625131</v>
      </c>
      <c r="EF85">
        <v>2</v>
      </c>
      <c r="EG85" t="s">
        <v>22</v>
      </c>
      <c r="EH85">
        <v>40</v>
      </c>
      <c r="EI85" t="s">
        <v>23</v>
      </c>
      <c r="EJ85">
        <v>1</v>
      </c>
      <c r="EK85">
        <v>46001</v>
      </c>
      <c r="EL85" t="s">
        <v>57</v>
      </c>
      <c r="EM85" t="s">
        <v>25</v>
      </c>
      <c r="EO85" t="s">
        <v>26</v>
      </c>
      <c r="EQ85">
        <v>0</v>
      </c>
      <c r="ER85">
        <v>64.260000000000005</v>
      </c>
      <c r="ES85">
        <v>0</v>
      </c>
      <c r="ET85">
        <v>24.97</v>
      </c>
      <c r="EU85">
        <v>4.41</v>
      </c>
      <c r="EV85">
        <v>39.29</v>
      </c>
      <c r="EW85">
        <v>4.38</v>
      </c>
      <c r="EX85">
        <v>0.38</v>
      </c>
      <c r="EY85">
        <v>0</v>
      </c>
      <c r="FQ85">
        <v>0</v>
      </c>
      <c r="FR85">
        <f t="shared" si="182"/>
        <v>0</v>
      </c>
      <c r="FS85">
        <v>0</v>
      </c>
      <c r="FX85">
        <v>103</v>
      </c>
      <c r="FY85">
        <v>59</v>
      </c>
      <c r="GA85" t="s">
        <v>3</v>
      </c>
      <c r="GD85">
        <v>1</v>
      </c>
      <c r="GF85">
        <v>1822112416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183"/>
        <v>0</v>
      </c>
      <c r="GM85">
        <f t="shared" si="184"/>
        <v>-9450.7199999999993</v>
      </c>
      <c r="GN85">
        <f t="shared" si="185"/>
        <v>-9450.7199999999993</v>
      </c>
      <c r="GO85">
        <f t="shared" si="186"/>
        <v>0</v>
      </c>
      <c r="GP85">
        <f t="shared" si="187"/>
        <v>0</v>
      </c>
      <c r="GR85">
        <v>0</v>
      </c>
      <c r="GS85">
        <v>3</v>
      </c>
      <c r="GT85">
        <v>0</v>
      </c>
      <c r="GU85" t="s">
        <v>3</v>
      </c>
      <c r="GV85">
        <f t="shared" si="188"/>
        <v>0</v>
      </c>
      <c r="GW85">
        <v>1</v>
      </c>
      <c r="GX85">
        <f t="shared" si="189"/>
        <v>0</v>
      </c>
      <c r="HA85">
        <v>0</v>
      </c>
      <c r="HB85">
        <v>0</v>
      </c>
      <c r="HC85">
        <f t="shared" si="190"/>
        <v>0</v>
      </c>
      <c r="HE85" t="s">
        <v>3</v>
      </c>
      <c r="HF85" t="s">
        <v>3</v>
      </c>
      <c r="HM85" t="s">
        <v>3</v>
      </c>
      <c r="HN85" t="s">
        <v>58</v>
      </c>
      <c r="HO85" t="s">
        <v>59</v>
      </c>
      <c r="HP85" t="s">
        <v>57</v>
      </c>
      <c r="HQ85" t="s">
        <v>57</v>
      </c>
      <c r="IK85">
        <v>0</v>
      </c>
    </row>
    <row r="86" spans="1:245" x14ac:dyDescent="0.2">
      <c r="A86">
        <v>17</v>
      </c>
      <c r="B86">
        <v>1</v>
      </c>
      <c r="C86">
        <f>ROW(SmtRes!A153)</f>
        <v>153</v>
      </c>
      <c r="D86">
        <f>ROW(EtalonRes!A153)</f>
        <v>153</v>
      </c>
      <c r="E86" t="s">
        <v>291</v>
      </c>
      <c r="F86" t="s">
        <v>252</v>
      </c>
      <c r="G86" t="s">
        <v>253</v>
      </c>
      <c r="H86" t="s">
        <v>66</v>
      </c>
      <c r="I86">
        <f>ROUND(224.26*0.015,9)</f>
        <v>3.3639000000000001</v>
      </c>
      <c r="J86">
        <v>0</v>
      </c>
      <c r="K86">
        <f>ROUND(224.26*0.015,9)</f>
        <v>3.3639000000000001</v>
      </c>
      <c r="O86">
        <f t="shared" si="157"/>
        <v>7440.61</v>
      </c>
      <c r="P86">
        <f t="shared" si="158"/>
        <v>0</v>
      </c>
      <c r="Q86">
        <f t="shared" si="159"/>
        <v>2069.6999999999998</v>
      </c>
      <c r="R86">
        <f t="shared" si="160"/>
        <v>4230.57</v>
      </c>
      <c r="S86">
        <f t="shared" si="161"/>
        <v>5370.91</v>
      </c>
      <c r="T86">
        <f t="shared" si="162"/>
        <v>0</v>
      </c>
      <c r="U86">
        <f t="shared" si="163"/>
        <v>20.619025049999998</v>
      </c>
      <c r="V86">
        <f t="shared" si="164"/>
        <v>13.771806599999998</v>
      </c>
      <c r="W86">
        <f t="shared" si="165"/>
        <v>0</v>
      </c>
      <c r="X86">
        <f t="shared" si="166"/>
        <v>7009.08</v>
      </c>
      <c r="Y86">
        <f t="shared" si="167"/>
        <v>3264.5</v>
      </c>
      <c r="AA86">
        <v>145033679</v>
      </c>
      <c r="AB86">
        <f t="shared" si="168"/>
        <v>103.01</v>
      </c>
      <c r="AC86">
        <f t="shared" si="169"/>
        <v>0</v>
      </c>
      <c r="AD86">
        <f>ROUND(((((ET86*1.15))-((EU86*1.15)))+AE86),2)</f>
        <v>50.73</v>
      </c>
      <c r="AE86">
        <f t="shared" si="191"/>
        <v>41.18</v>
      </c>
      <c r="AF86">
        <f t="shared" si="191"/>
        <v>52.28</v>
      </c>
      <c r="AG86">
        <f t="shared" si="170"/>
        <v>0</v>
      </c>
      <c r="AH86">
        <f t="shared" si="192"/>
        <v>6.1294999999999993</v>
      </c>
      <c r="AI86">
        <f t="shared" si="192"/>
        <v>4.0939999999999994</v>
      </c>
      <c r="AJ86">
        <f t="shared" si="171"/>
        <v>0</v>
      </c>
      <c r="AK86">
        <v>89.57</v>
      </c>
      <c r="AL86">
        <v>0</v>
      </c>
      <c r="AM86">
        <v>44.11</v>
      </c>
      <c r="AN86">
        <v>35.81</v>
      </c>
      <c r="AO86">
        <v>45.46</v>
      </c>
      <c r="AP86">
        <v>0</v>
      </c>
      <c r="AQ86">
        <v>5.33</v>
      </c>
      <c r="AR86">
        <v>3.56</v>
      </c>
      <c r="AS86">
        <v>0</v>
      </c>
      <c r="AT86">
        <v>73</v>
      </c>
      <c r="AU86">
        <v>34</v>
      </c>
      <c r="AV86">
        <v>1</v>
      </c>
      <c r="AW86">
        <v>1</v>
      </c>
      <c r="AZ86">
        <v>1</v>
      </c>
      <c r="BA86">
        <v>30.54</v>
      </c>
      <c r="BB86">
        <v>12.13</v>
      </c>
      <c r="BC86">
        <v>8.7100000000000009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254</v>
      </c>
      <c r="BM86">
        <v>46002</v>
      </c>
      <c r="BN86">
        <v>0</v>
      </c>
      <c r="BO86" t="s">
        <v>3</v>
      </c>
      <c r="BP86">
        <v>0</v>
      </c>
      <c r="BQ86">
        <v>2</v>
      </c>
      <c r="BR86">
        <v>0</v>
      </c>
      <c r="BS86">
        <v>30.54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73</v>
      </c>
      <c r="CA86">
        <v>34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1102</v>
      </c>
      <c r="CO86">
        <v>0</v>
      </c>
      <c r="CP86">
        <f t="shared" si="172"/>
        <v>7440.61</v>
      </c>
      <c r="CQ86">
        <f t="shared" si="173"/>
        <v>0</v>
      </c>
      <c r="CR86">
        <f>((((ET86*1.15))*BB86-((EU86*1.15))*BS86)+AE86*BS86)</f>
        <v>615.26663499999995</v>
      </c>
      <c r="CS86">
        <f t="shared" si="174"/>
        <v>1257.6371999999999</v>
      </c>
      <c r="CT86">
        <f t="shared" si="175"/>
        <v>1596.6312</v>
      </c>
      <c r="CU86">
        <f t="shared" si="176"/>
        <v>0</v>
      </c>
      <c r="CV86">
        <f t="shared" si="177"/>
        <v>6.1294999999999993</v>
      </c>
      <c r="CW86">
        <f t="shared" si="178"/>
        <v>4.0939999999999994</v>
      </c>
      <c r="CX86">
        <f t="shared" si="179"/>
        <v>0</v>
      </c>
      <c r="CY86">
        <f t="shared" si="180"/>
        <v>7009.0803999999989</v>
      </c>
      <c r="CZ86">
        <f t="shared" si="181"/>
        <v>3264.5032000000001</v>
      </c>
      <c r="DC86" t="s">
        <v>3</v>
      </c>
      <c r="DD86" t="s">
        <v>3</v>
      </c>
      <c r="DE86" t="s">
        <v>21</v>
      </c>
      <c r="DF86" t="s">
        <v>21</v>
      </c>
      <c r="DG86" t="s">
        <v>21</v>
      </c>
      <c r="DH86" t="s">
        <v>3</v>
      </c>
      <c r="DI86" t="s">
        <v>21</v>
      </c>
      <c r="DJ86" t="s">
        <v>21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1007</v>
      </c>
      <c r="DV86" t="s">
        <v>66</v>
      </c>
      <c r="DW86" t="s">
        <v>66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140625310</v>
      </c>
      <c r="EF86">
        <v>2</v>
      </c>
      <c r="EG86" t="s">
        <v>22</v>
      </c>
      <c r="EH86">
        <v>108</v>
      </c>
      <c r="EI86" t="s">
        <v>68</v>
      </c>
      <c r="EJ86">
        <v>1</v>
      </c>
      <c r="EK86">
        <v>46002</v>
      </c>
      <c r="EL86" t="s">
        <v>68</v>
      </c>
      <c r="EM86" t="s">
        <v>69</v>
      </c>
      <c r="EO86" t="s">
        <v>26</v>
      </c>
      <c r="EQ86">
        <v>0</v>
      </c>
      <c r="ER86">
        <v>89.57</v>
      </c>
      <c r="ES86">
        <v>0</v>
      </c>
      <c r="ET86">
        <v>44.11</v>
      </c>
      <c r="EU86">
        <v>35.81</v>
      </c>
      <c r="EV86">
        <v>45.46</v>
      </c>
      <c r="EW86">
        <v>5.33</v>
      </c>
      <c r="EX86">
        <v>3.56</v>
      </c>
      <c r="EY86">
        <v>0</v>
      </c>
      <c r="FQ86">
        <v>0</v>
      </c>
      <c r="FR86">
        <f t="shared" si="182"/>
        <v>0</v>
      </c>
      <c r="FS86">
        <v>0</v>
      </c>
      <c r="FX86">
        <v>73</v>
      </c>
      <c r="FY86">
        <v>34</v>
      </c>
      <c r="GA86" t="s">
        <v>3</v>
      </c>
      <c r="GD86">
        <v>1</v>
      </c>
      <c r="GF86">
        <v>-867491934</v>
      </c>
      <c r="GG86">
        <v>2</v>
      </c>
      <c r="GH86">
        <v>1</v>
      </c>
      <c r="GI86">
        <v>4</v>
      </c>
      <c r="GJ86">
        <v>0</v>
      </c>
      <c r="GK86">
        <v>0</v>
      </c>
      <c r="GL86">
        <f t="shared" si="183"/>
        <v>0</v>
      </c>
      <c r="GM86">
        <f t="shared" si="184"/>
        <v>17714.189999999999</v>
      </c>
      <c r="GN86">
        <f t="shared" si="185"/>
        <v>17714.189999999999</v>
      </c>
      <c r="GO86">
        <f t="shared" si="186"/>
        <v>0</v>
      </c>
      <c r="GP86">
        <f t="shared" si="187"/>
        <v>0</v>
      </c>
      <c r="GR86">
        <v>0</v>
      </c>
      <c r="GS86">
        <v>3</v>
      </c>
      <c r="GT86">
        <v>0</v>
      </c>
      <c r="GU86" t="s">
        <v>3</v>
      </c>
      <c r="GV86">
        <f t="shared" si="188"/>
        <v>0</v>
      </c>
      <c r="GW86">
        <v>1</v>
      </c>
      <c r="GX86">
        <f t="shared" si="189"/>
        <v>0</v>
      </c>
      <c r="HA86">
        <v>0</v>
      </c>
      <c r="HB86">
        <v>0</v>
      </c>
      <c r="HC86">
        <f t="shared" si="190"/>
        <v>0</v>
      </c>
      <c r="HE86" t="s">
        <v>3</v>
      </c>
      <c r="HF86" t="s">
        <v>3</v>
      </c>
      <c r="HM86" t="s">
        <v>3</v>
      </c>
      <c r="HN86" t="s">
        <v>70</v>
      </c>
      <c r="HO86" t="s">
        <v>71</v>
      </c>
      <c r="HP86" t="s">
        <v>72</v>
      </c>
      <c r="HQ86" t="s">
        <v>72</v>
      </c>
      <c r="IK86">
        <v>0</v>
      </c>
    </row>
    <row r="87" spans="1:245" x14ac:dyDescent="0.2">
      <c r="A87">
        <v>17</v>
      </c>
      <c r="B87">
        <v>1</v>
      </c>
      <c r="E87" t="s">
        <v>292</v>
      </c>
      <c r="F87" t="s">
        <v>46</v>
      </c>
      <c r="G87" t="s">
        <v>256</v>
      </c>
      <c r="H87" t="s">
        <v>43</v>
      </c>
      <c r="I87">
        <f>ROUND(1087.02+4968,9)</f>
        <v>6055.02</v>
      </c>
      <c r="J87">
        <v>0</v>
      </c>
      <c r="K87">
        <f>ROUND(1087.02+4968,9)</f>
        <v>6055.02</v>
      </c>
      <c r="O87">
        <f t="shared" si="157"/>
        <v>199881.66</v>
      </c>
      <c r="P87">
        <f t="shared" si="158"/>
        <v>199881.66</v>
      </c>
      <c r="Q87">
        <f t="shared" si="159"/>
        <v>0</v>
      </c>
      <c r="R87">
        <f t="shared" si="160"/>
        <v>0</v>
      </c>
      <c r="S87">
        <f t="shared" si="161"/>
        <v>0</v>
      </c>
      <c r="T87">
        <f t="shared" si="162"/>
        <v>0</v>
      </c>
      <c r="U87">
        <f t="shared" si="163"/>
        <v>0</v>
      </c>
      <c r="V87">
        <f t="shared" si="164"/>
        <v>0</v>
      </c>
      <c r="W87">
        <f t="shared" si="165"/>
        <v>0</v>
      </c>
      <c r="X87">
        <f t="shared" si="166"/>
        <v>0</v>
      </c>
      <c r="Y87">
        <f t="shared" si="167"/>
        <v>0</v>
      </c>
      <c r="AA87">
        <v>145033679</v>
      </c>
      <c r="AB87">
        <f t="shared" si="168"/>
        <v>3.79</v>
      </c>
      <c r="AC87">
        <f t="shared" si="169"/>
        <v>3.79</v>
      </c>
      <c r="AD87">
        <f>ROUND((((ET87)-(EU87))+AE87),2)</f>
        <v>0</v>
      </c>
      <c r="AE87">
        <f>ROUND((EU87),2)</f>
        <v>0</v>
      </c>
      <c r="AF87">
        <f>ROUND((EV87),2)</f>
        <v>0</v>
      </c>
      <c r="AG87">
        <f t="shared" si="170"/>
        <v>0</v>
      </c>
      <c r="AH87">
        <f>(EW87)</f>
        <v>0</v>
      </c>
      <c r="AI87">
        <f>(EX87)</f>
        <v>0</v>
      </c>
      <c r="AJ87">
        <f t="shared" si="171"/>
        <v>0</v>
      </c>
      <c r="AK87">
        <v>3.79</v>
      </c>
      <c r="AL87">
        <v>3.79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8.7100000000000009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8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172"/>
        <v>199881.66</v>
      </c>
      <c r="CQ87">
        <f t="shared" si="173"/>
        <v>33.010900000000007</v>
      </c>
      <c r="CR87">
        <f>(((ET87)*BB87-(EU87)*BS87)+AE87*BS87)</f>
        <v>0</v>
      </c>
      <c r="CS87">
        <f t="shared" si="174"/>
        <v>0</v>
      </c>
      <c r="CT87">
        <f t="shared" si="175"/>
        <v>0</v>
      </c>
      <c r="CU87">
        <f t="shared" si="176"/>
        <v>0</v>
      </c>
      <c r="CV87">
        <f t="shared" si="177"/>
        <v>0</v>
      </c>
      <c r="CW87">
        <f t="shared" si="178"/>
        <v>0</v>
      </c>
      <c r="CX87">
        <f t="shared" si="179"/>
        <v>0</v>
      </c>
      <c r="CY87">
        <f t="shared" si="180"/>
        <v>0</v>
      </c>
      <c r="CZ87">
        <f t="shared" si="181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43</v>
      </c>
      <c r="DW87" t="s">
        <v>43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140625274</v>
      </c>
      <c r="EF87">
        <v>8</v>
      </c>
      <c r="EG87" t="s">
        <v>48</v>
      </c>
      <c r="EH87">
        <v>0</v>
      </c>
      <c r="EI87" t="s">
        <v>3</v>
      </c>
      <c r="EJ87">
        <v>1</v>
      </c>
      <c r="EK87">
        <v>1100</v>
      </c>
      <c r="EL87" t="s">
        <v>49</v>
      </c>
      <c r="EM87" t="s">
        <v>50</v>
      </c>
      <c r="EO87" t="s">
        <v>3</v>
      </c>
      <c r="EQ87">
        <v>0</v>
      </c>
      <c r="ER87">
        <v>3.79</v>
      </c>
      <c r="ES87">
        <v>3.79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1</v>
      </c>
      <c r="FD87">
        <v>18</v>
      </c>
      <c r="FF87">
        <v>38.9</v>
      </c>
      <c r="FQ87">
        <v>0</v>
      </c>
      <c r="FR87">
        <f t="shared" si="182"/>
        <v>0</v>
      </c>
      <c r="FS87">
        <v>0</v>
      </c>
      <c r="FX87">
        <v>0</v>
      </c>
      <c r="FY87">
        <v>0</v>
      </c>
      <c r="GA87" t="s">
        <v>257</v>
      </c>
      <c r="GD87">
        <v>1</v>
      </c>
      <c r="GF87">
        <v>-1920583046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183"/>
        <v>0</v>
      </c>
      <c r="GM87">
        <f t="shared" si="184"/>
        <v>199881.66</v>
      </c>
      <c r="GN87">
        <f t="shared" si="185"/>
        <v>199881.66</v>
      </c>
      <c r="GO87">
        <f t="shared" si="186"/>
        <v>0</v>
      </c>
      <c r="GP87">
        <f t="shared" si="187"/>
        <v>0</v>
      </c>
      <c r="GR87">
        <v>1</v>
      </c>
      <c r="GS87">
        <v>1</v>
      </c>
      <c r="GT87">
        <v>0</v>
      </c>
      <c r="GU87" t="s">
        <v>3</v>
      </c>
      <c r="GV87">
        <f t="shared" si="188"/>
        <v>0</v>
      </c>
      <c r="GW87">
        <v>1</v>
      </c>
      <c r="GX87">
        <f t="shared" si="189"/>
        <v>0</v>
      </c>
      <c r="HA87">
        <v>0</v>
      </c>
      <c r="HB87">
        <v>0</v>
      </c>
      <c r="HC87">
        <f t="shared" si="190"/>
        <v>0</v>
      </c>
      <c r="HE87" t="s">
        <v>258</v>
      </c>
      <c r="HF87" t="s">
        <v>29</v>
      </c>
      <c r="HM87" t="s">
        <v>3</v>
      </c>
      <c r="HN87" t="s">
        <v>3</v>
      </c>
      <c r="HO87" t="s">
        <v>3</v>
      </c>
      <c r="HP87" t="s">
        <v>3</v>
      </c>
      <c r="HQ87" t="s">
        <v>3</v>
      </c>
      <c r="IK87">
        <v>0</v>
      </c>
    </row>
    <row r="88" spans="1:245" x14ac:dyDescent="0.2">
      <c r="A88">
        <v>17</v>
      </c>
      <c r="B88">
        <v>1</v>
      </c>
      <c r="E88" t="s">
        <v>293</v>
      </c>
      <c r="F88" t="s">
        <v>281</v>
      </c>
      <c r="G88" t="s">
        <v>282</v>
      </c>
      <c r="H88" t="s">
        <v>79</v>
      </c>
      <c r="I88">
        <v>201.96</v>
      </c>
      <c r="J88">
        <v>0</v>
      </c>
      <c r="K88">
        <v>201.96</v>
      </c>
      <c r="O88">
        <f t="shared" si="157"/>
        <v>86477.05</v>
      </c>
      <c r="P88">
        <f t="shared" si="158"/>
        <v>0</v>
      </c>
      <c r="Q88">
        <f t="shared" si="159"/>
        <v>86477.05</v>
      </c>
      <c r="R88">
        <f t="shared" si="160"/>
        <v>62048.66</v>
      </c>
      <c r="S88">
        <f t="shared" si="161"/>
        <v>0</v>
      </c>
      <c r="T88">
        <f t="shared" si="162"/>
        <v>0</v>
      </c>
      <c r="U88">
        <f t="shared" si="163"/>
        <v>0</v>
      </c>
      <c r="V88">
        <f t="shared" si="164"/>
        <v>0</v>
      </c>
      <c r="W88">
        <f t="shared" si="165"/>
        <v>0</v>
      </c>
      <c r="X88">
        <f t="shared" si="166"/>
        <v>0</v>
      </c>
      <c r="Y88">
        <f t="shared" si="167"/>
        <v>0</v>
      </c>
      <c r="AA88">
        <v>145033679</v>
      </c>
      <c r="AB88">
        <f t="shared" si="168"/>
        <v>35.299999999999997</v>
      </c>
      <c r="AC88">
        <f t="shared" si="169"/>
        <v>0</v>
      </c>
      <c r="AD88">
        <f>ROUND((((ET88)-(EU88))+AE88),2)</f>
        <v>35.299999999999997</v>
      </c>
      <c r="AE88">
        <f>ROUND((EU88),2)</f>
        <v>10.06</v>
      </c>
      <c r="AF88">
        <f>ROUND((EV88),2)</f>
        <v>0</v>
      </c>
      <c r="AG88">
        <f t="shared" si="170"/>
        <v>0</v>
      </c>
      <c r="AH88">
        <f>(EW88)</f>
        <v>0</v>
      </c>
      <c r="AI88">
        <f>(EX88)</f>
        <v>0</v>
      </c>
      <c r="AJ88">
        <f t="shared" si="171"/>
        <v>0</v>
      </c>
      <c r="AK88">
        <v>35.299999999999997</v>
      </c>
      <c r="AL88">
        <v>0</v>
      </c>
      <c r="AM88">
        <v>35.299999999999997</v>
      </c>
      <c r="AN88">
        <v>10.06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Z88">
        <v>1</v>
      </c>
      <c r="BA88">
        <v>1</v>
      </c>
      <c r="BB88">
        <v>12.13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2</v>
      </c>
      <c r="BI88">
        <v>1</v>
      </c>
      <c r="BJ88" t="s">
        <v>283</v>
      </c>
      <c r="BM88">
        <v>400001</v>
      </c>
      <c r="BN88">
        <v>0</v>
      </c>
      <c r="BO88" t="s">
        <v>3</v>
      </c>
      <c r="BP88">
        <v>0</v>
      </c>
      <c r="BQ88">
        <v>7</v>
      </c>
      <c r="BR88">
        <v>0</v>
      </c>
      <c r="BS88">
        <v>30.54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0</v>
      </c>
      <c r="CA88">
        <v>0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172"/>
        <v>86477.05</v>
      </c>
      <c r="CQ88">
        <f t="shared" si="173"/>
        <v>0</v>
      </c>
      <c r="CR88">
        <f>(((ET88)*BB88-(EU88)*BS88)+AE88*BS88)</f>
        <v>428.18900000000002</v>
      </c>
      <c r="CS88">
        <f t="shared" si="174"/>
        <v>307.23239999999998</v>
      </c>
      <c r="CT88">
        <f t="shared" si="175"/>
        <v>0</v>
      </c>
      <c r="CU88">
        <f t="shared" si="176"/>
        <v>0</v>
      </c>
      <c r="CV88">
        <f t="shared" si="177"/>
        <v>0</v>
      </c>
      <c r="CW88">
        <f t="shared" si="178"/>
        <v>0</v>
      </c>
      <c r="CX88">
        <f t="shared" si="179"/>
        <v>0</v>
      </c>
      <c r="CY88">
        <f t="shared" si="180"/>
        <v>0</v>
      </c>
      <c r="CZ88">
        <f t="shared" si="181"/>
        <v>0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1011</v>
      </c>
      <c r="DV88" t="s">
        <v>79</v>
      </c>
      <c r="DW88" t="s">
        <v>79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140624937</v>
      </c>
      <c r="EF88">
        <v>7</v>
      </c>
      <c r="EG88" t="s">
        <v>81</v>
      </c>
      <c r="EH88">
        <v>0</v>
      </c>
      <c r="EI88" t="s">
        <v>3</v>
      </c>
      <c r="EJ88">
        <v>1</v>
      </c>
      <c r="EK88">
        <v>400001</v>
      </c>
      <c r="EL88" t="s">
        <v>82</v>
      </c>
      <c r="EM88" t="s">
        <v>83</v>
      </c>
      <c r="EO88" t="s">
        <v>3</v>
      </c>
      <c r="EQ88">
        <v>0</v>
      </c>
      <c r="ER88">
        <v>35.299999999999997</v>
      </c>
      <c r="ES88">
        <v>0</v>
      </c>
      <c r="ET88">
        <v>35.299999999999997</v>
      </c>
      <c r="EU88">
        <v>10.06</v>
      </c>
      <c r="EV88">
        <v>0</v>
      </c>
      <c r="EW88">
        <v>0</v>
      </c>
      <c r="EX88">
        <v>0</v>
      </c>
      <c r="EY88">
        <v>0</v>
      </c>
      <c r="FQ88">
        <v>0</v>
      </c>
      <c r="FR88">
        <f t="shared" si="182"/>
        <v>0</v>
      </c>
      <c r="FS88">
        <v>0</v>
      </c>
      <c r="FX88">
        <v>0</v>
      </c>
      <c r="FY88">
        <v>0</v>
      </c>
      <c r="GA88" t="s">
        <v>3</v>
      </c>
      <c r="GD88">
        <v>1</v>
      </c>
      <c r="GF88">
        <v>-1458367635</v>
      </c>
      <c r="GG88">
        <v>2</v>
      </c>
      <c r="GH88">
        <v>1</v>
      </c>
      <c r="GI88">
        <v>4</v>
      </c>
      <c r="GJ88">
        <v>0</v>
      </c>
      <c r="GK88">
        <v>0</v>
      </c>
      <c r="GL88">
        <f t="shared" si="183"/>
        <v>0</v>
      </c>
      <c r="GM88">
        <f t="shared" si="184"/>
        <v>86477.05</v>
      </c>
      <c r="GN88">
        <f t="shared" si="185"/>
        <v>86477.05</v>
      </c>
      <c r="GO88">
        <f t="shared" si="186"/>
        <v>0</v>
      </c>
      <c r="GP88">
        <f t="shared" si="187"/>
        <v>0</v>
      </c>
      <c r="GR88">
        <v>0</v>
      </c>
      <c r="GS88">
        <v>3</v>
      </c>
      <c r="GT88">
        <v>0</v>
      </c>
      <c r="GU88" t="s">
        <v>3</v>
      </c>
      <c r="GV88">
        <f t="shared" si="188"/>
        <v>0</v>
      </c>
      <c r="GW88">
        <v>1</v>
      </c>
      <c r="GX88">
        <f t="shared" si="189"/>
        <v>0</v>
      </c>
      <c r="HA88">
        <v>0</v>
      </c>
      <c r="HB88">
        <v>0</v>
      </c>
      <c r="HC88">
        <f t="shared" si="190"/>
        <v>0</v>
      </c>
      <c r="HE88" t="s">
        <v>3</v>
      </c>
      <c r="HF88" t="s">
        <v>3</v>
      </c>
      <c r="HM88" t="s">
        <v>3</v>
      </c>
      <c r="HN88" t="s">
        <v>3</v>
      </c>
      <c r="HO88" t="s">
        <v>3</v>
      </c>
      <c r="HP88" t="s">
        <v>3</v>
      </c>
      <c r="HQ88" t="s">
        <v>3</v>
      </c>
      <c r="IK88">
        <v>0</v>
      </c>
    </row>
    <row r="89" spans="1:245" x14ac:dyDescent="0.2">
      <c r="A89">
        <v>19</v>
      </c>
      <c r="B89">
        <v>1</v>
      </c>
      <c r="F89" t="s">
        <v>3</v>
      </c>
      <c r="G89" t="s">
        <v>294</v>
      </c>
      <c r="H89" t="s">
        <v>3</v>
      </c>
      <c r="AA89">
        <v>1</v>
      </c>
      <c r="IK89">
        <v>0</v>
      </c>
    </row>
    <row r="90" spans="1:245" x14ac:dyDescent="0.2">
      <c r="A90">
        <v>17</v>
      </c>
      <c r="B90">
        <v>1</v>
      </c>
      <c r="C90">
        <f>ROW(SmtRes!A160)</f>
        <v>160</v>
      </c>
      <c r="D90">
        <f>ROW(EtalonRes!A160)</f>
        <v>160</v>
      </c>
      <c r="E90" t="s">
        <v>295</v>
      </c>
      <c r="F90" t="s">
        <v>296</v>
      </c>
      <c r="G90" t="s">
        <v>297</v>
      </c>
      <c r="H90" t="s">
        <v>19</v>
      </c>
      <c r="I90">
        <f>ROUND(29.12/100,9)</f>
        <v>0.29120000000000001</v>
      </c>
      <c r="J90">
        <v>0</v>
      </c>
      <c r="K90">
        <f>ROUND(29.12/100,9)</f>
        <v>0.29120000000000001</v>
      </c>
      <c r="O90">
        <f t="shared" ref="O90:O130" si="193">ROUND(CP90,2)</f>
        <v>12099.12</v>
      </c>
      <c r="P90">
        <f t="shared" ref="P90:P130" si="194">ROUND(CQ90*I90,2)</f>
        <v>0</v>
      </c>
      <c r="Q90">
        <f t="shared" ref="Q90:Q130" si="195">ROUND(CR90*I90,2)</f>
        <v>761.65</v>
      </c>
      <c r="R90">
        <f t="shared" ref="R90:R130" si="196">ROUND(CS90*I90,2)</f>
        <v>310.37</v>
      </c>
      <c r="S90">
        <f t="shared" ref="S90:S130" si="197">ROUND(CT90*I90,2)</f>
        <v>11337.47</v>
      </c>
      <c r="T90">
        <f t="shared" ref="T90:T130" si="198">ROUND(CU90*I90,2)</f>
        <v>0</v>
      </c>
      <c r="U90">
        <f t="shared" ref="U90:U130" si="199">CV90*I90</f>
        <v>41.9001856</v>
      </c>
      <c r="V90">
        <f t="shared" ref="V90:V130" si="200">CW90*I90</f>
        <v>0.79031680000000015</v>
      </c>
      <c r="W90">
        <f t="shared" ref="W90:W130" si="201">ROUND(CX90*I90,2)</f>
        <v>0</v>
      </c>
      <c r="X90">
        <f t="shared" ref="X90:X130" si="202">ROUND(CY90,2)</f>
        <v>12812.62</v>
      </c>
      <c r="Y90">
        <f t="shared" ref="Y90:Y130" si="203">ROUND(CZ90,2)</f>
        <v>8037.01</v>
      </c>
      <c r="AA90">
        <v>145033679</v>
      </c>
      <c r="AB90">
        <f t="shared" ref="AB90:AB130" si="204">ROUND((AC90+AD90+AF90),2)</f>
        <v>1490.47</v>
      </c>
      <c r="AC90">
        <f>ROUND(((ES90*0)),2)</f>
        <v>0</v>
      </c>
      <c r="AD90">
        <f>ROUND((((((ET90*1.15)*0.8))-(((EU90*1.15)*0.8)))+AE90),2)</f>
        <v>215.63</v>
      </c>
      <c r="AE90">
        <f>ROUND((((EU90*1.15)*0.8)),2)</f>
        <v>34.9</v>
      </c>
      <c r="AF90">
        <f>ROUND((((EV90*1.15)*0.8)),2)</f>
        <v>1274.8399999999999</v>
      </c>
      <c r="AG90">
        <f t="shared" ref="AG90:AG130" si="205">ROUND((AP90),2)</f>
        <v>0</v>
      </c>
      <c r="AH90">
        <f>(((EW90*1.15)*0.8))</f>
        <v>143.88800000000001</v>
      </c>
      <c r="AI90">
        <f>(((EX90*1.15)*0.8))</f>
        <v>2.7140000000000004</v>
      </c>
      <c r="AJ90">
        <f t="shared" ref="AJ90:AJ130" si="206">(AS90)</f>
        <v>0</v>
      </c>
      <c r="AK90">
        <v>20740.580000000002</v>
      </c>
      <c r="AL90">
        <v>19120.490000000002</v>
      </c>
      <c r="AM90">
        <v>234.39</v>
      </c>
      <c r="AN90">
        <v>37.94</v>
      </c>
      <c r="AO90">
        <v>1385.7</v>
      </c>
      <c r="AP90">
        <v>0</v>
      </c>
      <c r="AQ90">
        <v>156.4</v>
      </c>
      <c r="AR90">
        <v>2.95</v>
      </c>
      <c r="AS90">
        <v>0</v>
      </c>
      <c r="AT90">
        <v>110</v>
      </c>
      <c r="AU90">
        <v>69</v>
      </c>
      <c r="AV90">
        <v>1</v>
      </c>
      <c r="AW90">
        <v>1</v>
      </c>
      <c r="AZ90">
        <v>1</v>
      </c>
      <c r="BA90">
        <v>30.54</v>
      </c>
      <c r="BB90">
        <v>12.13</v>
      </c>
      <c r="BC90">
        <v>8.7100000000000009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298</v>
      </c>
      <c r="BM90">
        <v>8001</v>
      </c>
      <c r="BN90">
        <v>0</v>
      </c>
      <c r="BO90" t="s">
        <v>3</v>
      </c>
      <c r="BP90">
        <v>0</v>
      </c>
      <c r="BQ90">
        <v>2</v>
      </c>
      <c r="BR90">
        <v>0</v>
      </c>
      <c r="BS90">
        <v>30.54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110</v>
      </c>
      <c r="CA90">
        <v>69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1105</v>
      </c>
      <c r="CO90">
        <v>0</v>
      </c>
      <c r="CP90">
        <f t="shared" ref="CP90:CP130" si="207">(P90+Q90+S90)</f>
        <v>12099.119999999999</v>
      </c>
      <c r="CQ90">
        <f t="shared" ref="CQ90:CQ130" si="208">AC90*BC90</f>
        <v>0</v>
      </c>
      <c r="CR90">
        <f>(((((ET90*1.15)*0.8))*BB90-(((EU90*1.15)*0.8))*BS90)+AE90*BS90)</f>
        <v>2615.552052</v>
      </c>
      <c r="CS90">
        <f t="shared" ref="CS90:CS130" si="209">AE90*BS90</f>
        <v>1065.846</v>
      </c>
      <c r="CT90">
        <f t="shared" ref="CT90:CT130" si="210">AF90*BA90</f>
        <v>38933.613599999997</v>
      </c>
      <c r="CU90">
        <f t="shared" ref="CU90:CU130" si="211">AG90</f>
        <v>0</v>
      </c>
      <c r="CV90">
        <f t="shared" ref="CV90:CV130" si="212">AH90</f>
        <v>143.88800000000001</v>
      </c>
      <c r="CW90">
        <f t="shared" ref="CW90:CW130" si="213">AI90</f>
        <v>2.7140000000000004</v>
      </c>
      <c r="CX90">
        <f t="shared" ref="CX90:CX130" si="214">AJ90</f>
        <v>0</v>
      </c>
      <c r="CY90">
        <f t="shared" ref="CY90:CY130" si="215">(((S90+R90)*AT90)/100)</f>
        <v>12812.624</v>
      </c>
      <c r="CZ90">
        <f t="shared" ref="CZ90:CZ130" si="216">(((S90+R90)*AU90)/100)</f>
        <v>8037.0095999999994</v>
      </c>
      <c r="DC90" t="s">
        <v>3</v>
      </c>
      <c r="DD90" t="s">
        <v>299</v>
      </c>
      <c r="DE90" t="s">
        <v>300</v>
      </c>
      <c r="DF90" t="s">
        <v>300</v>
      </c>
      <c r="DG90" t="s">
        <v>300</v>
      </c>
      <c r="DH90" t="s">
        <v>3</v>
      </c>
      <c r="DI90" t="s">
        <v>300</v>
      </c>
      <c r="DJ90" t="s">
        <v>300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1005</v>
      </c>
      <c r="DV90" t="s">
        <v>19</v>
      </c>
      <c r="DW90" t="s">
        <v>19</v>
      </c>
      <c r="DX90">
        <v>100</v>
      </c>
      <c r="DZ90" t="s">
        <v>3</v>
      </c>
      <c r="EA90" t="s">
        <v>3</v>
      </c>
      <c r="EB90" t="s">
        <v>3</v>
      </c>
      <c r="EC90" t="s">
        <v>3</v>
      </c>
      <c r="EE90">
        <v>140625024</v>
      </c>
      <c r="EF90">
        <v>2</v>
      </c>
      <c r="EG90" t="s">
        <v>22</v>
      </c>
      <c r="EH90">
        <v>8</v>
      </c>
      <c r="EI90" t="s">
        <v>124</v>
      </c>
      <c r="EJ90">
        <v>1</v>
      </c>
      <c r="EK90">
        <v>8001</v>
      </c>
      <c r="EL90" t="s">
        <v>124</v>
      </c>
      <c r="EM90" t="s">
        <v>125</v>
      </c>
      <c r="EO90" t="s">
        <v>301</v>
      </c>
      <c r="EQ90">
        <v>0</v>
      </c>
      <c r="ER90">
        <v>20740.580000000002</v>
      </c>
      <c r="ES90">
        <v>19120.490000000002</v>
      </c>
      <c r="ET90">
        <v>234.39</v>
      </c>
      <c r="EU90">
        <v>37.94</v>
      </c>
      <c r="EV90">
        <v>1385.7</v>
      </c>
      <c r="EW90">
        <v>156.4</v>
      </c>
      <c r="EX90">
        <v>2.95</v>
      </c>
      <c r="EY90">
        <v>0</v>
      </c>
      <c r="FQ90">
        <v>0</v>
      </c>
      <c r="FR90">
        <f t="shared" ref="FR90:FR130" si="217">ROUND(IF(BI90=3,GM90,0),2)</f>
        <v>0</v>
      </c>
      <c r="FS90">
        <v>0</v>
      </c>
      <c r="FX90">
        <v>110</v>
      </c>
      <c r="FY90">
        <v>69</v>
      </c>
      <c r="GA90" t="s">
        <v>3</v>
      </c>
      <c r="GD90">
        <v>1</v>
      </c>
      <c r="GF90">
        <v>1301802411</v>
      </c>
      <c r="GG90">
        <v>2</v>
      </c>
      <c r="GH90">
        <v>1</v>
      </c>
      <c r="GI90">
        <v>4</v>
      </c>
      <c r="GJ90">
        <v>0</v>
      </c>
      <c r="GK90">
        <v>0</v>
      </c>
      <c r="GL90">
        <f t="shared" ref="GL90:GL130" si="218">ROUND(IF(AND(BH90=3,BI90=3,FS90&lt;&gt;0),P90,0),2)</f>
        <v>0</v>
      </c>
      <c r="GM90">
        <f t="shared" ref="GM90:GM130" si="219">ROUND(O90+X90+Y90,2)+GX90</f>
        <v>32948.75</v>
      </c>
      <c r="GN90">
        <f t="shared" ref="GN90:GN130" si="220">IF(OR(BI90=0,BI90=1),ROUND(O90+X90+Y90,2),0)</f>
        <v>32948.75</v>
      </c>
      <c r="GO90">
        <f t="shared" ref="GO90:GO130" si="221">IF(BI90=2,ROUND(O90+X90+Y90,2),0)</f>
        <v>0</v>
      </c>
      <c r="GP90">
        <f t="shared" ref="GP90:GP130" si="222">IF(BI90=4,ROUND(O90+X90+Y90,2)+GX90,0)</f>
        <v>0</v>
      </c>
      <c r="GR90">
        <v>0</v>
      </c>
      <c r="GS90">
        <v>3</v>
      </c>
      <c r="GT90">
        <v>0</v>
      </c>
      <c r="GU90" t="s">
        <v>3</v>
      </c>
      <c r="GV90">
        <f t="shared" ref="GV90:GV107" si="223">ROUND((GT90),2)</f>
        <v>0</v>
      </c>
      <c r="GW90">
        <v>1</v>
      </c>
      <c r="GX90">
        <f t="shared" ref="GX90:GX130" si="224">ROUND(HC90*I90,2)</f>
        <v>0</v>
      </c>
      <c r="HA90">
        <v>0</v>
      </c>
      <c r="HB90">
        <v>0</v>
      </c>
      <c r="HC90">
        <f t="shared" ref="HC90:HC130" si="225">GV90*GW90</f>
        <v>0</v>
      </c>
      <c r="HE90" t="s">
        <v>3</v>
      </c>
      <c r="HF90" t="s">
        <v>3</v>
      </c>
      <c r="HM90" t="s">
        <v>3</v>
      </c>
      <c r="HN90" t="s">
        <v>126</v>
      </c>
      <c r="HO90" t="s">
        <v>127</v>
      </c>
      <c r="HP90" t="s">
        <v>124</v>
      </c>
      <c r="HQ90" t="s">
        <v>124</v>
      </c>
      <c r="IK90">
        <v>0</v>
      </c>
    </row>
    <row r="91" spans="1:245" x14ac:dyDescent="0.2">
      <c r="A91">
        <v>17</v>
      </c>
      <c r="B91">
        <v>1</v>
      </c>
      <c r="C91">
        <f>ROW(SmtRes!A163)</f>
        <v>163</v>
      </c>
      <c r="D91">
        <f>ROW(EtalonRes!A163)</f>
        <v>163</v>
      </c>
      <c r="E91" t="s">
        <v>302</v>
      </c>
      <c r="F91" t="s">
        <v>303</v>
      </c>
      <c r="G91" t="s">
        <v>304</v>
      </c>
      <c r="H91" t="s">
        <v>66</v>
      </c>
      <c r="I91">
        <v>0.72</v>
      </c>
      <c r="J91">
        <v>0</v>
      </c>
      <c r="K91">
        <v>0.72</v>
      </c>
      <c r="O91">
        <f t="shared" si="193"/>
        <v>2189.9899999999998</v>
      </c>
      <c r="P91">
        <f t="shared" si="194"/>
        <v>0</v>
      </c>
      <c r="Q91">
        <f t="shared" si="195"/>
        <v>599.1</v>
      </c>
      <c r="R91">
        <f t="shared" si="196"/>
        <v>0</v>
      </c>
      <c r="S91">
        <f t="shared" si="197"/>
        <v>1590.89</v>
      </c>
      <c r="T91">
        <f t="shared" si="198"/>
        <v>0</v>
      </c>
      <c r="U91">
        <f t="shared" si="199"/>
        <v>5.8787999999999991</v>
      </c>
      <c r="V91">
        <f t="shared" si="200"/>
        <v>0</v>
      </c>
      <c r="W91">
        <f t="shared" si="201"/>
        <v>0</v>
      </c>
      <c r="X91">
        <f t="shared" si="202"/>
        <v>1447.71</v>
      </c>
      <c r="Y91">
        <f t="shared" si="203"/>
        <v>827.26</v>
      </c>
      <c r="AA91">
        <v>145033679</v>
      </c>
      <c r="AB91">
        <f t="shared" si="204"/>
        <v>140.94999999999999</v>
      </c>
      <c r="AC91">
        <f t="shared" ref="AC91:AC107" si="226">ROUND((ES91),2)</f>
        <v>0</v>
      </c>
      <c r="AD91">
        <f>ROUND(((((ET91*1.15))-((EU91*1.15)))+AE91),2)</f>
        <v>68.599999999999994</v>
      </c>
      <c r="AE91">
        <f>ROUND(((EU91*1.15)),2)</f>
        <v>0</v>
      </c>
      <c r="AF91">
        <f>ROUND(((EV91*1.15)),2)</f>
        <v>72.349999999999994</v>
      </c>
      <c r="AG91">
        <f t="shared" si="205"/>
        <v>0</v>
      </c>
      <c r="AH91">
        <f>((EW91*1.15))</f>
        <v>8.1649999999999991</v>
      </c>
      <c r="AI91">
        <f>((EX91*1.15))</f>
        <v>0</v>
      </c>
      <c r="AJ91">
        <f t="shared" si="206"/>
        <v>0</v>
      </c>
      <c r="AK91">
        <v>122.56</v>
      </c>
      <c r="AL91">
        <v>0</v>
      </c>
      <c r="AM91">
        <v>59.65</v>
      </c>
      <c r="AN91">
        <v>0</v>
      </c>
      <c r="AO91">
        <v>62.91</v>
      </c>
      <c r="AP91">
        <v>0</v>
      </c>
      <c r="AQ91">
        <v>7.1</v>
      </c>
      <c r="AR91">
        <v>0</v>
      </c>
      <c r="AS91">
        <v>0</v>
      </c>
      <c r="AT91">
        <v>91</v>
      </c>
      <c r="AU91">
        <v>52</v>
      </c>
      <c r="AV91">
        <v>1</v>
      </c>
      <c r="AW91">
        <v>1</v>
      </c>
      <c r="AZ91">
        <v>1</v>
      </c>
      <c r="BA91">
        <v>30.54</v>
      </c>
      <c r="BB91">
        <v>12.13</v>
      </c>
      <c r="BC91">
        <v>8.7100000000000009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1</v>
      </c>
      <c r="BJ91" t="s">
        <v>305</v>
      </c>
      <c r="BM91">
        <v>46003</v>
      </c>
      <c r="BN91">
        <v>0</v>
      </c>
      <c r="BO91" t="s">
        <v>3</v>
      </c>
      <c r="BP91">
        <v>0</v>
      </c>
      <c r="BQ91">
        <v>2</v>
      </c>
      <c r="BR91">
        <v>0</v>
      </c>
      <c r="BS91">
        <v>30.54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91</v>
      </c>
      <c r="CA91">
        <v>52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1102</v>
      </c>
      <c r="CO91">
        <v>0</v>
      </c>
      <c r="CP91">
        <f t="shared" si="207"/>
        <v>2189.9900000000002</v>
      </c>
      <c r="CQ91">
        <f t="shared" si="208"/>
        <v>0</v>
      </c>
      <c r="CR91">
        <f>((((ET91*1.15))*BB91-((EU91*1.15))*BS91)+AE91*BS91)</f>
        <v>832.08767499999999</v>
      </c>
      <c r="CS91">
        <f t="shared" si="209"/>
        <v>0</v>
      </c>
      <c r="CT91">
        <f t="shared" si="210"/>
        <v>2209.569</v>
      </c>
      <c r="CU91">
        <f t="shared" si="211"/>
        <v>0</v>
      </c>
      <c r="CV91">
        <f t="shared" si="212"/>
        <v>8.1649999999999991</v>
      </c>
      <c r="CW91">
        <f t="shared" si="213"/>
        <v>0</v>
      </c>
      <c r="CX91">
        <f t="shared" si="214"/>
        <v>0</v>
      </c>
      <c r="CY91">
        <f t="shared" si="215"/>
        <v>1447.7099000000003</v>
      </c>
      <c r="CZ91">
        <f t="shared" si="216"/>
        <v>827.26279999999997</v>
      </c>
      <c r="DC91" t="s">
        <v>3</v>
      </c>
      <c r="DD91" t="s">
        <v>3</v>
      </c>
      <c r="DE91" t="s">
        <v>21</v>
      </c>
      <c r="DF91" t="s">
        <v>21</v>
      </c>
      <c r="DG91" t="s">
        <v>21</v>
      </c>
      <c r="DH91" t="s">
        <v>3</v>
      </c>
      <c r="DI91" t="s">
        <v>21</v>
      </c>
      <c r="DJ91" t="s">
        <v>21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1007</v>
      </c>
      <c r="DV91" t="s">
        <v>66</v>
      </c>
      <c r="DW91" t="s">
        <v>66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140625347</v>
      </c>
      <c r="EF91">
        <v>2</v>
      </c>
      <c r="EG91" t="s">
        <v>22</v>
      </c>
      <c r="EH91">
        <v>40</v>
      </c>
      <c r="EI91" t="s">
        <v>23</v>
      </c>
      <c r="EJ91">
        <v>1</v>
      </c>
      <c r="EK91">
        <v>46003</v>
      </c>
      <c r="EL91" t="s">
        <v>24</v>
      </c>
      <c r="EM91" t="s">
        <v>25</v>
      </c>
      <c r="EO91" t="s">
        <v>26</v>
      </c>
      <c r="EQ91">
        <v>0</v>
      </c>
      <c r="ER91">
        <v>122.56</v>
      </c>
      <c r="ES91">
        <v>0</v>
      </c>
      <c r="ET91">
        <v>59.65</v>
      </c>
      <c r="EU91">
        <v>0</v>
      </c>
      <c r="EV91">
        <v>62.91</v>
      </c>
      <c r="EW91">
        <v>7.1</v>
      </c>
      <c r="EX91">
        <v>0</v>
      </c>
      <c r="EY91">
        <v>0</v>
      </c>
      <c r="FQ91">
        <v>0</v>
      </c>
      <c r="FR91">
        <f t="shared" si="217"/>
        <v>0</v>
      </c>
      <c r="FS91">
        <v>0</v>
      </c>
      <c r="FX91">
        <v>91</v>
      </c>
      <c r="FY91">
        <v>52</v>
      </c>
      <c r="GA91" t="s">
        <v>3</v>
      </c>
      <c r="GD91">
        <v>1</v>
      </c>
      <c r="GF91">
        <v>895264700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218"/>
        <v>0</v>
      </c>
      <c r="GM91">
        <f t="shared" si="219"/>
        <v>4464.96</v>
      </c>
      <c r="GN91">
        <f t="shared" si="220"/>
        <v>4464.96</v>
      </c>
      <c r="GO91">
        <f t="shared" si="221"/>
        <v>0</v>
      </c>
      <c r="GP91">
        <f t="shared" si="222"/>
        <v>0</v>
      </c>
      <c r="GR91">
        <v>0</v>
      </c>
      <c r="GS91">
        <v>3</v>
      </c>
      <c r="GT91">
        <v>0</v>
      </c>
      <c r="GU91" t="s">
        <v>3</v>
      </c>
      <c r="GV91">
        <f t="shared" si="223"/>
        <v>0</v>
      </c>
      <c r="GW91">
        <v>1</v>
      </c>
      <c r="GX91">
        <f t="shared" si="224"/>
        <v>0</v>
      </c>
      <c r="HA91">
        <v>0</v>
      </c>
      <c r="HB91">
        <v>0</v>
      </c>
      <c r="HC91">
        <f t="shared" si="225"/>
        <v>0</v>
      </c>
      <c r="HE91" t="s">
        <v>3</v>
      </c>
      <c r="HF91" t="s">
        <v>3</v>
      </c>
      <c r="HM91" t="s">
        <v>3</v>
      </c>
      <c r="HN91" t="s">
        <v>27</v>
      </c>
      <c r="HO91" t="s">
        <v>28</v>
      </c>
      <c r="HP91" t="s">
        <v>24</v>
      </c>
      <c r="HQ91" t="s">
        <v>24</v>
      </c>
      <c r="IK91">
        <v>0</v>
      </c>
    </row>
    <row r="92" spans="1:245" x14ac:dyDescent="0.2">
      <c r="A92">
        <v>17</v>
      </c>
      <c r="B92">
        <v>1</v>
      </c>
      <c r="C92">
        <f>ROW(SmtRes!A167)</f>
        <v>167</v>
      </c>
      <c r="D92">
        <f>ROW(EtalonRes!A167)</f>
        <v>167</v>
      </c>
      <c r="E92" t="s">
        <v>306</v>
      </c>
      <c r="F92" t="s">
        <v>307</v>
      </c>
      <c r="G92" t="s">
        <v>308</v>
      </c>
      <c r="H92" t="s">
        <v>66</v>
      </c>
      <c r="I92">
        <v>0.72</v>
      </c>
      <c r="J92">
        <v>0</v>
      </c>
      <c r="K92">
        <v>0.72</v>
      </c>
      <c r="O92">
        <f t="shared" si="193"/>
        <v>3826.3</v>
      </c>
      <c r="P92">
        <f t="shared" si="194"/>
        <v>782.33</v>
      </c>
      <c r="Q92">
        <f t="shared" si="195"/>
        <v>21.39</v>
      </c>
      <c r="R92">
        <f t="shared" si="196"/>
        <v>0</v>
      </c>
      <c r="S92">
        <f t="shared" si="197"/>
        <v>3022.58</v>
      </c>
      <c r="T92">
        <f t="shared" si="198"/>
        <v>0</v>
      </c>
      <c r="U92">
        <f t="shared" si="199"/>
        <v>12.11364</v>
      </c>
      <c r="V92">
        <f t="shared" si="200"/>
        <v>0</v>
      </c>
      <c r="W92">
        <f t="shared" si="201"/>
        <v>0</v>
      </c>
      <c r="X92">
        <f t="shared" si="202"/>
        <v>3113.26</v>
      </c>
      <c r="Y92">
        <f t="shared" si="203"/>
        <v>1783.32</v>
      </c>
      <c r="AA92">
        <v>145033679</v>
      </c>
      <c r="AB92">
        <f t="shared" si="204"/>
        <v>264.66000000000003</v>
      </c>
      <c r="AC92">
        <f t="shared" si="226"/>
        <v>124.75</v>
      </c>
      <c r="AD92">
        <f>ROUND(((((ET92*1.15))-((EU92*1.15)))+AE92),2)</f>
        <v>2.4500000000000002</v>
      </c>
      <c r="AE92">
        <f>ROUND(((EU92*1.15)),2)</f>
        <v>0</v>
      </c>
      <c r="AF92">
        <f>ROUND(((EV92*1.15)),2)</f>
        <v>137.46</v>
      </c>
      <c r="AG92">
        <f t="shared" si="205"/>
        <v>0</v>
      </c>
      <c r="AH92">
        <f>((EW92*1.15))</f>
        <v>16.8245</v>
      </c>
      <c r="AI92">
        <f>((EX92*1.15))</f>
        <v>0</v>
      </c>
      <c r="AJ92">
        <f t="shared" si="206"/>
        <v>0</v>
      </c>
      <c r="AK92">
        <v>246.41</v>
      </c>
      <c r="AL92">
        <v>124.75</v>
      </c>
      <c r="AM92">
        <v>2.13</v>
      </c>
      <c r="AN92">
        <v>0</v>
      </c>
      <c r="AO92">
        <v>119.53</v>
      </c>
      <c r="AP92">
        <v>0</v>
      </c>
      <c r="AQ92">
        <v>14.63</v>
      </c>
      <c r="AR92">
        <v>0</v>
      </c>
      <c r="AS92">
        <v>0</v>
      </c>
      <c r="AT92">
        <v>103</v>
      </c>
      <c r="AU92">
        <v>59</v>
      </c>
      <c r="AV92">
        <v>1</v>
      </c>
      <c r="AW92">
        <v>1</v>
      </c>
      <c r="AZ92">
        <v>1</v>
      </c>
      <c r="BA92">
        <v>30.54</v>
      </c>
      <c r="BB92">
        <v>12.13</v>
      </c>
      <c r="BC92">
        <v>8.7100000000000009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309</v>
      </c>
      <c r="BM92">
        <v>46001</v>
      </c>
      <c r="BN92">
        <v>0</v>
      </c>
      <c r="BO92" t="s">
        <v>3</v>
      </c>
      <c r="BP92">
        <v>0</v>
      </c>
      <c r="BQ92">
        <v>2</v>
      </c>
      <c r="BR92">
        <v>0</v>
      </c>
      <c r="BS92">
        <v>30.54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103</v>
      </c>
      <c r="CA92">
        <v>59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1102</v>
      </c>
      <c r="CO92">
        <v>0</v>
      </c>
      <c r="CP92">
        <f t="shared" si="207"/>
        <v>3826.3</v>
      </c>
      <c r="CQ92">
        <f t="shared" si="208"/>
        <v>1086.5725000000002</v>
      </c>
      <c r="CR92">
        <f>((((ET92*1.15))*BB92-((EU92*1.15))*BS92)+AE92*BS92)</f>
        <v>29.712434999999996</v>
      </c>
      <c r="CS92">
        <f t="shared" si="209"/>
        <v>0</v>
      </c>
      <c r="CT92">
        <f t="shared" si="210"/>
        <v>4198.0284000000001</v>
      </c>
      <c r="CU92">
        <f t="shared" si="211"/>
        <v>0</v>
      </c>
      <c r="CV92">
        <f t="shared" si="212"/>
        <v>16.8245</v>
      </c>
      <c r="CW92">
        <f t="shared" si="213"/>
        <v>0</v>
      </c>
      <c r="CX92">
        <f t="shared" si="214"/>
        <v>0</v>
      </c>
      <c r="CY92">
        <f t="shared" si="215"/>
        <v>3113.2574</v>
      </c>
      <c r="CZ92">
        <f t="shared" si="216"/>
        <v>1783.3222000000001</v>
      </c>
      <c r="DC92" t="s">
        <v>3</v>
      </c>
      <c r="DD92" t="s">
        <v>3</v>
      </c>
      <c r="DE92" t="s">
        <v>21</v>
      </c>
      <c r="DF92" t="s">
        <v>21</v>
      </c>
      <c r="DG92" t="s">
        <v>21</v>
      </c>
      <c r="DH92" t="s">
        <v>3</v>
      </c>
      <c r="DI92" t="s">
        <v>21</v>
      </c>
      <c r="DJ92" t="s">
        <v>21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1007</v>
      </c>
      <c r="DV92" t="s">
        <v>66</v>
      </c>
      <c r="DW92" t="s">
        <v>66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140625131</v>
      </c>
      <c r="EF92">
        <v>2</v>
      </c>
      <c r="EG92" t="s">
        <v>22</v>
      </c>
      <c r="EH92">
        <v>40</v>
      </c>
      <c r="EI92" t="s">
        <v>23</v>
      </c>
      <c r="EJ92">
        <v>1</v>
      </c>
      <c r="EK92">
        <v>46001</v>
      </c>
      <c r="EL92" t="s">
        <v>57</v>
      </c>
      <c r="EM92" t="s">
        <v>25</v>
      </c>
      <c r="EO92" t="s">
        <v>26</v>
      </c>
      <c r="EQ92">
        <v>0</v>
      </c>
      <c r="ER92">
        <v>246.41</v>
      </c>
      <c r="ES92">
        <v>124.75</v>
      </c>
      <c r="ET92">
        <v>2.13</v>
      </c>
      <c r="EU92">
        <v>0</v>
      </c>
      <c r="EV92">
        <v>119.53</v>
      </c>
      <c r="EW92">
        <v>14.63</v>
      </c>
      <c r="EX92">
        <v>0</v>
      </c>
      <c r="EY92">
        <v>0</v>
      </c>
      <c r="FQ92">
        <v>0</v>
      </c>
      <c r="FR92">
        <f t="shared" si="217"/>
        <v>0</v>
      </c>
      <c r="FS92">
        <v>0</v>
      </c>
      <c r="FX92">
        <v>103</v>
      </c>
      <c r="FY92">
        <v>59</v>
      </c>
      <c r="GA92" t="s">
        <v>3</v>
      </c>
      <c r="GD92">
        <v>1</v>
      </c>
      <c r="GF92">
        <v>-909782626</v>
      </c>
      <c r="GG92">
        <v>2</v>
      </c>
      <c r="GH92">
        <v>1</v>
      </c>
      <c r="GI92">
        <v>4</v>
      </c>
      <c r="GJ92">
        <v>0</v>
      </c>
      <c r="GK92">
        <v>0</v>
      </c>
      <c r="GL92">
        <f t="shared" si="218"/>
        <v>0</v>
      </c>
      <c r="GM92">
        <f t="shared" si="219"/>
        <v>8722.8799999999992</v>
      </c>
      <c r="GN92">
        <f t="shared" si="220"/>
        <v>8722.8799999999992</v>
      </c>
      <c r="GO92">
        <f t="shared" si="221"/>
        <v>0</v>
      </c>
      <c r="GP92">
        <f t="shared" si="222"/>
        <v>0</v>
      </c>
      <c r="GR92">
        <v>0</v>
      </c>
      <c r="GS92">
        <v>3</v>
      </c>
      <c r="GT92">
        <v>0</v>
      </c>
      <c r="GU92" t="s">
        <v>3</v>
      </c>
      <c r="GV92">
        <f t="shared" si="223"/>
        <v>0</v>
      </c>
      <c r="GW92">
        <v>1</v>
      </c>
      <c r="GX92">
        <f t="shared" si="224"/>
        <v>0</v>
      </c>
      <c r="HA92">
        <v>0</v>
      </c>
      <c r="HB92">
        <v>0</v>
      </c>
      <c r="HC92">
        <f t="shared" si="225"/>
        <v>0</v>
      </c>
      <c r="HE92" t="s">
        <v>3</v>
      </c>
      <c r="HF92" t="s">
        <v>3</v>
      </c>
      <c r="HM92" t="s">
        <v>3</v>
      </c>
      <c r="HN92" t="s">
        <v>58</v>
      </c>
      <c r="HO92" t="s">
        <v>59</v>
      </c>
      <c r="HP92" t="s">
        <v>57</v>
      </c>
      <c r="HQ92" t="s">
        <v>57</v>
      </c>
      <c r="IK92">
        <v>0</v>
      </c>
    </row>
    <row r="93" spans="1:245" x14ac:dyDescent="0.2">
      <c r="A93">
        <v>18</v>
      </c>
      <c r="B93">
        <v>1</v>
      </c>
      <c r="C93">
        <v>166</v>
      </c>
      <c r="E93" t="s">
        <v>310</v>
      </c>
      <c r="F93" t="s">
        <v>311</v>
      </c>
      <c r="G93" t="s">
        <v>312</v>
      </c>
      <c r="H93" t="s">
        <v>66</v>
      </c>
      <c r="I93">
        <f>I92*J93</f>
        <v>-0.17279999999999998</v>
      </c>
      <c r="J93">
        <v>-0.24</v>
      </c>
      <c r="K93">
        <v>-0.24</v>
      </c>
      <c r="O93">
        <f t="shared" si="193"/>
        <v>-782.34</v>
      </c>
      <c r="P93">
        <f t="shared" si="194"/>
        <v>-782.34</v>
      </c>
      <c r="Q93">
        <f t="shared" si="195"/>
        <v>0</v>
      </c>
      <c r="R93">
        <f t="shared" si="196"/>
        <v>0</v>
      </c>
      <c r="S93">
        <f t="shared" si="197"/>
        <v>0</v>
      </c>
      <c r="T93">
        <f t="shared" si="198"/>
        <v>0</v>
      </c>
      <c r="U93">
        <f t="shared" si="199"/>
        <v>0</v>
      </c>
      <c r="V93">
        <f t="shared" si="200"/>
        <v>0</v>
      </c>
      <c r="W93">
        <f t="shared" si="201"/>
        <v>0</v>
      </c>
      <c r="X93">
        <f t="shared" si="202"/>
        <v>0</v>
      </c>
      <c r="Y93">
        <f t="shared" si="203"/>
        <v>0</v>
      </c>
      <c r="AA93">
        <v>145033679</v>
      </c>
      <c r="AB93">
        <f t="shared" si="204"/>
        <v>519.79999999999995</v>
      </c>
      <c r="AC93">
        <f t="shared" si="226"/>
        <v>519.79999999999995</v>
      </c>
      <c r="AD93">
        <f>ROUND((((ET93)-(EU93))+AE93),2)</f>
        <v>0</v>
      </c>
      <c r="AE93">
        <f t="shared" ref="AE93:AF95" si="227">ROUND((EU93),2)</f>
        <v>0</v>
      </c>
      <c r="AF93">
        <f t="shared" si="227"/>
        <v>0</v>
      </c>
      <c r="AG93">
        <f t="shared" si="205"/>
        <v>0</v>
      </c>
      <c r="AH93">
        <f t="shared" ref="AH93:AI95" si="228">(EW93)</f>
        <v>0</v>
      </c>
      <c r="AI93">
        <f t="shared" si="228"/>
        <v>0</v>
      </c>
      <c r="AJ93">
        <f t="shared" si="206"/>
        <v>0</v>
      </c>
      <c r="AK93">
        <v>519.79999999999995</v>
      </c>
      <c r="AL93">
        <v>519.79999999999995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103</v>
      </c>
      <c r="AU93">
        <v>59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8.7100000000000009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313</v>
      </c>
      <c r="BM93">
        <v>46001</v>
      </c>
      <c r="BN93">
        <v>0</v>
      </c>
      <c r="BO93" t="s">
        <v>3</v>
      </c>
      <c r="BP93">
        <v>0</v>
      </c>
      <c r="BQ93">
        <v>2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103</v>
      </c>
      <c r="CA93">
        <v>59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207"/>
        <v>-782.34</v>
      </c>
      <c r="CQ93">
        <f t="shared" si="208"/>
        <v>4527.4579999999996</v>
      </c>
      <c r="CR93">
        <f>(((ET93)*BB93-(EU93)*BS93)+AE93*BS93)</f>
        <v>0</v>
      </c>
      <c r="CS93">
        <f t="shared" si="209"/>
        <v>0</v>
      </c>
      <c r="CT93">
        <f t="shared" si="210"/>
        <v>0</v>
      </c>
      <c r="CU93">
        <f t="shared" si="211"/>
        <v>0</v>
      </c>
      <c r="CV93">
        <f t="shared" si="212"/>
        <v>0</v>
      </c>
      <c r="CW93">
        <f t="shared" si="213"/>
        <v>0</v>
      </c>
      <c r="CX93">
        <f t="shared" si="214"/>
        <v>0</v>
      </c>
      <c r="CY93">
        <f t="shared" si="215"/>
        <v>0</v>
      </c>
      <c r="CZ93">
        <f t="shared" si="216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1007</v>
      </c>
      <c r="DV93" t="s">
        <v>66</v>
      </c>
      <c r="DW93" t="s">
        <v>66</v>
      </c>
      <c r="DX93">
        <v>1</v>
      </c>
      <c r="DZ93" t="s">
        <v>3</v>
      </c>
      <c r="EA93" t="s">
        <v>3</v>
      </c>
      <c r="EB93" t="s">
        <v>3</v>
      </c>
      <c r="EC93" t="s">
        <v>3</v>
      </c>
      <c r="EE93">
        <v>140625131</v>
      </c>
      <c r="EF93">
        <v>2</v>
      </c>
      <c r="EG93" t="s">
        <v>22</v>
      </c>
      <c r="EH93">
        <v>40</v>
      </c>
      <c r="EI93" t="s">
        <v>23</v>
      </c>
      <c r="EJ93">
        <v>1</v>
      </c>
      <c r="EK93">
        <v>46001</v>
      </c>
      <c r="EL93" t="s">
        <v>57</v>
      </c>
      <c r="EM93" t="s">
        <v>25</v>
      </c>
      <c r="EO93" t="s">
        <v>3</v>
      </c>
      <c r="EQ93">
        <v>0</v>
      </c>
      <c r="ER93">
        <v>519.79999999999995</v>
      </c>
      <c r="ES93">
        <v>519.79999999999995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217"/>
        <v>0</v>
      </c>
      <c r="FS93">
        <v>0</v>
      </c>
      <c r="FX93">
        <v>103</v>
      </c>
      <c r="FY93">
        <v>59</v>
      </c>
      <c r="GA93" t="s">
        <v>3</v>
      </c>
      <c r="GD93">
        <v>1</v>
      </c>
      <c r="GF93">
        <v>-1568863701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218"/>
        <v>0</v>
      </c>
      <c r="GM93">
        <f t="shared" si="219"/>
        <v>-782.34</v>
      </c>
      <c r="GN93">
        <f t="shared" si="220"/>
        <v>-782.34</v>
      </c>
      <c r="GO93">
        <f t="shared" si="221"/>
        <v>0</v>
      </c>
      <c r="GP93">
        <f t="shared" si="222"/>
        <v>0</v>
      </c>
      <c r="GR93">
        <v>0</v>
      </c>
      <c r="GS93">
        <v>3</v>
      </c>
      <c r="GT93">
        <v>0</v>
      </c>
      <c r="GU93" t="s">
        <v>3</v>
      </c>
      <c r="GV93">
        <f t="shared" si="223"/>
        <v>0</v>
      </c>
      <c r="GW93">
        <v>1</v>
      </c>
      <c r="GX93">
        <f t="shared" si="224"/>
        <v>0</v>
      </c>
      <c r="HA93">
        <v>0</v>
      </c>
      <c r="HB93">
        <v>0</v>
      </c>
      <c r="HC93">
        <f t="shared" si="225"/>
        <v>0</v>
      </c>
      <c r="HE93" t="s">
        <v>3</v>
      </c>
      <c r="HF93" t="s">
        <v>3</v>
      </c>
      <c r="HM93" t="s">
        <v>3</v>
      </c>
      <c r="HN93" t="s">
        <v>58</v>
      </c>
      <c r="HO93" t="s">
        <v>59</v>
      </c>
      <c r="HP93" t="s">
        <v>57</v>
      </c>
      <c r="HQ93" t="s">
        <v>57</v>
      </c>
      <c r="IK93">
        <v>0</v>
      </c>
    </row>
    <row r="94" spans="1:245" x14ac:dyDescent="0.2">
      <c r="A94">
        <v>17</v>
      </c>
      <c r="B94">
        <v>1</v>
      </c>
      <c r="E94" t="s">
        <v>314</v>
      </c>
      <c r="F94" t="s">
        <v>46</v>
      </c>
      <c r="G94" t="s">
        <v>315</v>
      </c>
      <c r="H94" t="s">
        <v>66</v>
      </c>
      <c r="I94">
        <f>ROUND(I92*0.24,9)</f>
        <v>0.17280000000000001</v>
      </c>
      <c r="J94">
        <v>0</v>
      </c>
      <c r="K94">
        <f>ROUND(I92*0.24,9)</f>
        <v>0.17280000000000001</v>
      </c>
      <c r="O94">
        <f t="shared" si="193"/>
        <v>658.81</v>
      </c>
      <c r="P94">
        <f t="shared" si="194"/>
        <v>658.81</v>
      </c>
      <c r="Q94">
        <f t="shared" si="195"/>
        <v>0</v>
      </c>
      <c r="R94">
        <f t="shared" si="196"/>
        <v>0</v>
      </c>
      <c r="S94">
        <f t="shared" si="197"/>
        <v>0</v>
      </c>
      <c r="T94">
        <f t="shared" si="198"/>
        <v>0</v>
      </c>
      <c r="U94">
        <f t="shared" si="199"/>
        <v>0</v>
      </c>
      <c r="V94">
        <f t="shared" si="200"/>
        <v>0</v>
      </c>
      <c r="W94">
        <f t="shared" si="201"/>
        <v>0</v>
      </c>
      <c r="X94">
        <f t="shared" si="202"/>
        <v>0</v>
      </c>
      <c r="Y94">
        <f t="shared" si="203"/>
        <v>0</v>
      </c>
      <c r="AA94">
        <v>145033679</v>
      </c>
      <c r="AB94">
        <f t="shared" si="204"/>
        <v>437.72</v>
      </c>
      <c r="AC94">
        <f t="shared" si="226"/>
        <v>437.72</v>
      </c>
      <c r="AD94">
        <f>ROUND((((ET94)-(EU94))+AE94),2)</f>
        <v>0</v>
      </c>
      <c r="AE94">
        <f t="shared" si="227"/>
        <v>0</v>
      </c>
      <c r="AF94">
        <f t="shared" si="227"/>
        <v>0</v>
      </c>
      <c r="AG94">
        <f t="shared" si="205"/>
        <v>0</v>
      </c>
      <c r="AH94">
        <f t="shared" si="228"/>
        <v>0</v>
      </c>
      <c r="AI94">
        <f t="shared" si="228"/>
        <v>0</v>
      </c>
      <c r="AJ94">
        <f t="shared" si="206"/>
        <v>0</v>
      </c>
      <c r="AK94">
        <v>437.72</v>
      </c>
      <c r="AL94">
        <v>437.72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8.7100000000000009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3</v>
      </c>
      <c r="BM94">
        <v>1100</v>
      </c>
      <c r="BN94">
        <v>0</v>
      </c>
      <c r="BO94" t="s">
        <v>3</v>
      </c>
      <c r="BP94">
        <v>0</v>
      </c>
      <c r="BQ94">
        <v>8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207"/>
        <v>658.81</v>
      </c>
      <c r="CQ94">
        <f t="shared" si="208"/>
        <v>3812.5412000000006</v>
      </c>
      <c r="CR94">
        <f>(((ET94)*BB94-(EU94)*BS94)+AE94*BS94)</f>
        <v>0</v>
      </c>
      <c r="CS94">
        <f t="shared" si="209"/>
        <v>0</v>
      </c>
      <c r="CT94">
        <f t="shared" si="210"/>
        <v>0</v>
      </c>
      <c r="CU94">
        <f t="shared" si="211"/>
        <v>0</v>
      </c>
      <c r="CV94">
        <f t="shared" si="212"/>
        <v>0</v>
      </c>
      <c r="CW94">
        <f t="shared" si="213"/>
        <v>0</v>
      </c>
      <c r="CX94">
        <f t="shared" si="214"/>
        <v>0</v>
      </c>
      <c r="CY94">
        <f t="shared" si="215"/>
        <v>0</v>
      </c>
      <c r="CZ94">
        <f t="shared" si="216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1007</v>
      </c>
      <c r="DV94" t="s">
        <v>66</v>
      </c>
      <c r="DW94" t="s">
        <v>66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140625274</v>
      </c>
      <c r="EF94">
        <v>8</v>
      </c>
      <c r="EG94" t="s">
        <v>48</v>
      </c>
      <c r="EH94">
        <v>0</v>
      </c>
      <c r="EI94" t="s">
        <v>3</v>
      </c>
      <c r="EJ94">
        <v>1</v>
      </c>
      <c r="EK94">
        <v>1100</v>
      </c>
      <c r="EL94" t="s">
        <v>49</v>
      </c>
      <c r="EM94" t="s">
        <v>50</v>
      </c>
      <c r="EO94" t="s">
        <v>3</v>
      </c>
      <c r="EQ94">
        <v>0</v>
      </c>
      <c r="ER94">
        <v>437.72</v>
      </c>
      <c r="ES94">
        <v>437.72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5</v>
      </c>
      <c r="FC94">
        <v>1</v>
      </c>
      <c r="FD94">
        <v>18</v>
      </c>
      <c r="FF94">
        <v>4575</v>
      </c>
      <c r="FQ94">
        <v>0</v>
      </c>
      <c r="FR94">
        <f t="shared" si="217"/>
        <v>0</v>
      </c>
      <c r="FS94">
        <v>0</v>
      </c>
      <c r="FX94">
        <v>0</v>
      </c>
      <c r="FY94">
        <v>0</v>
      </c>
      <c r="GA94" t="s">
        <v>316</v>
      </c>
      <c r="GD94">
        <v>1</v>
      </c>
      <c r="GF94">
        <v>-316527483</v>
      </c>
      <c r="GG94">
        <v>2</v>
      </c>
      <c r="GH94">
        <v>3</v>
      </c>
      <c r="GI94">
        <v>4</v>
      </c>
      <c r="GJ94">
        <v>0</v>
      </c>
      <c r="GK94">
        <v>0</v>
      </c>
      <c r="GL94">
        <f t="shared" si="218"/>
        <v>0</v>
      </c>
      <c r="GM94">
        <f t="shared" si="219"/>
        <v>658.81</v>
      </c>
      <c r="GN94">
        <f t="shared" si="220"/>
        <v>658.81</v>
      </c>
      <c r="GO94">
        <f t="shared" si="221"/>
        <v>0</v>
      </c>
      <c r="GP94">
        <f t="shared" si="222"/>
        <v>0</v>
      </c>
      <c r="GR94">
        <v>1</v>
      </c>
      <c r="GS94">
        <v>1</v>
      </c>
      <c r="GT94">
        <v>0</v>
      </c>
      <c r="GU94" t="s">
        <v>3</v>
      </c>
      <c r="GV94">
        <f t="shared" si="223"/>
        <v>0</v>
      </c>
      <c r="GW94">
        <v>1</v>
      </c>
      <c r="GX94">
        <f t="shared" si="224"/>
        <v>0</v>
      </c>
      <c r="HA94">
        <v>0</v>
      </c>
      <c r="HB94">
        <v>0</v>
      </c>
      <c r="HC94">
        <f t="shared" si="225"/>
        <v>0</v>
      </c>
      <c r="HE94" t="s">
        <v>258</v>
      </c>
      <c r="HF94" t="s">
        <v>258</v>
      </c>
      <c r="HM94" t="s">
        <v>3</v>
      </c>
      <c r="HN94" t="s">
        <v>3</v>
      </c>
      <c r="HO94" t="s">
        <v>3</v>
      </c>
      <c r="HP94" t="s">
        <v>3</v>
      </c>
      <c r="HQ94" t="s">
        <v>3</v>
      </c>
      <c r="IK94">
        <v>0</v>
      </c>
    </row>
    <row r="95" spans="1:245" x14ac:dyDescent="0.2">
      <c r="A95">
        <v>17</v>
      </c>
      <c r="B95">
        <v>1</v>
      </c>
      <c r="E95" t="s">
        <v>317</v>
      </c>
      <c r="F95" t="s">
        <v>46</v>
      </c>
      <c r="G95" t="s">
        <v>318</v>
      </c>
      <c r="H95" t="s">
        <v>100</v>
      </c>
      <c r="I95">
        <f>ROUND(I92*400,9)</f>
        <v>288</v>
      </c>
      <c r="J95">
        <v>0</v>
      </c>
      <c r="K95">
        <f>ROUND(I92*400,9)</f>
        <v>288</v>
      </c>
      <c r="O95">
        <f t="shared" si="193"/>
        <v>5644.08</v>
      </c>
      <c r="P95">
        <f t="shared" si="194"/>
        <v>5644.08</v>
      </c>
      <c r="Q95">
        <f t="shared" si="195"/>
        <v>0</v>
      </c>
      <c r="R95">
        <f t="shared" si="196"/>
        <v>0</v>
      </c>
      <c r="S95">
        <f t="shared" si="197"/>
        <v>0</v>
      </c>
      <c r="T95">
        <f t="shared" si="198"/>
        <v>0</v>
      </c>
      <c r="U95">
        <f t="shared" si="199"/>
        <v>0</v>
      </c>
      <c r="V95">
        <f t="shared" si="200"/>
        <v>0</v>
      </c>
      <c r="W95">
        <f t="shared" si="201"/>
        <v>0</v>
      </c>
      <c r="X95">
        <f t="shared" si="202"/>
        <v>0</v>
      </c>
      <c r="Y95">
        <f t="shared" si="203"/>
        <v>0</v>
      </c>
      <c r="AA95">
        <v>145033679</v>
      </c>
      <c r="AB95">
        <f t="shared" si="204"/>
        <v>2.25</v>
      </c>
      <c r="AC95">
        <f t="shared" si="226"/>
        <v>2.25</v>
      </c>
      <c r="AD95">
        <f>ROUND((((ET95)-(EU95))+AE95),2)</f>
        <v>0</v>
      </c>
      <c r="AE95">
        <f t="shared" si="227"/>
        <v>0</v>
      </c>
      <c r="AF95">
        <f t="shared" si="227"/>
        <v>0</v>
      </c>
      <c r="AG95">
        <f t="shared" si="205"/>
        <v>0</v>
      </c>
      <c r="AH95">
        <f t="shared" si="228"/>
        <v>0</v>
      </c>
      <c r="AI95">
        <f t="shared" si="228"/>
        <v>0</v>
      </c>
      <c r="AJ95">
        <f t="shared" si="206"/>
        <v>0</v>
      </c>
      <c r="AK95">
        <v>2.25</v>
      </c>
      <c r="AL95">
        <v>2.25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8.7100000000000009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8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207"/>
        <v>5644.08</v>
      </c>
      <c r="CQ95">
        <f t="shared" si="208"/>
        <v>19.597500000000004</v>
      </c>
      <c r="CR95">
        <f>(((ET95)*BB95-(EU95)*BS95)+AE95*BS95)</f>
        <v>0</v>
      </c>
      <c r="CS95">
        <f t="shared" si="209"/>
        <v>0</v>
      </c>
      <c r="CT95">
        <f t="shared" si="210"/>
        <v>0</v>
      </c>
      <c r="CU95">
        <f t="shared" si="211"/>
        <v>0</v>
      </c>
      <c r="CV95">
        <f t="shared" si="212"/>
        <v>0</v>
      </c>
      <c r="CW95">
        <f t="shared" si="213"/>
        <v>0</v>
      </c>
      <c r="CX95">
        <f t="shared" si="214"/>
        <v>0</v>
      </c>
      <c r="CY95">
        <f t="shared" si="215"/>
        <v>0</v>
      </c>
      <c r="CZ95">
        <f t="shared" si="216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100</v>
      </c>
      <c r="DW95" t="s">
        <v>100</v>
      </c>
      <c r="DX95">
        <v>1</v>
      </c>
      <c r="DZ95" t="s">
        <v>3</v>
      </c>
      <c r="EA95" t="s">
        <v>3</v>
      </c>
      <c r="EB95" t="s">
        <v>3</v>
      </c>
      <c r="EC95" t="s">
        <v>3</v>
      </c>
      <c r="EE95">
        <v>140625274</v>
      </c>
      <c r="EF95">
        <v>8</v>
      </c>
      <c r="EG95" t="s">
        <v>48</v>
      </c>
      <c r="EH95">
        <v>0</v>
      </c>
      <c r="EI95" t="s">
        <v>3</v>
      </c>
      <c r="EJ95">
        <v>1</v>
      </c>
      <c r="EK95">
        <v>1100</v>
      </c>
      <c r="EL95" t="s">
        <v>49</v>
      </c>
      <c r="EM95" t="s">
        <v>50</v>
      </c>
      <c r="EO95" t="s">
        <v>3</v>
      </c>
      <c r="EQ95">
        <v>0</v>
      </c>
      <c r="ER95">
        <v>2.25</v>
      </c>
      <c r="ES95">
        <v>2.25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1</v>
      </c>
      <c r="FD95">
        <v>18</v>
      </c>
      <c r="FF95">
        <v>22</v>
      </c>
      <c r="FQ95">
        <v>0</v>
      </c>
      <c r="FR95">
        <f t="shared" si="217"/>
        <v>0</v>
      </c>
      <c r="FS95">
        <v>0</v>
      </c>
      <c r="FX95">
        <v>0</v>
      </c>
      <c r="FY95">
        <v>0</v>
      </c>
      <c r="GA95" t="s">
        <v>319</v>
      </c>
      <c r="GD95">
        <v>1</v>
      </c>
      <c r="GF95">
        <v>1871147767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218"/>
        <v>0</v>
      </c>
      <c r="GM95">
        <f t="shared" si="219"/>
        <v>5644.08</v>
      </c>
      <c r="GN95">
        <f t="shared" si="220"/>
        <v>5644.08</v>
      </c>
      <c r="GO95">
        <f t="shared" si="221"/>
        <v>0</v>
      </c>
      <c r="GP95">
        <f t="shared" si="222"/>
        <v>0</v>
      </c>
      <c r="GR95">
        <v>1</v>
      </c>
      <c r="GS95">
        <v>1</v>
      </c>
      <c r="GT95">
        <v>0</v>
      </c>
      <c r="GU95" t="s">
        <v>3</v>
      </c>
      <c r="GV95">
        <f t="shared" si="223"/>
        <v>0</v>
      </c>
      <c r="GW95">
        <v>1</v>
      </c>
      <c r="GX95">
        <f t="shared" si="224"/>
        <v>0</v>
      </c>
      <c r="HA95">
        <v>0</v>
      </c>
      <c r="HB95">
        <v>0</v>
      </c>
      <c r="HC95">
        <f t="shared" si="225"/>
        <v>0</v>
      </c>
      <c r="HE95" t="s">
        <v>52</v>
      </c>
      <c r="HF95" t="s">
        <v>29</v>
      </c>
      <c r="HM95" t="s">
        <v>3</v>
      </c>
      <c r="HN95" t="s">
        <v>3</v>
      </c>
      <c r="HO95" t="s">
        <v>3</v>
      </c>
      <c r="HP95" t="s">
        <v>3</v>
      </c>
      <c r="HQ95" t="s">
        <v>3</v>
      </c>
      <c r="IK95">
        <v>0</v>
      </c>
    </row>
    <row r="96" spans="1:245" x14ac:dyDescent="0.2">
      <c r="A96">
        <v>17</v>
      </c>
      <c r="B96">
        <v>1</v>
      </c>
      <c r="C96">
        <f>ROW(SmtRes!A169)</f>
        <v>169</v>
      </c>
      <c r="D96">
        <f>ROW(EtalonRes!A169)</f>
        <v>169</v>
      </c>
      <c r="E96" t="s">
        <v>320</v>
      </c>
      <c r="F96" t="s">
        <v>321</v>
      </c>
      <c r="G96" t="s">
        <v>322</v>
      </c>
      <c r="H96" t="s">
        <v>323</v>
      </c>
      <c r="I96">
        <f>ROUND(32/100,9)</f>
        <v>0.32</v>
      </c>
      <c r="J96">
        <v>0</v>
      </c>
      <c r="K96">
        <f>ROUND(32/100,9)</f>
        <v>0.32</v>
      </c>
      <c r="O96">
        <f t="shared" si="193"/>
        <v>513.85</v>
      </c>
      <c r="P96">
        <f t="shared" si="194"/>
        <v>0</v>
      </c>
      <c r="Q96">
        <f t="shared" si="195"/>
        <v>0</v>
      </c>
      <c r="R96">
        <f t="shared" si="196"/>
        <v>0</v>
      </c>
      <c r="S96">
        <f t="shared" si="197"/>
        <v>513.85</v>
      </c>
      <c r="T96">
        <f t="shared" si="198"/>
        <v>0</v>
      </c>
      <c r="U96">
        <f t="shared" si="199"/>
        <v>1.97248</v>
      </c>
      <c r="V96">
        <f t="shared" si="200"/>
        <v>0</v>
      </c>
      <c r="W96">
        <f t="shared" si="201"/>
        <v>0</v>
      </c>
      <c r="X96">
        <f t="shared" si="202"/>
        <v>472.74</v>
      </c>
      <c r="Y96">
        <f t="shared" si="203"/>
        <v>226.09</v>
      </c>
      <c r="AA96">
        <v>145033679</v>
      </c>
      <c r="AB96">
        <f t="shared" si="204"/>
        <v>52.58</v>
      </c>
      <c r="AC96">
        <f t="shared" si="226"/>
        <v>0</v>
      </c>
      <c r="AD96">
        <f>ROUND(((((ET96*1.15))-((EU96*1.15)))+AE96),2)</f>
        <v>0</v>
      </c>
      <c r="AE96">
        <f>ROUND(((EU96*1.15)),2)</f>
        <v>0</v>
      </c>
      <c r="AF96">
        <f>ROUND(((EV96*1.15)),2)</f>
        <v>52.58</v>
      </c>
      <c r="AG96">
        <f t="shared" si="205"/>
        <v>0</v>
      </c>
      <c r="AH96">
        <f>((EW96*1.15))</f>
        <v>6.1639999999999997</v>
      </c>
      <c r="AI96">
        <f>((EX96*1.15))</f>
        <v>0</v>
      </c>
      <c r="AJ96">
        <f t="shared" si="206"/>
        <v>0</v>
      </c>
      <c r="AK96">
        <v>45.72</v>
      </c>
      <c r="AL96">
        <v>0</v>
      </c>
      <c r="AM96">
        <v>0</v>
      </c>
      <c r="AN96">
        <v>0</v>
      </c>
      <c r="AO96">
        <v>45.72</v>
      </c>
      <c r="AP96">
        <v>0</v>
      </c>
      <c r="AQ96">
        <v>5.36</v>
      </c>
      <c r="AR96">
        <v>0</v>
      </c>
      <c r="AS96">
        <v>0</v>
      </c>
      <c r="AT96">
        <v>92</v>
      </c>
      <c r="AU96">
        <v>44</v>
      </c>
      <c r="AV96">
        <v>1</v>
      </c>
      <c r="AW96">
        <v>1</v>
      </c>
      <c r="AZ96">
        <v>1</v>
      </c>
      <c r="BA96">
        <v>30.54</v>
      </c>
      <c r="BB96">
        <v>12.13</v>
      </c>
      <c r="BC96">
        <v>8.7100000000000009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1</v>
      </c>
      <c r="BJ96" t="s">
        <v>324</v>
      </c>
      <c r="BM96">
        <v>69001</v>
      </c>
      <c r="BN96">
        <v>0</v>
      </c>
      <c r="BO96" t="s">
        <v>3</v>
      </c>
      <c r="BP96">
        <v>0</v>
      </c>
      <c r="BQ96">
        <v>6</v>
      </c>
      <c r="BR96">
        <v>0</v>
      </c>
      <c r="BS96">
        <v>30.54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92</v>
      </c>
      <c r="CA96">
        <v>44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1103</v>
      </c>
      <c r="CO96">
        <v>0</v>
      </c>
      <c r="CP96">
        <f t="shared" si="207"/>
        <v>513.85</v>
      </c>
      <c r="CQ96">
        <f t="shared" si="208"/>
        <v>0</v>
      </c>
      <c r="CR96">
        <f>((((ET96*1.15))*BB96-((EU96*1.15))*BS96)+AE96*BS96)</f>
        <v>0</v>
      </c>
      <c r="CS96">
        <f t="shared" si="209"/>
        <v>0</v>
      </c>
      <c r="CT96">
        <f t="shared" si="210"/>
        <v>1605.7931999999998</v>
      </c>
      <c r="CU96">
        <f t="shared" si="211"/>
        <v>0</v>
      </c>
      <c r="CV96">
        <f t="shared" si="212"/>
        <v>6.1639999999999997</v>
      </c>
      <c r="CW96">
        <f t="shared" si="213"/>
        <v>0</v>
      </c>
      <c r="CX96">
        <f t="shared" si="214"/>
        <v>0</v>
      </c>
      <c r="CY96">
        <f t="shared" si="215"/>
        <v>472.74200000000002</v>
      </c>
      <c r="CZ96">
        <f t="shared" si="216"/>
        <v>226.09400000000002</v>
      </c>
      <c r="DC96" t="s">
        <v>3</v>
      </c>
      <c r="DD96" t="s">
        <v>3</v>
      </c>
      <c r="DE96" t="s">
        <v>21</v>
      </c>
      <c r="DF96" t="s">
        <v>21</v>
      </c>
      <c r="DG96" t="s">
        <v>21</v>
      </c>
      <c r="DH96" t="s">
        <v>3</v>
      </c>
      <c r="DI96" t="s">
        <v>21</v>
      </c>
      <c r="DJ96" t="s">
        <v>21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1013</v>
      </c>
      <c r="DV96" t="s">
        <v>323</v>
      </c>
      <c r="DW96" t="s">
        <v>323</v>
      </c>
      <c r="DX96">
        <v>1</v>
      </c>
      <c r="DZ96" t="s">
        <v>3</v>
      </c>
      <c r="EA96" t="s">
        <v>3</v>
      </c>
      <c r="EB96" t="s">
        <v>3</v>
      </c>
      <c r="EC96" t="s">
        <v>3</v>
      </c>
      <c r="EE96">
        <v>140625215</v>
      </c>
      <c r="EF96">
        <v>6</v>
      </c>
      <c r="EG96" t="s">
        <v>34</v>
      </c>
      <c r="EH96">
        <v>103</v>
      </c>
      <c r="EI96" t="s">
        <v>177</v>
      </c>
      <c r="EJ96">
        <v>1</v>
      </c>
      <c r="EK96">
        <v>69001</v>
      </c>
      <c r="EL96" t="s">
        <v>177</v>
      </c>
      <c r="EM96" t="s">
        <v>178</v>
      </c>
      <c r="EO96" t="s">
        <v>37</v>
      </c>
      <c r="EQ96">
        <v>0</v>
      </c>
      <c r="ER96">
        <v>45.72</v>
      </c>
      <c r="ES96">
        <v>0</v>
      </c>
      <c r="ET96">
        <v>0</v>
      </c>
      <c r="EU96">
        <v>0</v>
      </c>
      <c r="EV96">
        <v>45.72</v>
      </c>
      <c r="EW96">
        <v>5.36</v>
      </c>
      <c r="EX96">
        <v>0</v>
      </c>
      <c r="EY96">
        <v>0</v>
      </c>
      <c r="FQ96">
        <v>0</v>
      </c>
      <c r="FR96">
        <f t="shared" si="217"/>
        <v>0</v>
      </c>
      <c r="FS96">
        <v>0</v>
      </c>
      <c r="FX96">
        <v>92</v>
      </c>
      <c r="FY96">
        <v>44</v>
      </c>
      <c r="GA96" t="s">
        <v>3</v>
      </c>
      <c r="GD96">
        <v>1</v>
      </c>
      <c r="GF96">
        <v>2062107784</v>
      </c>
      <c r="GG96">
        <v>2</v>
      </c>
      <c r="GH96">
        <v>1</v>
      </c>
      <c r="GI96">
        <v>4</v>
      </c>
      <c r="GJ96">
        <v>0</v>
      </c>
      <c r="GK96">
        <v>0</v>
      </c>
      <c r="GL96">
        <f t="shared" si="218"/>
        <v>0</v>
      </c>
      <c r="GM96">
        <f t="shared" si="219"/>
        <v>1212.68</v>
      </c>
      <c r="GN96">
        <f t="shared" si="220"/>
        <v>1212.68</v>
      </c>
      <c r="GO96">
        <f t="shared" si="221"/>
        <v>0</v>
      </c>
      <c r="GP96">
        <f t="shared" si="222"/>
        <v>0</v>
      </c>
      <c r="GR96">
        <v>0</v>
      </c>
      <c r="GS96">
        <v>3</v>
      </c>
      <c r="GT96">
        <v>0</v>
      </c>
      <c r="GU96" t="s">
        <v>3</v>
      </c>
      <c r="GV96">
        <f t="shared" si="223"/>
        <v>0</v>
      </c>
      <c r="GW96">
        <v>1</v>
      </c>
      <c r="GX96">
        <f t="shared" si="224"/>
        <v>0</v>
      </c>
      <c r="HA96">
        <v>0</v>
      </c>
      <c r="HB96">
        <v>0</v>
      </c>
      <c r="HC96">
        <f t="shared" si="225"/>
        <v>0</v>
      </c>
      <c r="HE96" t="s">
        <v>3</v>
      </c>
      <c r="HF96" t="s">
        <v>3</v>
      </c>
      <c r="HM96" t="s">
        <v>3</v>
      </c>
      <c r="HN96" t="s">
        <v>179</v>
      </c>
      <c r="HO96" t="s">
        <v>180</v>
      </c>
      <c r="HP96" t="s">
        <v>177</v>
      </c>
      <c r="HQ96" t="s">
        <v>177</v>
      </c>
      <c r="IK96">
        <v>0</v>
      </c>
    </row>
    <row r="97" spans="1:245" x14ac:dyDescent="0.2">
      <c r="A97">
        <v>17</v>
      </c>
      <c r="B97">
        <v>1</v>
      </c>
      <c r="E97" t="s">
        <v>325</v>
      </c>
      <c r="F97" t="s">
        <v>46</v>
      </c>
      <c r="G97" t="s">
        <v>326</v>
      </c>
      <c r="H97" t="s">
        <v>105</v>
      </c>
      <c r="I97">
        <f>ROUND(12.64/1000,9)</f>
        <v>1.264E-2</v>
      </c>
      <c r="J97">
        <v>0</v>
      </c>
      <c r="K97">
        <f>ROUND(12.64/1000,9)</f>
        <v>1.264E-2</v>
      </c>
      <c r="O97">
        <f t="shared" si="193"/>
        <v>738.92</v>
      </c>
      <c r="P97">
        <f t="shared" si="194"/>
        <v>738.92</v>
      </c>
      <c r="Q97">
        <f t="shared" si="195"/>
        <v>0</v>
      </c>
      <c r="R97">
        <f t="shared" si="196"/>
        <v>0</v>
      </c>
      <c r="S97">
        <f t="shared" si="197"/>
        <v>0</v>
      </c>
      <c r="T97">
        <f t="shared" si="198"/>
        <v>0</v>
      </c>
      <c r="U97">
        <f t="shared" si="199"/>
        <v>0</v>
      </c>
      <c r="V97">
        <f t="shared" si="200"/>
        <v>0</v>
      </c>
      <c r="W97">
        <f t="shared" si="201"/>
        <v>0</v>
      </c>
      <c r="X97">
        <f t="shared" si="202"/>
        <v>0</v>
      </c>
      <c r="Y97">
        <f t="shared" si="203"/>
        <v>0</v>
      </c>
      <c r="AA97">
        <v>145033679</v>
      </c>
      <c r="AB97">
        <f t="shared" si="204"/>
        <v>6711.68</v>
      </c>
      <c r="AC97">
        <f t="shared" si="226"/>
        <v>6711.68</v>
      </c>
      <c r="AD97">
        <f>ROUND((((ET97)-(EU97))+AE97),2)</f>
        <v>0</v>
      </c>
      <c r="AE97">
        <f>ROUND((EU97),2)</f>
        <v>0</v>
      </c>
      <c r="AF97">
        <f>ROUND((EV97),2)</f>
        <v>0</v>
      </c>
      <c r="AG97">
        <f t="shared" si="205"/>
        <v>0</v>
      </c>
      <c r="AH97">
        <f>(EW97)</f>
        <v>0</v>
      </c>
      <c r="AI97">
        <f>(EX97)</f>
        <v>0</v>
      </c>
      <c r="AJ97">
        <f t="shared" si="206"/>
        <v>0</v>
      </c>
      <c r="AK97">
        <v>6711.68</v>
      </c>
      <c r="AL97">
        <v>6711.68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8.7100000000000009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3</v>
      </c>
      <c r="BM97">
        <v>1100</v>
      </c>
      <c r="BN97">
        <v>0</v>
      </c>
      <c r="BO97" t="s">
        <v>3</v>
      </c>
      <c r="BP97">
        <v>0</v>
      </c>
      <c r="BQ97">
        <v>8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207"/>
        <v>738.92</v>
      </c>
      <c r="CQ97">
        <f t="shared" si="208"/>
        <v>58458.732800000005</v>
      </c>
      <c r="CR97">
        <f>(((ET97)*BB97-(EU97)*BS97)+AE97*BS97)</f>
        <v>0</v>
      </c>
      <c r="CS97">
        <f t="shared" si="209"/>
        <v>0</v>
      </c>
      <c r="CT97">
        <f t="shared" si="210"/>
        <v>0</v>
      </c>
      <c r="CU97">
        <f t="shared" si="211"/>
        <v>0</v>
      </c>
      <c r="CV97">
        <f t="shared" si="212"/>
        <v>0</v>
      </c>
      <c r="CW97">
        <f t="shared" si="213"/>
        <v>0</v>
      </c>
      <c r="CX97">
        <f t="shared" si="214"/>
        <v>0</v>
      </c>
      <c r="CY97">
        <f t="shared" si="215"/>
        <v>0</v>
      </c>
      <c r="CZ97">
        <f t="shared" si="216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105</v>
      </c>
      <c r="DW97" t="s">
        <v>105</v>
      </c>
      <c r="DX97">
        <v>1000</v>
      </c>
      <c r="DZ97" t="s">
        <v>3</v>
      </c>
      <c r="EA97" t="s">
        <v>3</v>
      </c>
      <c r="EB97" t="s">
        <v>3</v>
      </c>
      <c r="EC97" t="s">
        <v>3</v>
      </c>
      <c r="EE97">
        <v>140625274</v>
      </c>
      <c r="EF97">
        <v>8</v>
      </c>
      <c r="EG97" t="s">
        <v>48</v>
      </c>
      <c r="EH97">
        <v>0</v>
      </c>
      <c r="EI97" t="s">
        <v>3</v>
      </c>
      <c r="EJ97">
        <v>1</v>
      </c>
      <c r="EK97">
        <v>1100</v>
      </c>
      <c r="EL97" t="s">
        <v>49</v>
      </c>
      <c r="EM97" t="s">
        <v>50</v>
      </c>
      <c r="EO97" t="s">
        <v>3</v>
      </c>
      <c r="EQ97">
        <v>0</v>
      </c>
      <c r="ER97">
        <v>6711.68</v>
      </c>
      <c r="ES97">
        <v>6711.68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5</v>
      </c>
      <c r="FC97">
        <v>1</v>
      </c>
      <c r="FD97">
        <v>18</v>
      </c>
      <c r="FF97">
        <v>65500</v>
      </c>
      <c r="FQ97">
        <v>0</v>
      </c>
      <c r="FR97">
        <f t="shared" si="217"/>
        <v>0</v>
      </c>
      <c r="FS97">
        <v>0</v>
      </c>
      <c r="FX97">
        <v>0</v>
      </c>
      <c r="FY97">
        <v>0</v>
      </c>
      <c r="GA97" t="s">
        <v>327</v>
      </c>
      <c r="GD97">
        <v>1</v>
      </c>
      <c r="GF97">
        <v>2043955990</v>
      </c>
      <c r="GG97">
        <v>2</v>
      </c>
      <c r="GH97">
        <v>3</v>
      </c>
      <c r="GI97">
        <v>4</v>
      </c>
      <c r="GJ97">
        <v>0</v>
      </c>
      <c r="GK97">
        <v>0</v>
      </c>
      <c r="GL97">
        <f t="shared" si="218"/>
        <v>0</v>
      </c>
      <c r="GM97">
        <f t="shared" si="219"/>
        <v>738.92</v>
      </c>
      <c r="GN97">
        <f t="shared" si="220"/>
        <v>738.92</v>
      </c>
      <c r="GO97">
        <f t="shared" si="221"/>
        <v>0</v>
      </c>
      <c r="GP97">
        <f t="shared" si="222"/>
        <v>0</v>
      </c>
      <c r="GR97">
        <v>1</v>
      </c>
      <c r="GS97">
        <v>1</v>
      </c>
      <c r="GT97">
        <v>0</v>
      </c>
      <c r="GU97" t="s">
        <v>3</v>
      </c>
      <c r="GV97">
        <f t="shared" si="223"/>
        <v>0</v>
      </c>
      <c r="GW97">
        <v>1</v>
      </c>
      <c r="GX97">
        <f t="shared" si="224"/>
        <v>0</v>
      </c>
      <c r="HA97">
        <v>0</v>
      </c>
      <c r="HB97">
        <v>0</v>
      </c>
      <c r="HC97">
        <f t="shared" si="225"/>
        <v>0</v>
      </c>
      <c r="HE97" t="s">
        <v>52</v>
      </c>
      <c r="HF97" t="s">
        <v>29</v>
      </c>
      <c r="HM97" t="s">
        <v>3</v>
      </c>
      <c r="HN97" t="s">
        <v>3</v>
      </c>
      <c r="HO97" t="s">
        <v>3</v>
      </c>
      <c r="HP97" t="s">
        <v>3</v>
      </c>
      <c r="HQ97" t="s">
        <v>3</v>
      </c>
      <c r="IK97">
        <v>0</v>
      </c>
    </row>
    <row r="98" spans="1:245" x14ac:dyDescent="0.2">
      <c r="A98">
        <v>17</v>
      </c>
      <c r="B98">
        <v>1</v>
      </c>
      <c r="C98">
        <f>ROW(SmtRes!A173)</f>
        <v>173</v>
      </c>
      <c r="D98">
        <f>ROW(EtalonRes!A173)</f>
        <v>173</v>
      </c>
      <c r="E98" t="s">
        <v>328</v>
      </c>
      <c r="F98" t="s">
        <v>329</v>
      </c>
      <c r="G98" t="s">
        <v>330</v>
      </c>
      <c r="H98" t="s">
        <v>66</v>
      </c>
      <c r="I98">
        <v>6.42</v>
      </c>
      <c r="J98">
        <v>0</v>
      </c>
      <c r="K98">
        <v>6.42</v>
      </c>
      <c r="O98">
        <f t="shared" si="193"/>
        <v>20246.169999999998</v>
      </c>
      <c r="P98">
        <f t="shared" si="194"/>
        <v>6975.8</v>
      </c>
      <c r="Q98">
        <f t="shared" si="195"/>
        <v>190.75</v>
      </c>
      <c r="R98">
        <f t="shared" si="196"/>
        <v>0</v>
      </c>
      <c r="S98">
        <f t="shared" si="197"/>
        <v>13079.62</v>
      </c>
      <c r="T98">
        <f t="shared" si="198"/>
        <v>0</v>
      </c>
      <c r="U98">
        <f t="shared" si="199"/>
        <v>52.419299999999993</v>
      </c>
      <c r="V98">
        <f t="shared" si="200"/>
        <v>0</v>
      </c>
      <c r="W98">
        <f t="shared" si="201"/>
        <v>0</v>
      </c>
      <c r="X98">
        <f t="shared" si="202"/>
        <v>13472.01</v>
      </c>
      <c r="Y98">
        <f t="shared" si="203"/>
        <v>7716.98</v>
      </c>
      <c r="AA98">
        <v>145033679</v>
      </c>
      <c r="AB98">
        <f t="shared" si="204"/>
        <v>193.91</v>
      </c>
      <c r="AC98">
        <f t="shared" si="226"/>
        <v>124.75</v>
      </c>
      <c r="AD98">
        <f>ROUND(((((ET98*1.15))-((EU98*1.15)))+AE98),2)</f>
        <v>2.4500000000000002</v>
      </c>
      <c r="AE98">
        <f>ROUND(((EU98*1.15)),2)</f>
        <v>0</v>
      </c>
      <c r="AF98">
        <f>ROUND(((EV98*1.15)),2)</f>
        <v>66.709999999999994</v>
      </c>
      <c r="AG98">
        <f t="shared" si="205"/>
        <v>0</v>
      </c>
      <c r="AH98">
        <f>((EW98*1.15))</f>
        <v>8.1649999999999991</v>
      </c>
      <c r="AI98">
        <f>((EX98*1.15))</f>
        <v>0</v>
      </c>
      <c r="AJ98">
        <f t="shared" si="206"/>
        <v>0</v>
      </c>
      <c r="AK98">
        <v>184.89</v>
      </c>
      <c r="AL98">
        <v>124.75</v>
      </c>
      <c r="AM98">
        <v>2.13</v>
      </c>
      <c r="AN98">
        <v>0</v>
      </c>
      <c r="AO98">
        <v>58.01</v>
      </c>
      <c r="AP98">
        <v>0</v>
      </c>
      <c r="AQ98">
        <v>7.1</v>
      </c>
      <c r="AR98">
        <v>0</v>
      </c>
      <c r="AS98">
        <v>0</v>
      </c>
      <c r="AT98">
        <v>103</v>
      </c>
      <c r="AU98">
        <v>59</v>
      </c>
      <c r="AV98">
        <v>1</v>
      </c>
      <c r="AW98">
        <v>1</v>
      </c>
      <c r="AZ98">
        <v>1</v>
      </c>
      <c r="BA98">
        <v>30.54</v>
      </c>
      <c r="BB98">
        <v>12.13</v>
      </c>
      <c r="BC98">
        <v>8.7100000000000009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331</v>
      </c>
      <c r="BM98">
        <v>46001</v>
      </c>
      <c r="BN98">
        <v>0</v>
      </c>
      <c r="BO98" t="s">
        <v>3</v>
      </c>
      <c r="BP98">
        <v>0</v>
      </c>
      <c r="BQ98">
        <v>2</v>
      </c>
      <c r="BR98">
        <v>0</v>
      </c>
      <c r="BS98">
        <v>30.54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103</v>
      </c>
      <c r="CA98">
        <v>59</v>
      </c>
      <c r="CB98" t="s">
        <v>3</v>
      </c>
      <c r="CE98">
        <v>0</v>
      </c>
      <c r="CF98">
        <v>0</v>
      </c>
      <c r="CG98">
        <v>0</v>
      </c>
      <c r="CM98">
        <v>0</v>
      </c>
      <c r="CN98" t="s">
        <v>1102</v>
      </c>
      <c r="CO98">
        <v>0</v>
      </c>
      <c r="CP98">
        <f t="shared" si="207"/>
        <v>20246.170000000002</v>
      </c>
      <c r="CQ98">
        <f t="shared" si="208"/>
        <v>1086.5725000000002</v>
      </c>
      <c r="CR98">
        <f>((((ET98*1.15))*BB98-((EU98*1.15))*BS98)+AE98*BS98)</f>
        <v>29.712434999999996</v>
      </c>
      <c r="CS98">
        <f t="shared" si="209"/>
        <v>0</v>
      </c>
      <c r="CT98">
        <f t="shared" si="210"/>
        <v>2037.3233999999998</v>
      </c>
      <c r="CU98">
        <f t="shared" si="211"/>
        <v>0</v>
      </c>
      <c r="CV98">
        <f t="shared" si="212"/>
        <v>8.1649999999999991</v>
      </c>
      <c r="CW98">
        <f t="shared" si="213"/>
        <v>0</v>
      </c>
      <c r="CX98">
        <f t="shared" si="214"/>
        <v>0</v>
      </c>
      <c r="CY98">
        <f t="shared" si="215"/>
        <v>13472.008600000001</v>
      </c>
      <c r="CZ98">
        <f t="shared" si="216"/>
        <v>7716.9758000000011</v>
      </c>
      <c r="DC98" t="s">
        <v>3</v>
      </c>
      <c r="DD98" t="s">
        <v>3</v>
      </c>
      <c r="DE98" t="s">
        <v>21</v>
      </c>
      <c r="DF98" t="s">
        <v>21</v>
      </c>
      <c r="DG98" t="s">
        <v>21</v>
      </c>
      <c r="DH98" t="s">
        <v>3</v>
      </c>
      <c r="DI98" t="s">
        <v>21</v>
      </c>
      <c r="DJ98" t="s">
        <v>21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1007</v>
      </c>
      <c r="DV98" t="s">
        <v>66</v>
      </c>
      <c r="DW98" t="s">
        <v>66</v>
      </c>
      <c r="DX98">
        <v>1</v>
      </c>
      <c r="DZ98" t="s">
        <v>3</v>
      </c>
      <c r="EA98" t="s">
        <v>3</v>
      </c>
      <c r="EB98" t="s">
        <v>3</v>
      </c>
      <c r="EC98" t="s">
        <v>3</v>
      </c>
      <c r="EE98">
        <v>140625131</v>
      </c>
      <c r="EF98">
        <v>2</v>
      </c>
      <c r="EG98" t="s">
        <v>22</v>
      </c>
      <c r="EH98">
        <v>40</v>
      </c>
      <c r="EI98" t="s">
        <v>23</v>
      </c>
      <c r="EJ98">
        <v>1</v>
      </c>
      <c r="EK98">
        <v>46001</v>
      </c>
      <c r="EL98" t="s">
        <v>57</v>
      </c>
      <c r="EM98" t="s">
        <v>25</v>
      </c>
      <c r="EO98" t="s">
        <v>26</v>
      </c>
      <c r="EQ98">
        <v>0</v>
      </c>
      <c r="ER98">
        <v>184.89</v>
      </c>
      <c r="ES98">
        <v>124.75</v>
      </c>
      <c r="ET98">
        <v>2.13</v>
      </c>
      <c r="EU98">
        <v>0</v>
      </c>
      <c r="EV98">
        <v>58.01</v>
      </c>
      <c r="EW98">
        <v>7.1</v>
      </c>
      <c r="EX98">
        <v>0</v>
      </c>
      <c r="EY98">
        <v>0</v>
      </c>
      <c r="FQ98">
        <v>0</v>
      </c>
      <c r="FR98">
        <f t="shared" si="217"/>
        <v>0</v>
      </c>
      <c r="FS98">
        <v>0</v>
      </c>
      <c r="FX98">
        <v>103</v>
      </c>
      <c r="FY98">
        <v>59</v>
      </c>
      <c r="GA98" t="s">
        <v>3</v>
      </c>
      <c r="GD98">
        <v>1</v>
      </c>
      <c r="GF98">
        <v>1827523305</v>
      </c>
      <c r="GG98">
        <v>2</v>
      </c>
      <c r="GH98">
        <v>1</v>
      </c>
      <c r="GI98">
        <v>4</v>
      </c>
      <c r="GJ98">
        <v>0</v>
      </c>
      <c r="GK98">
        <v>0</v>
      </c>
      <c r="GL98">
        <f t="shared" si="218"/>
        <v>0</v>
      </c>
      <c r="GM98">
        <f t="shared" si="219"/>
        <v>41435.160000000003</v>
      </c>
      <c r="GN98">
        <f t="shared" si="220"/>
        <v>41435.160000000003</v>
      </c>
      <c r="GO98">
        <f t="shared" si="221"/>
        <v>0</v>
      </c>
      <c r="GP98">
        <f t="shared" si="222"/>
        <v>0</v>
      </c>
      <c r="GR98">
        <v>0</v>
      </c>
      <c r="GS98">
        <v>3</v>
      </c>
      <c r="GT98">
        <v>0</v>
      </c>
      <c r="GU98" t="s">
        <v>3</v>
      </c>
      <c r="GV98">
        <f t="shared" si="223"/>
        <v>0</v>
      </c>
      <c r="GW98">
        <v>1</v>
      </c>
      <c r="GX98">
        <f t="shared" si="224"/>
        <v>0</v>
      </c>
      <c r="HA98">
        <v>0</v>
      </c>
      <c r="HB98">
        <v>0</v>
      </c>
      <c r="HC98">
        <f t="shared" si="225"/>
        <v>0</v>
      </c>
      <c r="HE98" t="s">
        <v>3</v>
      </c>
      <c r="HF98" t="s">
        <v>3</v>
      </c>
      <c r="HM98" t="s">
        <v>3</v>
      </c>
      <c r="HN98" t="s">
        <v>58</v>
      </c>
      <c r="HO98" t="s">
        <v>59</v>
      </c>
      <c r="HP98" t="s">
        <v>57</v>
      </c>
      <c r="HQ98" t="s">
        <v>57</v>
      </c>
      <c r="IK98">
        <v>0</v>
      </c>
    </row>
    <row r="99" spans="1:245" x14ac:dyDescent="0.2">
      <c r="A99">
        <v>18</v>
      </c>
      <c r="B99">
        <v>1</v>
      </c>
      <c r="C99">
        <v>172</v>
      </c>
      <c r="E99" t="s">
        <v>332</v>
      </c>
      <c r="F99" t="s">
        <v>311</v>
      </c>
      <c r="G99" t="s">
        <v>312</v>
      </c>
      <c r="H99" t="s">
        <v>66</v>
      </c>
      <c r="I99">
        <f>I98*J99</f>
        <v>-1.5407999999999999</v>
      </c>
      <c r="J99">
        <v>-0.24</v>
      </c>
      <c r="K99">
        <v>-0.24</v>
      </c>
      <c r="O99">
        <f t="shared" si="193"/>
        <v>-6975.91</v>
      </c>
      <c r="P99">
        <f t="shared" si="194"/>
        <v>-6975.91</v>
      </c>
      <c r="Q99">
        <f t="shared" si="195"/>
        <v>0</v>
      </c>
      <c r="R99">
        <f t="shared" si="196"/>
        <v>0</v>
      </c>
      <c r="S99">
        <f t="shared" si="197"/>
        <v>0</v>
      </c>
      <c r="T99">
        <f t="shared" si="198"/>
        <v>0</v>
      </c>
      <c r="U99">
        <f t="shared" si="199"/>
        <v>0</v>
      </c>
      <c r="V99">
        <f t="shared" si="200"/>
        <v>0</v>
      </c>
      <c r="W99">
        <f t="shared" si="201"/>
        <v>0</v>
      </c>
      <c r="X99">
        <f t="shared" si="202"/>
        <v>0</v>
      </c>
      <c r="Y99">
        <f t="shared" si="203"/>
        <v>0</v>
      </c>
      <c r="AA99">
        <v>145033679</v>
      </c>
      <c r="AB99">
        <f t="shared" si="204"/>
        <v>519.79999999999995</v>
      </c>
      <c r="AC99">
        <f t="shared" si="226"/>
        <v>519.79999999999995</v>
      </c>
      <c r="AD99">
        <f>ROUND((((ET99)-(EU99))+AE99),2)</f>
        <v>0</v>
      </c>
      <c r="AE99">
        <f t="shared" ref="AE99:AF101" si="229">ROUND((EU99),2)</f>
        <v>0</v>
      </c>
      <c r="AF99">
        <f t="shared" si="229"/>
        <v>0</v>
      </c>
      <c r="AG99">
        <f t="shared" si="205"/>
        <v>0</v>
      </c>
      <c r="AH99">
        <f t="shared" ref="AH99:AI101" si="230">(EW99)</f>
        <v>0</v>
      </c>
      <c r="AI99">
        <f t="shared" si="230"/>
        <v>0</v>
      </c>
      <c r="AJ99">
        <f t="shared" si="206"/>
        <v>0</v>
      </c>
      <c r="AK99">
        <v>519.79999999999995</v>
      </c>
      <c r="AL99">
        <v>519.79999999999995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103</v>
      </c>
      <c r="AU99">
        <v>59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8.7100000000000009</v>
      </c>
      <c r="BD99" t="s">
        <v>3</v>
      </c>
      <c r="BE99" t="s">
        <v>3</v>
      </c>
      <c r="BF99" t="s">
        <v>3</v>
      </c>
      <c r="BG99" t="s">
        <v>3</v>
      </c>
      <c r="BH99">
        <v>3</v>
      </c>
      <c r="BI99">
        <v>1</v>
      </c>
      <c r="BJ99" t="s">
        <v>313</v>
      </c>
      <c r="BM99">
        <v>46001</v>
      </c>
      <c r="BN99">
        <v>0</v>
      </c>
      <c r="BO99" t="s">
        <v>3</v>
      </c>
      <c r="BP99">
        <v>0</v>
      </c>
      <c r="BQ99">
        <v>2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103</v>
      </c>
      <c r="CA99">
        <v>59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3</v>
      </c>
      <c r="CO99">
        <v>0</v>
      </c>
      <c r="CP99">
        <f t="shared" si="207"/>
        <v>-6975.91</v>
      </c>
      <c r="CQ99">
        <f t="shared" si="208"/>
        <v>4527.4579999999996</v>
      </c>
      <c r="CR99">
        <f>(((ET99)*BB99-(EU99)*BS99)+AE99*BS99)</f>
        <v>0</v>
      </c>
      <c r="CS99">
        <f t="shared" si="209"/>
        <v>0</v>
      </c>
      <c r="CT99">
        <f t="shared" si="210"/>
        <v>0</v>
      </c>
      <c r="CU99">
        <f t="shared" si="211"/>
        <v>0</v>
      </c>
      <c r="CV99">
        <f t="shared" si="212"/>
        <v>0</v>
      </c>
      <c r="CW99">
        <f t="shared" si="213"/>
        <v>0</v>
      </c>
      <c r="CX99">
        <f t="shared" si="214"/>
        <v>0</v>
      </c>
      <c r="CY99">
        <f t="shared" si="215"/>
        <v>0</v>
      </c>
      <c r="CZ99">
        <f t="shared" si="216"/>
        <v>0</v>
      </c>
      <c r="DC99" t="s">
        <v>3</v>
      </c>
      <c r="DD99" t="s">
        <v>3</v>
      </c>
      <c r="DE99" t="s">
        <v>3</v>
      </c>
      <c r="DF99" t="s">
        <v>3</v>
      </c>
      <c r="DG99" t="s">
        <v>3</v>
      </c>
      <c r="DH99" t="s">
        <v>3</v>
      </c>
      <c r="DI99" t="s">
        <v>3</v>
      </c>
      <c r="DJ99" t="s">
        <v>3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1007</v>
      </c>
      <c r="DV99" t="s">
        <v>66</v>
      </c>
      <c r="DW99" t="s">
        <v>66</v>
      </c>
      <c r="DX99">
        <v>1</v>
      </c>
      <c r="DZ99" t="s">
        <v>3</v>
      </c>
      <c r="EA99" t="s">
        <v>3</v>
      </c>
      <c r="EB99" t="s">
        <v>3</v>
      </c>
      <c r="EC99" t="s">
        <v>3</v>
      </c>
      <c r="EE99">
        <v>140625131</v>
      </c>
      <c r="EF99">
        <v>2</v>
      </c>
      <c r="EG99" t="s">
        <v>22</v>
      </c>
      <c r="EH99">
        <v>40</v>
      </c>
      <c r="EI99" t="s">
        <v>23</v>
      </c>
      <c r="EJ99">
        <v>1</v>
      </c>
      <c r="EK99">
        <v>46001</v>
      </c>
      <c r="EL99" t="s">
        <v>57</v>
      </c>
      <c r="EM99" t="s">
        <v>25</v>
      </c>
      <c r="EO99" t="s">
        <v>3</v>
      </c>
      <c r="EQ99">
        <v>0</v>
      </c>
      <c r="ER99">
        <v>519.79999999999995</v>
      </c>
      <c r="ES99">
        <v>519.79999999999995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217"/>
        <v>0</v>
      </c>
      <c r="FS99">
        <v>0</v>
      </c>
      <c r="FX99">
        <v>103</v>
      </c>
      <c r="FY99">
        <v>59</v>
      </c>
      <c r="GA99" t="s">
        <v>3</v>
      </c>
      <c r="GD99">
        <v>1</v>
      </c>
      <c r="GF99">
        <v>-1568863701</v>
      </c>
      <c r="GG99">
        <v>2</v>
      </c>
      <c r="GH99">
        <v>1</v>
      </c>
      <c r="GI99">
        <v>4</v>
      </c>
      <c r="GJ99">
        <v>0</v>
      </c>
      <c r="GK99">
        <v>0</v>
      </c>
      <c r="GL99">
        <f t="shared" si="218"/>
        <v>0</v>
      </c>
      <c r="GM99">
        <f t="shared" si="219"/>
        <v>-6975.91</v>
      </c>
      <c r="GN99">
        <f t="shared" si="220"/>
        <v>-6975.91</v>
      </c>
      <c r="GO99">
        <f t="shared" si="221"/>
        <v>0</v>
      </c>
      <c r="GP99">
        <f t="shared" si="222"/>
        <v>0</v>
      </c>
      <c r="GR99">
        <v>0</v>
      </c>
      <c r="GS99">
        <v>3</v>
      </c>
      <c r="GT99">
        <v>0</v>
      </c>
      <c r="GU99" t="s">
        <v>3</v>
      </c>
      <c r="GV99">
        <f t="shared" si="223"/>
        <v>0</v>
      </c>
      <c r="GW99">
        <v>1</v>
      </c>
      <c r="GX99">
        <f t="shared" si="224"/>
        <v>0</v>
      </c>
      <c r="HA99">
        <v>0</v>
      </c>
      <c r="HB99">
        <v>0</v>
      </c>
      <c r="HC99">
        <f t="shared" si="225"/>
        <v>0</v>
      </c>
      <c r="HE99" t="s">
        <v>3</v>
      </c>
      <c r="HF99" t="s">
        <v>3</v>
      </c>
      <c r="HM99" t="s">
        <v>3</v>
      </c>
      <c r="HN99" t="s">
        <v>58</v>
      </c>
      <c r="HO99" t="s">
        <v>59</v>
      </c>
      <c r="HP99" t="s">
        <v>57</v>
      </c>
      <c r="HQ99" t="s">
        <v>57</v>
      </c>
      <c r="IK99">
        <v>0</v>
      </c>
    </row>
    <row r="100" spans="1:245" x14ac:dyDescent="0.2">
      <c r="A100">
        <v>17</v>
      </c>
      <c r="B100">
        <v>1</v>
      </c>
      <c r="E100" t="s">
        <v>333</v>
      </c>
      <c r="F100" t="s">
        <v>46</v>
      </c>
      <c r="G100" t="s">
        <v>315</v>
      </c>
      <c r="H100" t="s">
        <v>66</v>
      </c>
      <c r="I100">
        <f>ROUND(I98*0.24,9)</f>
        <v>1.5407999999999999</v>
      </c>
      <c r="J100">
        <v>0</v>
      </c>
      <c r="K100">
        <f>ROUND(I98*0.24,9)</f>
        <v>1.5407999999999999</v>
      </c>
      <c r="O100">
        <f t="shared" si="193"/>
        <v>5874.36</v>
      </c>
      <c r="P100">
        <f t="shared" si="194"/>
        <v>5874.36</v>
      </c>
      <c r="Q100">
        <f t="shared" si="195"/>
        <v>0</v>
      </c>
      <c r="R100">
        <f t="shared" si="196"/>
        <v>0</v>
      </c>
      <c r="S100">
        <f t="shared" si="197"/>
        <v>0</v>
      </c>
      <c r="T100">
        <f t="shared" si="198"/>
        <v>0</v>
      </c>
      <c r="U100">
        <f t="shared" si="199"/>
        <v>0</v>
      </c>
      <c r="V100">
        <f t="shared" si="200"/>
        <v>0</v>
      </c>
      <c r="W100">
        <f t="shared" si="201"/>
        <v>0</v>
      </c>
      <c r="X100">
        <f t="shared" si="202"/>
        <v>0</v>
      </c>
      <c r="Y100">
        <f t="shared" si="203"/>
        <v>0</v>
      </c>
      <c r="AA100">
        <v>145033679</v>
      </c>
      <c r="AB100">
        <f t="shared" si="204"/>
        <v>437.72</v>
      </c>
      <c r="AC100">
        <f t="shared" si="226"/>
        <v>437.72</v>
      </c>
      <c r="AD100">
        <f>ROUND((((ET100)-(EU100))+AE100),2)</f>
        <v>0</v>
      </c>
      <c r="AE100">
        <f t="shared" si="229"/>
        <v>0</v>
      </c>
      <c r="AF100">
        <f t="shared" si="229"/>
        <v>0</v>
      </c>
      <c r="AG100">
        <f t="shared" si="205"/>
        <v>0</v>
      </c>
      <c r="AH100">
        <f t="shared" si="230"/>
        <v>0</v>
      </c>
      <c r="AI100">
        <f t="shared" si="230"/>
        <v>0</v>
      </c>
      <c r="AJ100">
        <f t="shared" si="206"/>
        <v>0</v>
      </c>
      <c r="AK100">
        <v>437.72</v>
      </c>
      <c r="AL100">
        <v>437.72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8.7100000000000009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3</v>
      </c>
      <c r="BM100">
        <v>1100</v>
      </c>
      <c r="BN100">
        <v>0</v>
      </c>
      <c r="BO100" t="s">
        <v>3</v>
      </c>
      <c r="BP100">
        <v>0</v>
      </c>
      <c r="BQ100">
        <v>8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0</v>
      </c>
      <c r="CA100">
        <v>0</v>
      </c>
      <c r="CB100" t="s">
        <v>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207"/>
        <v>5874.36</v>
      </c>
      <c r="CQ100">
        <f t="shared" si="208"/>
        <v>3812.5412000000006</v>
      </c>
      <c r="CR100">
        <f>(((ET100)*BB100-(EU100)*BS100)+AE100*BS100)</f>
        <v>0</v>
      </c>
      <c r="CS100">
        <f t="shared" si="209"/>
        <v>0</v>
      </c>
      <c r="CT100">
        <f t="shared" si="210"/>
        <v>0</v>
      </c>
      <c r="CU100">
        <f t="shared" si="211"/>
        <v>0</v>
      </c>
      <c r="CV100">
        <f t="shared" si="212"/>
        <v>0</v>
      </c>
      <c r="CW100">
        <f t="shared" si="213"/>
        <v>0</v>
      </c>
      <c r="CX100">
        <f t="shared" si="214"/>
        <v>0</v>
      </c>
      <c r="CY100">
        <f t="shared" si="215"/>
        <v>0</v>
      </c>
      <c r="CZ100">
        <f t="shared" si="216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1007</v>
      </c>
      <c r="DV100" t="s">
        <v>66</v>
      </c>
      <c r="DW100" t="s">
        <v>66</v>
      </c>
      <c r="DX100">
        <v>1</v>
      </c>
      <c r="DZ100" t="s">
        <v>3</v>
      </c>
      <c r="EA100" t="s">
        <v>3</v>
      </c>
      <c r="EB100" t="s">
        <v>3</v>
      </c>
      <c r="EC100" t="s">
        <v>3</v>
      </c>
      <c r="EE100">
        <v>140625274</v>
      </c>
      <c r="EF100">
        <v>8</v>
      </c>
      <c r="EG100" t="s">
        <v>48</v>
      </c>
      <c r="EH100">
        <v>0</v>
      </c>
      <c r="EI100" t="s">
        <v>3</v>
      </c>
      <c r="EJ100">
        <v>1</v>
      </c>
      <c r="EK100">
        <v>1100</v>
      </c>
      <c r="EL100" t="s">
        <v>49</v>
      </c>
      <c r="EM100" t="s">
        <v>50</v>
      </c>
      <c r="EO100" t="s">
        <v>3</v>
      </c>
      <c r="EQ100">
        <v>0</v>
      </c>
      <c r="ER100">
        <v>437.72</v>
      </c>
      <c r="ES100">
        <v>437.72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5</v>
      </c>
      <c r="FC100">
        <v>1</v>
      </c>
      <c r="FD100">
        <v>18</v>
      </c>
      <c r="FF100">
        <v>4575</v>
      </c>
      <c r="FQ100">
        <v>0</v>
      </c>
      <c r="FR100">
        <f t="shared" si="217"/>
        <v>0</v>
      </c>
      <c r="FS100">
        <v>0</v>
      </c>
      <c r="FX100">
        <v>0</v>
      </c>
      <c r="FY100">
        <v>0</v>
      </c>
      <c r="GA100" t="s">
        <v>316</v>
      </c>
      <c r="GD100">
        <v>1</v>
      </c>
      <c r="GF100">
        <v>-316527483</v>
      </c>
      <c r="GG100">
        <v>2</v>
      </c>
      <c r="GH100">
        <v>3</v>
      </c>
      <c r="GI100">
        <v>4</v>
      </c>
      <c r="GJ100">
        <v>0</v>
      </c>
      <c r="GK100">
        <v>0</v>
      </c>
      <c r="GL100">
        <f t="shared" si="218"/>
        <v>0</v>
      </c>
      <c r="GM100">
        <f t="shared" si="219"/>
        <v>5874.36</v>
      </c>
      <c r="GN100">
        <f t="shared" si="220"/>
        <v>5874.36</v>
      </c>
      <c r="GO100">
        <f t="shared" si="221"/>
        <v>0</v>
      </c>
      <c r="GP100">
        <f t="shared" si="222"/>
        <v>0</v>
      </c>
      <c r="GR100">
        <v>1</v>
      </c>
      <c r="GS100">
        <v>1</v>
      </c>
      <c r="GT100">
        <v>0</v>
      </c>
      <c r="GU100" t="s">
        <v>3</v>
      </c>
      <c r="GV100">
        <f t="shared" si="223"/>
        <v>0</v>
      </c>
      <c r="GW100">
        <v>1</v>
      </c>
      <c r="GX100">
        <f t="shared" si="224"/>
        <v>0</v>
      </c>
      <c r="HA100">
        <v>0</v>
      </c>
      <c r="HB100">
        <v>0</v>
      </c>
      <c r="HC100">
        <f t="shared" si="225"/>
        <v>0</v>
      </c>
      <c r="HE100" t="s">
        <v>258</v>
      </c>
      <c r="HF100" t="s">
        <v>258</v>
      </c>
      <c r="HM100" t="s">
        <v>3</v>
      </c>
      <c r="HN100" t="s">
        <v>3</v>
      </c>
      <c r="HO100" t="s">
        <v>3</v>
      </c>
      <c r="HP100" t="s">
        <v>3</v>
      </c>
      <c r="HQ100" t="s">
        <v>3</v>
      </c>
      <c r="IK100">
        <v>0</v>
      </c>
    </row>
    <row r="101" spans="1:245" x14ac:dyDescent="0.2">
      <c r="A101">
        <v>17</v>
      </c>
      <c r="B101">
        <v>1</v>
      </c>
      <c r="E101" t="s">
        <v>334</v>
      </c>
      <c r="F101" t="s">
        <v>46</v>
      </c>
      <c r="G101" t="s">
        <v>318</v>
      </c>
      <c r="H101" t="s">
        <v>100</v>
      </c>
      <c r="I101">
        <f>ROUND(I98*400,9)</f>
        <v>2568</v>
      </c>
      <c r="J101">
        <v>0</v>
      </c>
      <c r="K101">
        <f>ROUND(I98*400,9)</f>
        <v>2568</v>
      </c>
      <c r="O101">
        <f t="shared" si="193"/>
        <v>50326.38</v>
      </c>
      <c r="P101">
        <f t="shared" si="194"/>
        <v>50326.38</v>
      </c>
      <c r="Q101">
        <f t="shared" si="195"/>
        <v>0</v>
      </c>
      <c r="R101">
        <f t="shared" si="196"/>
        <v>0</v>
      </c>
      <c r="S101">
        <f t="shared" si="197"/>
        <v>0</v>
      </c>
      <c r="T101">
        <f t="shared" si="198"/>
        <v>0</v>
      </c>
      <c r="U101">
        <f t="shared" si="199"/>
        <v>0</v>
      </c>
      <c r="V101">
        <f t="shared" si="200"/>
        <v>0</v>
      </c>
      <c r="W101">
        <f t="shared" si="201"/>
        <v>0</v>
      </c>
      <c r="X101">
        <f t="shared" si="202"/>
        <v>0</v>
      </c>
      <c r="Y101">
        <f t="shared" si="203"/>
        <v>0</v>
      </c>
      <c r="AA101">
        <v>145033679</v>
      </c>
      <c r="AB101">
        <f t="shared" si="204"/>
        <v>2.25</v>
      </c>
      <c r="AC101">
        <f t="shared" si="226"/>
        <v>2.25</v>
      </c>
      <c r="AD101">
        <f>ROUND((((ET101)-(EU101))+AE101),2)</f>
        <v>0</v>
      </c>
      <c r="AE101">
        <f t="shared" si="229"/>
        <v>0</v>
      </c>
      <c r="AF101">
        <f t="shared" si="229"/>
        <v>0</v>
      </c>
      <c r="AG101">
        <f t="shared" si="205"/>
        <v>0</v>
      </c>
      <c r="AH101">
        <f t="shared" si="230"/>
        <v>0</v>
      </c>
      <c r="AI101">
        <f t="shared" si="230"/>
        <v>0</v>
      </c>
      <c r="AJ101">
        <f t="shared" si="206"/>
        <v>0</v>
      </c>
      <c r="AK101">
        <v>2.25</v>
      </c>
      <c r="AL101">
        <v>2.25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8.7100000000000009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3</v>
      </c>
      <c r="BM101">
        <v>1100</v>
      </c>
      <c r="BN101">
        <v>0</v>
      </c>
      <c r="BO101" t="s">
        <v>3</v>
      </c>
      <c r="BP101">
        <v>0</v>
      </c>
      <c r="BQ101">
        <v>8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0</v>
      </c>
      <c r="CA101">
        <v>0</v>
      </c>
      <c r="CB101" t="s">
        <v>3</v>
      </c>
      <c r="CE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207"/>
        <v>50326.38</v>
      </c>
      <c r="CQ101">
        <f t="shared" si="208"/>
        <v>19.597500000000004</v>
      </c>
      <c r="CR101">
        <f>(((ET101)*BB101-(EU101)*BS101)+AE101*BS101)</f>
        <v>0</v>
      </c>
      <c r="CS101">
        <f t="shared" si="209"/>
        <v>0</v>
      </c>
      <c r="CT101">
        <f t="shared" si="210"/>
        <v>0</v>
      </c>
      <c r="CU101">
        <f t="shared" si="211"/>
        <v>0</v>
      </c>
      <c r="CV101">
        <f t="shared" si="212"/>
        <v>0</v>
      </c>
      <c r="CW101">
        <f t="shared" si="213"/>
        <v>0</v>
      </c>
      <c r="CX101">
        <f t="shared" si="214"/>
        <v>0</v>
      </c>
      <c r="CY101">
        <f t="shared" si="215"/>
        <v>0</v>
      </c>
      <c r="CZ101">
        <f t="shared" si="216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100</v>
      </c>
      <c r="DW101" t="s">
        <v>100</v>
      </c>
      <c r="DX101">
        <v>1</v>
      </c>
      <c r="DZ101" t="s">
        <v>3</v>
      </c>
      <c r="EA101" t="s">
        <v>3</v>
      </c>
      <c r="EB101" t="s">
        <v>3</v>
      </c>
      <c r="EC101" t="s">
        <v>3</v>
      </c>
      <c r="EE101">
        <v>140625274</v>
      </c>
      <c r="EF101">
        <v>8</v>
      </c>
      <c r="EG101" t="s">
        <v>48</v>
      </c>
      <c r="EH101">
        <v>0</v>
      </c>
      <c r="EI101" t="s">
        <v>3</v>
      </c>
      <c r="EJ101">
        <v>1</v>
      </c>
      <c r="EK101">
        <v>1100</v>
      </c>
      <c r="EL101" t="s">
        <v>49</v>
      </c>
      <c r="EM101" t="s">
        <v>50</v>
      </c>
      <c r="EO101" t="s">
        <v>3</v>
      </c>
      <c r="EQ101">
        <v>0</v>
      </c>
      <c r="ER101">
        <v>2.25</v>
      </c>
      <c r="ES101">
        <v>2.25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5</v>
      </c>
      <c r="FC101">
        <v>1</v>
      </c>
      <c r="FD101">
        <v>18</v>
      </c>
      <c r="FF101">
        <v>22</v>
      </c>
      <c r="FQ101">
        <v>0</v>
      </c>
      <c r="FR101">
        <f t="shared" si="217"/>
        <v>0</v>
      </c>
      <c r="FS101">
        <v>0</v>
      </c>
      <c r="FX101">
        <v>0</v>
      </c>
      <c r="FY101">
        <v>0</v>
      </c>
      <c r="GA101" t="s">
        <v>319</v>
      </c>
      <c r="GD101">
        <v>1</v>
      </c>
      <c r="GF101">
        <v>1871147767</v>
      </c>
      <c r="GG101">
        <v>2</v>
      </c>
      <c r="GH101">
        <v>3</v>
      </c>
      <c r="GI101">
        <v>4</v>
      </c>
      <c r="GJ101">
        <v>0</v>
      </c>
      <c r="GK101">
        <v>0</v>
      </c>
      <c r="GL101">
        <f t="shared" si="218"/>
        <v>0</v>
      </c>
      <c r="GM101">
        <f t="shared" si="219"/>
        <v>50326.38</v>
      </c>
      <c r="GN101">
        <f t="shared" si="220"/>
        <v>50326.38</v>
      </c>
      <c r="GO101">
        <f t="shared" si="221"/>
        <v>0</v>
      </c>
      <c r="GP101">
        <f t="shared" si="222"/>
        <v>0</v>
      </c>
      <c r="GR101">
        <v>1</v>
      </c>
      <c r="GS101">
        <v>1</v>
      </c>
      <c r="GT101">
        <v>0</v>
      </c>
      <c r="GU101" t="s">
        <v>3</v>
      </c>
      <c r="GV101">
        <f t="shared" si="223"/>
        <v>0</v>
      </c>
      <c r="GW101">
        <v>1</v>
      </c>
      <c r="GX101">
        <f t="shared" si="224"/>
        <v>0</v>
      </c>
      <c r="HA101">
        <v>0</v>
      </c>
      <c r="HB101">
        <v>0</v>
      </c>
      <c r="HC101">
        <f t="shared" si="225"/>
        <v>0</v>
      </c>
      <c r="HE101" t="s">
        <v>52</v>
      </c>
      <c r="HF101" t="s">
        <v>29</v>
      </c>
      <c r="HM101" t="s">
        <v>3</v>
      </c>
      <c r="HN101" t="s">
        <v>3</v>
      </c>
      <c r="HO101" t="s">
        <v>3</v>
      </c>
      <c r="HP101" t="s">
        <v>3</v>
      </c>
      <c r="HQ101" t="s">
        <v>3</v>
      </c>
      <c r="IK101">
        <v>0</v>
      </c>
    </row>
    <row r="102" spans="1:245" x14ac:dyDescent="0.2">
      <c r="A102">
        <v>17</v>
      </c>
      <c r="B102">
        <v>1</v>
      </c>
      <c r="C102">
        <f>ROW(SmtRes!A184)</f>
        <v>184</v>
      </c>
      <c r="D102">
        <f>ROW(EtalonRes!A184)</f>
        <v>184</v>
      </c>
      <c r="E102" t="s">
        <v>335</v>
      </c>
      <c r="F102" t="s">
        <v>336</v>
      </c>
      <c r="G102" t="s">
        <v>337</v>
      </c>
      <c r="H102" t="s">
        <v>19</v>
      </c>
      <c r="I102">
        <f>ROUND(ROUND((1.47*1.97*6)/100,4),9)</f>
        <v>0.17380000000000001</v>
      </c>
      <c r="J102">
        <v>0</v>
      </c>
      <c r="K102">
        <f>ROUND(ROUND((1.47*1.97*6)/100,4),9)</f>
        <v>0.17380000000000001</v>
      </c>
      <c r="O102">
        <f t="shared" si="193"/>
        <v>17696.38</v>
      </c>
      <c r="P102">
        <f t="shared" si="194"/>
        <v>8714.74</v>
      </c>
      <c r="Q102">
        <f t="shared" si="195"/>
        <v>715.72</v>
      </c>
      <c r="R102">
        <f t="shared" si="196"/>
        <v>358.33</v>
      </c>
      <c r="S102">
        <f t="shared" si="197"/>
        <v>8265.92</v>
      </c>
      <c r="T102">
        <f t="shared" si="198"/>
        <v>0</v>
      </c>
      <c r="U102">
        <f t="shared" si="199"/>
        <v>30.967757864999996</v>
      </c>
      <c r="V102">
        <f t="shared" si="200"/>
        <v>0.98435974999999998</v>
      </c>
      <c r="W102">
        <f t="shared" si="201"/>
        <v>0</v>
      </c>
      <c r="X102">
        <f t="shared" si="202"/>
        <v>9314.19</v>
      </c>
      <c r="Y102">
        <f t="shared" si="203"/>
        <v>4031.84</v>
      </c>
      <c r="AA102">
        <v>145033679</v>
      </c>
      <c r="AB102">
        <f t="shared" si="204"/>
        <v>7653.66</v>
      </c>
      <c r="AC102">
        <f t="shared" si="226"/>
        <v>5756.87</v>
      </c>
      <c r="AD102">
        <f>ROUND((((((ET102*1.15)*1.25))-(((EU102*1.15)*1.25)))+AE102),2)</f>
        <v>339.49</v>
      </c>
      <c r="AE102">
        <f>ROUND((((EU102*1.15)*1.25)),2)</f>
        <v>67.510000000000005</v>
      </c>
      <c r="AF102">
        <f>ROUND((((EV102*1.15)*1.15)),2)</f>
        <v>1557.3</v>
      </c>
      <c r="AG102">
        <f t="shared" si="205"/>
        <v>0</v>
      </c>
      <c r="AH102">
        <f>(((EW102*1.15)*1.15))</f>
        <v>178.18042499999996</v>
      </c>
      <c r="AI102">
        <f>(((EX102*1.15)*1.25))</f>
        <v>5.6637499999999994</v>
      </c>
      <c r="AJ102">
        <f t="shared" si="206"/>
        <v>0</v>
      </c>
      <c r="AK102">
        <v>7170.57</v>
      </c>
      <c r="AL102">
        <v>5756.87</v>
      </c>
      <c r="AM102">
        <v>236.16</v>
      </c>
      <c r="AN102">
        <v>46.96</v>
      </c>
      <c r="AO102">
        <v>1177.54</v>
      </c>
      <c r="AP102">
        <v>0</v>
      </c>
      <c r="AQ102">
        <v>134.72999999999999</v>
      </c>
      <c r="AR102">
        <v>3.94</v>
      </c>
      <c r="AS102">
        <v>0</v>
      </c>
      <c r="AT102">
        <v>108</v>
      </c>
      <c r="AU102">
        <v>46.75</v>
      </c>
      <c r="AV102">
        <v>1</v>
      </c>
      <c r="AW102">
        <v>1</v>
      </c>
      <c r="AZ102">
        <v>1</v>
      </c>
      <c r="BA102">
        <v>30.54</v>
      </c>
      <c r="BB102">
        <v>12.13</v>
      </c>
      <c r="BC102">
        <v>8.7100000000000009</v>
      </c>
      <c r="BD102" t="s">
        <v>3</v>
      </c>
      <c r="BE102" t="s">
        <v>3</v>
      </c>
      <c r="BF102" t="s">
        <v>3</v>
      </c>
      <c r="BG102" t="s">
        <v>3</v>
      </c>
      <c r="BH102">
        <v>0</v>
      </c>
      <c r="BI102">
        <v>1</v>
      </c>
      <c r="BJ102" t="s">
        <v>338</v>
      </c>
      <c r="BM102">
        <v>10001</v>
      </c>
      <c r="BN102">
        <v>0</v>
      </c>
      <c r="BO102" t="s">
        <v>3</v>
      </c>
      <c r="BP102">
        <v>0</v>
      </c>
      <c r="BQ102">
        <v>2</v>
      </c>
      <c r="BR102">
        <v>0</v>
      </c>
      <c r="BS102">
        <v>30.54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108</v>
      </c>
      <c r="CA102">
        <v>55</v>
      </c>
      <c r="CB102" t="s">
        <v>3</v>
      </c>
      <c r="CE102">
        <v>0</v>
      </c>
      <c r="CF102">
        <v>0</v>
      </c>
      <c r="CG102">
        <v>0</v>
      </c>
      <c r="CM102">
        <v>0</v>
      </c>
      <c r="CN102" t="s">
        <v>1106</v>
      </c>
      <c r="CO102">
        <v>0</v>
      </c>
      <c r="CP102">
        <f t="shared" si="207"/>
        <v>17696.379999999997</v>
      </c>
      <c r="CQ102">
        <f t="shared" si="208"/>
        <v>50142.337700000004</v>
      </c>
      <c r="CR102">
        <f>(((((ET102*1.15)*1.25))*BB102-(((EU102*1.15)*1.25))*BS102)+AE102*BS102)</f>
        <v>4118.0451000000012</v>
      </c>
      <c r="CS102">
        <f t="shared" si="209"/>
        <v>2061.7554</v>
      </c>
      <c r="CT102">
        <f t="shared" si="210"/>
        <v>47559.941999999995</v>
      </c>
      <c r="CU102">
        <f t="shared" si="211"/>
        <v>0</v>
      </c>
      <c r="CV102">
        <f t="shared" si="212"/>
        <v>178.18042499999996</v>
      </c>
      <c r="CW102">
        <f t="shared" si="213"/>
        <v>5.6637499999999994</v>
      </c>
      <c r="CX102">
        <f t="shared" si="214"/>
        <v>0</v>
      </c>
      <c r="CY102">
        <f t="shared" si="215"/>
        <v>9314.19</v>
      </c>
      <c r="CZ102">
        <f t="shared" si="216"/>
        <v>4031.836875</v>
      </c>
      <c r="DC102" t="s">
        <v>3</v>
      </c>
      <c r="DD102" t="s">
        <v>3</v>
      </c>
      <c r="DE102" t="s">
        <v>339</v>
      </c>
      <c r="DF102" t="s">
        <v>339</v>
      </c>
      <c r="DG102" t="s">
        <v>91</v>
      </c>
      <c r="DH102" t="s">
        <v>3</v>
      </c>
      <c r="DI102" t="s">
        <v>91</v>
      </c>
      <c r="DJ102" t="s">
        <v>339</v>
      </c>
      <c r="DK102" t="s">
        <v>3</v>
      </c>
      <c r="DL102" t="s">
        <v>3</v>
      </c>
      <c r="DM102" t="s">
        <v>92</v>
      </c>
      <c r="DN102">
        <v>0</v>
      </c>
      <c r="DO102">
        <v>0</v>
      </c>
      <c r="DP102">
        <v>1</v>
      </c>
      <c r="DQ102">
        <v>1</v>
      </c>
      <c r="DU102">
        <v>1005</v>
      </c>
      <c r="DV102" t="s">
        <v>19</v>
      </c>
      <c r="DW102" t="s">
        <v>19</v>
      </c>
      <c r="DX102">
        <v>100</v>
      </c>
      <c r="DZ102" t="s">
        <v>3</v>
      </c>
      <c r="EA102" t="s">
        <v>3</v>
      </c>
      <c r="EB102" t="s">
        <v>3</v>
      </c>
      <c r="EC102" t="s">
        <v>3</v>
      </c>
      <c r="EE102">
        <v>140625028</v>
      </c>
      <c r="EF102">
        <v>2</v>
      </c>
      <c r="EG102" t="s">
        <v>22</v>
      </c>
      <c r="EH102">
        <v>10</v>
      </c>
      <c r="EI102" t="s">
        <v>340</v>
      </c>
      <c r="EJ102">
        <v>1</v>
      </c>
      <c r="EK102">
        <v>10001</v>
      </c>
      <c r="EL102" t="s">
        <v>340</v>
      </c>
      <c r="EM102" t="s">
        <v>341</v>
      </c>
      <c r="EO102" t="s">
        <v>342</v>
      </c>
      <c r="EQ102">
        <v>0</v>
      </c>
      <c r="ER102">
        <v>7170.57</v>
      </c>
      <c r="ES102">
        <v>5756.87</v>
      </c>
      <c r="ET102">
        <v>236.16</v>
      </c>
      <c r="EU102">
        <v>46.96</v>
      </c>
      <c r="EV102">
        <v>1177.54</v>
      </c>
      <c r="EW102">
        <v>134.72999999999999</v>
      </c>
      <c r="EX102">
        <v>3.94</v>
      </c>
      <c r="EY102">
        <v>0</v>
      </c>
      <c r="FQ102">
        <v>0</v>
      </c>
      <c r="FR102">
        <f t="shared" si="217"/>
        <v>0</v>
      </c>
      <c r="FS102">
        <v>0</v>
      </c>
      <c r="FX102">
        <v>108</v>
      </c>
      <c r="FY102">
        <v>46.75</v>
      </c>
      <c r="GA102" t="s">
        <v>3</v>
      </c>
      <c r="GD102">
        <v>1</v>
      </c>
      <c r="GF102">
        <v>1836441700</v>
      </c>
      <c r="GG102">
        <v>2</v>
      </c>
      <c r="GH102">
        <v>1</v>
      </c>
      <c r="GI102">
        <v>4</v>
      </c>
      <c r="GJ102">
        <v>0</v>
      </c>
      <c r="GK102">
        <v>0</v>
      </c>
      <c r="GL102">
        <f t="shared" si="218"/>
        <v>0</v>
      </c>
      <c r="GM102">
        <f t="shared" si="219"/>
        <v>31042.41</v>
      </c>
      <c r="GN102">
        <f t="shared" si="220"/>
        <v>31042.41</v>
      </c>
      <c r="GO102">
        <f t="shared" si="221"/>
        <v>0</v>
      </c>
      <c r="GP102">
        <f t="shared" si="222"/>
        <v>0</v>
      </c>
      <c r="GR102">
        <v>0</v>
      </c>
      <c r="GS102">
        <v>3</v>
      </c>
      <c r="GT102">
        <v>0</v>
      </c>
      <c r="GU102" t="s">
        <v>3</v>
      </c>
      <c r="GV102">
        <f t="shared" si="223"/>
        <v>0</v>
      </c>
      <c r="GW102">
        <v>1</v>
      </c>
      <c r="GX102">
        <f t="shared" si="224"/>
        <v>0</v>
      </c>
      <c r="HA102">
        <v>0</v>
      </c>
      <c r="HB102">
        <v>0</v>
      </c>
      <c r="HC102">
        <f t="shared" si="225"/>
        <v>0</v>
      </c>
      <c r="HE102" t="s">
        <v>3</v>
      </c>
      <c r="HF102" t="s">
        <v>3</v>
      </c>
      <c r="HM102" t="s">
        <v>3</v>
      </c>
      <c r="HN102" t="s">
        <v>343</v>
      </c>
      <c r="HO102" t="s">
        <v>344</v>
      </c>
      <c r="HP102" t="s">
        <v>340</v>
      </c>
      <c r="HQ102" t="s">
        <v>340</v>
      </c>
      <c r="IK102">
        <v>0</v>
      </c>
    </row>
    <row r="103" spans="1:245" x14ac:dyDescent="0.2">
      <c r="A103">
        <v>17</v>
      </c>
      <c r="B103">
        <v>1</v>
      </c>
      <c r="E103" t="s">
        <v>345</v>
      </c>
      <c r="F103" t="s">
        <v>46</v>
      </c>
      <c r="G103" t="s">
        <v>346</v>
      </c>
      <c r="H103" t="s">
        <v>100</v>
      </c>
      <c r="I103">
        <v>6</v>
      </c>
      <c r="J103">
        <v>0</v>
      </c>
      <c r="K103">
        <v>6</v>
      </c>
      <c r="O103">
        <f t="shared" si="193"/>
        <v>51099.83</v>
      </c>
      <c r="P103">
        <f t="shared" si="194"/>
        <v>51099.83</v>
      </c>
      <c r="Q103">
        <f t="shared" si="195"/>
        <v>0</v>
      </c>
      <c r="R103">
        <f t="shared" si="196"/>
        <v>0</v>
      </c>
      <c r="S103">
        <f t="shared" si="197"/>
        <v>0</v>
      </c>
      <c r="T103">
        <f t="shared" si="198"/>
        <v>0</v>
      </c>
      <c r="U103">
        <f t="shared" si="199"/>
        <v>0</v>
      </c>
      <c r="V103">
        <f t="shared" si="200"/>
        <v>0</v>
      </c>
      <c r="W103">
        <f t="shared" si="201"/>
        <v>0</v>
      </c>
      <c r="X103">
        <f t="shared" si="202"/>
        <v>0</v>
      </c>
      <c r="Y103">
        <f t="shared" si="203"/>
        <v>0</v>
      </c>
      <c r="AA103">
        <v>145033679</v>
      </c>
      <c r="AB103">
        <f t="shared" si="204"/>
        <v>977.8</v>
      </c>
      <c r="AC103">
        <f t="shared" si="226"/>
        <v>977.8</v>
      </c>
      <c r="AD103">
        <f>ROUND((((ET103)-(EU103))+AE103),2)</f>
        <v>0</v>
      </c>
      <c r="AE103">
        <f>ROUND((EU103),2)</f>
        <v>0</v>
      </c>
      <c r="AF103">
        <f>ROUND((EV103),2)</f>
        <v>0</v>
      </c>
      <c r="AG103">
        <f t="shared" si="205"/>
        <v>0</v>
      </c>
      <c r="AH103">
        <f>(EW103)</f>
        <v>0</v>
      </c>
      <c r="AI103">
        <f>(EX103)</f>
        <v>0</v>
      </c>
      <c r="AJ103">
        <f t="shared" si="206"/>
        <v>0</v>
      </c>
      <c r="AK103">
        <v>977.8</v>
      </c>
      <c r="AL103">
        <v>977.8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8.7100000000000009</v>
      </c>
      <c r="BD103" t="s">
        <v>3</v>
      </c>
      <c r="BE103" t="s">
        <v>3</v>
      </c>
      <c r="BF103" t="s">
        <v>3</v>
      </c>
      <c r="BG103" t="s">
        <v>3</v>
      </c>
      <c r="BH103">
        <v>3</v>
      </c>
      <c r="BI103">
        <v>1</v>
      </c>
      <c r="BJ103" t="s">
        <v>3</v>
      </c>
      <c r="BM103">
        <v>1100</v>
      </c>
      <c r="BN103">
        <v>0</v>
      </c>
      <c r="BO103" t="s">
        <v>3</v>
      </c>
      <c r="BP103">
        <v>0</v>
      </c>
      <c r="BQ103">
        <v>8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0</v>
      </c>
      <c r="CA103">
        <v>0</v>
      </c>
      <c r="CB103" t="s">
        <v>3</v>
      </c>
      <c r="CE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207"/>
        <v>51099.83</v>
      </c>
      <c r="CQ103">
        <f t="shared" si="208"/>
        <v>8516.6380000000008</v>
      </c>
      <c r="CR103">
        <f>(((ET103)*BB103-(EU103)*BS103)+AE103*BS103)</f>
        <v>0</v>
      </c>
      <c r="CS103">
        <f t="shared" si="209"/>
        <v>0</v>
      </c>
      <c r="CT103">
        <f t="shared" si="210"/>
        <v>0</v>
      </c>
      <c r="CU103">
        <f t="shared" si="211"/>
        <v>0</v>
      </c>
      <c r="CV103">
        <f t="shared" si="212"/>
        <v>0</v>
      </c>
      <c r="CW103">
        <f t="shared" si="213"/>
        <v>0</v>
      </c>
      <c r="CX103">
        <f t="shared" si="214"/>
        <v>0</v>
      </c>
      <c r="CY103">
        <f t="shared" si="215"/>
        <v>0</v>
      </c>
      <c r="CZ103">
        <f t="shared" si="216"/>
        <v>0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100</v>
      </c>
      <c r="DW103" t="s">
        <v>100</v>
      </c>
      <c r="DX103">
        <v>1</v>
      </c>
      <c r="DZ103" t="s">
        <v>3</v>
      </c>
      <c r="EA103" t="s">
        <v>3</v>
      </c>
      <c r="EB103" t="s">
        <v>3</v>
      </c>
      <c r="EC103" t="s">
        <v>3</v>
      </c>
      <c r="EE103">
        <v>140625274</v>
      </c>
      <c r="EF103">
        <v>8</v>
      </c>
      <c r="EG103" t="s">
        <v>48</v>
      </c>
      <c r="EH103">
        <v>0</v>
      </c>
      <c r="EI103" t="s">
        <v>3</v>
      </c>
      <c r="EJ103">
        <v>1</v>
      </c>
      <c r="EK103">
        <v>1100</v>
      </c>
      <c r="EL103" t="s">
        <v>49</v>
      </c>
      <c r="EM103" t="s">
        <v>50</v>
      </c>
      <c r="EO103" t="s">
        <v>3</v>
      </c>
      <c r="EQ103">
        <v>0</v>
      </c>
      <c r="ER103">
        <v>977.8</v>
      </c>
      <c r="ES103">
        <v>977.8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5</v>
      </c>
      <c r="FC103">
        <v>1</v>
      </c>
      <c r="FD103">
        <v>18</v>
      </c>
      <c r="FF103">
        <v>9542.51</v>
      </c>
      <c r="FQ103">
        <v>0</v>
      </c>
      <c r="FR103">
        <f t="shared" si="217"/>
        <v>0</v>
      </c>
      <c r="FS103">
        <v>0</v>
      </c>
      <c r="FX103">
        <v>0</v>
      </c>
      <c r="FY103">
        <v>0</v>
      </c>
      <c r="GA103" t="s">
        <v>347</v>
      </c>
      <c r="GD103">
        <v>1</v>
      </c>
      <c r="GF103">
        <v>-1347751419</v>
      </c>
      <c r="GG103">
        <v>2</v>
      </c>
      <c r="GH103">
        <v>3</v>
      </c>
      <c r="GI103">
        <v>4</v>
      </c>
      <c r="GJ103">
        <v>0</v>
      </c>
      <c r="GK103">
        <v>0</v>
      </c>
      <c r="GL103">
        <f t="shared" si="218"/>
        <v>0</v>
      </c>
      <c r="GM103">
        <f t="shared" si="219"/>
        <v>51099.83</v>
      </c>
      <c r="GN103">
        <f t="shared" si="220"/>
        <v>51099.83</v>
      </c>
      <c r="GO103">
        <f t="shared" si="221"/>
        <v>0</v>
      </c>
      <c r="GP103">
        <f t="shared" si="222"/>
        <v>0</v>
      </c>
      <c r="GR103">
        <v>1</v>
      </c>
      <c r="GS103">
        <v>1</v>
      </c>
      <c r="GT103">
        <v>0</v>
      </c>
      <c r="GU103" t="s">
        <v>3</v>
      </c>
      <c r="GV103">
        <f t="shared" si="223"/>
        <v>0</v>
      </c>
      <c r="GW103">
        <v>1</v>
      </c>
      <c r="GX103">
        <f t="shared" si="224"/>
        <v>0</v>
      </c>
      <c r="HA103">
        <v>0</v>
      </c>
      <c r="HB103">
        <v>0</v>
      </c>
      <c r="HC103">
        <f t="shared" si="225"/>
        <v>0</v>
      </c>
      <c r="HE103" t="s">
        <v>52</v>
      </c>
      <c r="HF103" t="s">
        <v>29</v>
      </c>
      <c r="HM103" t="s">
        <v>3</v>
      </c>
      <c r="HN103" t="s">
        <v>3</v>
      </c>
      <c r="HO103" t="s">
        <v>3</v>
      </c>
      <c r="HP103" t="s">
        <v>3</v>
      </c>
      <c r="HQ103" t="s">
        <v>3</v>
      </c>
      <c r="IK103">
        <v>0</v>
      </c>
    </row>
    <row r="104" spans="1:245" x14ac:dyDescent="0.2">
      <c r="A104">
        <v>17</v>
      </c>
      <c r="B104">
        <v>1</v>
      </c>
      <c r="C104">
        <f>ROW(SmtRes!A195)</f>
        <v>195</v>
      </c>
      <c r="D104">
        <f>ROW(EtalonRes!A195)</f>
        <v>195</v>
      </c>
      <c r="E104" t="s">
        <v>348</v>
      </c>
      <c r="F104" t="s">
        <v>349</v>
      </c>
      <c r="G104" t="s">
        <v>350</v>
      </c>
      <c r="H104" t="s">
        <v>19</v>
      </c>
      <c r="I104">
        <f>ROUND(ROUND((1.97*0.97*6)/100,4),9)</f>
        <v>0.1147</v>
      </c>
      <c r="J104">
        <v>0</v>
      </c>
      <c r="K104">
        <f>ROUND(ROUND((1.97*0.97*6)/100,4),9)</f>
        <v>0.1147</v>
      </c>
      <c r="O104">
        <f t="shared" si="193"/>
        <v>15308.59</v>
      </c>
      <c r="P104">
        <f t="shared" si="194"/>
        <v>7990.81</v>
      </c>
      <c r="Q104">
        <f t="shared" si="195"/>
        <v>541.1</v>
      </c>
      <c r="R104">
        <f t="shared" si="196"/>
        <v>311.24</v>
      </c>
      <c r="S104">
        <f t="shared" si="197"/>
        <v>6776.68</v>
      </c>
      <c r="T104">
        <f t="shared" si="198"/>
        <v>0</v>
      </c>
      <c r="U104">
        <f t="shared" si="199"/>
        <v>25.388480827499997</v>
      </c>
      <c r="V104">
        <f t="shared" si="200"/>
        <v>0.83100149999999984</v>
      </c>
      <c r="W104">
        <f t="shared" si="201"/>
        <v>0</v>
      </c>
      <c r="X104">
        <f t="shared" si="202"/>
        <v>7654.95</v>
      </c>
      <c r="Y104">
        <f t="shared" si="203"/>
        <v>3313.6</v>
      </c>
      <c r="AA104">
        <v>145033679</v>
      </c>
      <c r="AB104">
        <f t="shared" si="204"/>
        <v>10321.99</v>
      </c>
      <c r="AC104">
        <f t="shared" si="226"/>
        <v>7998.51</v>
      </c>
      <c r="AD104">
        <f>ROUND((((((ET104*1.15)*1.25))-(((EU104*1.15)*1.25)))+AE104),2)</f>
        <v>388.91</v>
      </c>
      <c r="AE104">
        <f>ROUND((((EU104*1.15)*1.25)),2)</f>
        <v>88.85</v>
      </c>
      <c r="AF104">
        <f>ROUND((((EV104*1.15)*1.15)),2)</f>
        <v>1934.57</v>
      </c>
      <c r="AG104">
        <f t="shared" si="205"/>
        <v>0</v>
      </c>
      <c r="AH104">
        <f>(((EW104*1.15)*1.15))</f>
        <v>221.34682499999997</v>
      </c>
      <c r="AI104">
        <f>(((EX104*1.15)*1.25))</f>
        <v>7.2449999999999992</v>
      </c>
      <c r="AJ104">
        <f t="shared" si="206"/>
        <v>0</v>
      </c>
      <c r="AK104">
        <v>9731.8700000000008</v>
      </c>
      <c r="AL104">
        <v>7998.51</v>
      </c>
      <c r="AM104">
        <v>270.55</v>
      </c>
      <c r="AN104">
        <v>61.81</v>
      </c>
      <c r="AO104">
        <v>1462.81</v>
      </c>
      <c r="AP104">
        <v>0</v>
      </c>
      <c r="AQ104">
        <v>167.37</v>
      </c>
      <c r="AR104">
        <v>5.04</v>
      </c>
      <c r="AS104">
        <v>0</v>
      </c>
      <c r="AT104">
        <v>108</v>
      </c>
      <c r="AU104">
        <v>46.75</v>
      </c>
      <c r="AV104">
        <v>1</v>
      </c>
      <c r="AW104">
        <v>1</v>
      </c>
      <c r="AZ104">
        <v>1</v>
      </c>
      <c r="BA104">
        <v>30.54</v>
      </c>
      <c r="BB104">
        <v>12.13</v>
      </c>
      <c r="BC104">
        <v>8.7100000000000009</v>
      </c>
      <c r="BD104" t="s">
        <v>3</v>
      </c>
      <c r="BE104" t="s">
        <v>3</v>
      </c>
      <c r="BF104" t="s">
        <v>3</v>
      </c>
      <c r="BG104" t="s">
        <v>3</v>
      </c>
      <c r="BH104">
        <v>0</v>
      </c>
      <c r="BI104">
        <v>1</v>
      </c>
      <c r="BJ104" t="s">
        <v>351</v>
      </c>
      <c r="BM104">
        <v>10001</v>
      </c>
      <c r="BN104">
        <v>0</v>
      </c>
      <c r="BO104" t="s">
        <v>3</v>
      </c>
      <c r="BP104">
        <v>0</v>
      </c>
      <c r="BQ104">
        <v>2</v>
      </c>
      <c r="BR104">
        <v>0</v>
      </c>
      <c r="BS104">
        <v>30.54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108</v>
      </c>
      <c r="CA104">
        <v>55</v>
      </c>
      <c r="CB104" t="s">
        <v>3</v>
      </c>
      <c r="CE104">
        <v>0</v>
      </c>
      <c r="CF104">
        <v>0</v>
      </c>
      <c r="CG104">
        <v>0</v>
      </c>
      <c r="CM104">
        <v>0</v>
      </c>
      <c r="CN104" t="s">
        <v>1106</v>
      </c>
      <c r="CO104">
        <v>0</v>
      </c>
      <c r="CP104">
        <f t="shared" si="207"/>
        <v>15308.59</v>
      </c>
      <c r="CQ104">
        <f t="shared" si="208"/>
        <v>69667.022100000002</v>
      </c>
      <c r="CR104">
        <f>(((((ET104*1.15)*1.25))*BB104-(((EU104*1.15)*1.25))*BS104)+AE104*BS104)</f>
        <v>4717.4892687499996</v>
      </c>
      <c r="CS104">
        <f t="shared" si="209"/>
        <v>2713.4789999999998</v>
      </c>
      <c r="CT104">
        <f t="shared" si="210"/>
        <v>59081.767799999994</v>
      </c>
      <c r="CU104">
        <f t="shared" si="211"/>
        <v>0</v>
      </c>
      <c r="CV104">
        <f t="shared" si="212"/>
        <v>221.34682499999997</v>
      </c>
      <c r="CW104">
        <f t="shared" si="213"/>
        <v>7.2449999999999992</v>
      </c>
      <c r="CX104">
        <f t="shared" si="214"/>
        <v>0</v>
      </c>
      <c r="CY104">
        <f t="shared" si="215"/>
        <v>7654.9535999999998</v>
      </c>
      <c r="CZ104">
        <f t="shared" si="216"/>
        <v>3313.6026000000002</v>
      </c>
      <c r="DC104" t="s">
        <v>3</v>
      </c>
      <c r="DD104" t="s">
        <v>3</v>
      </c>
      <c r="DE104" t="s">
        <v>339</v>
      </c>
      <c r="DF104" t="s">
        <v>339</v>
      </c>
      <c r="DG104" t="s">
        <v>91</v>
      </c>
      <c r="DH104" t="s">
        <v>3</v>
      </c>
      <c r="DI104" t="s">
        <v>91</v>
      </c>
      <c r="DJ104" t="s">
        <v>339</v>
      </c>
      <c r="DK104" t="s">
        <v>3</v>
      </c>
      <c r="DL104" t="s">
        <v>3</v>
      </c>
      <c r="DM104" t="s">
        <v>92</v>
      </c>
      <c r="DN104">
        <v>0</v>
      </c>
      <c r="DO104">
        <v>0</v>
      </c>
      <c r="DP104">
        <v>1</v>
      </c>
      <c r="DQ104">
        <v>1</v>
      </c>
      <c r="DU104">
        <v>1005</v>
      </c>
      <c r="DV104" t="s">
        <v>19</v>
      </c>
      <c r="DW104" t="s">
        <v>19</v>
      </c>
      <c r="DX104">
        <v>100</v>
      </c>
      <c r="DZ104" t="s">
        <v>3</v>
      </c>
      <c r="EA104" t="s">
        <v>3</v>
      </c>
      <c r="EB104" t="s">
        <v>3</v>
      </c>
      <c r="EC104" t="s">
        <v>3</v>
      </c>
      <c r="EE104">
        <v>140625028</v>
      </c>
      <c r="EF104">
        <v>2</v>
      </c>
      <c r="EG104" t="s">
        <v>22</v>
      </c>
      <c r="EH104">
        <v>10</v>
      </c>
      <c r="EI104" t="s">
        <v>340</v>
      </c>
      <c r="EJ104">
        <v>1</v>
      </c>
      <c r="EK104">
        <v>10001</v>
      </c>
      <c r="EL104" t="s">
        <v>340</v>
      </c>
      <c r="EM104" t="s">
        <v>341</v>
      </c>
      <c r="EO104" t="s">
        <v>342</v>
      </c>
      <c r="EQ104">
        <v>0</v>
      </c>
      <c r="ER104">
        <v>9731.8700000000008</v>
      </c>
      <c r="ES104">
        <v>7998.51</v>
      </c>
      <c r="ET104">
        <v>270.55</v>
      </c>
      <c r="EU104">
        <v>61.81</v>
      </c>
      <c r="EV104">
        <v>1462.81</v>
      </c>
      <c r="EW104">
        <v>167.37</v>
      </c>
      <c r="EX104">
        <v>5.04</v>
      </c>
      <c r="EY104">
        <v>0</v>
      </c>
      <c r="FQ104">
        <v>0</v>
      </c>
      <c r="FR104">
        <f t="shared" si="217"/>
        <v>0</v>
      </c>
      <c r="FS104">
        <v>0</v>
      </c>
      <c r="FX104">
        <v>108</v>
      </c>
      <c r="FY104">
        <v>46.75</v>
      </c>
      <c r="GA104" t="s">
        <v>3</v>
      </c>
      <c r="GD104">
        <v>1</v>
      </c>
      <c r="GF104">
        <v>908174471</v>
      </c>
      <c r="GG104">
        <v>2</v>
      </c>
      <c r="GH104">
        <v>1</v>
      </c>
      <c r="GI104">
        <v>4</v>
      </c>
      <c r="GJ104">
        <v>0</v>
      </c>
      <c r="GK104">
        <v>0</v>
      </c>
      <c r="GL104">
        <f t="shared" si="218"/>
        <v>0</v>
      </c>
      <c r="GM104">
        <f t="shared" si="219"/>
        <v>26277.14</v>
      </c>
      <c r="GN104">
        <f t="shared" si="220"/>
        <v>26277.14</v>
      </c>
      <c r="GO104">
        <f t="shared" si="221"/>
        <v>0</v>
      </c>
      <c r="GP104">
        <f t="shared" si="222"/>
        <v>0</v>
      </c>
      <c r="GR104">
        <v>0</v>
      </c>
      <c r="GS104">
        <v>3</v>
      </c>
      <c r="GT104">
        <v>0</v>
      </c>
      <c r="GU104" t="s">
        <v>3</v>
      </c>
      <c r="GV104">
        <f t="shared" si="223"/>
        <v>0</v>
      </c>
      <c r="GW104">
        <v>1</v>
      </c>
      <c r="GX104">
        <f t="shared" si="224"/>
        <v>0</v>
      </c>
      <c r="HA104">
        <v>0</v>
      </c>
      <c r="HB104">
        <v>0</v>
      </c>
      <c r="HC104">
        <f t="shared" si="225"/>
        <v>0</v>
      </c>
      <c r="HE104" t="s">
        <v>3</v>
      </c>
      <c r="HF104" t="s">
        <v>3</v>
      </c>
      <c r="HM104" t="s">
        <v>3</v>
      </c>
      <c r="HN104" t="s">
        <v>343</v>
      </c>
      <c r="HO104" t="s">
        <v>344</v>
      </c>
      <c r="HP104" t="s">
        <v>340</v>
      </c>
      <c r="HQ104" t="s">
        <v>340</v>
      </c>
      <c r="IK104">
        <v>0</v>
      </c>
    </row>
    <row r="105" spans="1:245" x14ac:dyDescent="0.2">
      <c r="A105">
        <v>17</v>
      </c>
      <c r="B105">
        <v>1</v>
      </c>
      <c r="E105" t="s">
        <v>352</v>
      </c>
      <c r="F105" t="s">
        <v>46</v>
      </c>
      <c r="G105" t="s">
        <v>353</v>
      </c>
      <c r="H105" t="s">
        <v>100</v>
      </c>
      <c r="I105">
        <v>6</v>
      </c>
      <c r="J105">
        <v>0</v>
      </c>
      <c r="K105">
        <v>6</v>
      </c>
      <c r="O105">
        <f t="shared" si="193"/>
        <v>31835.22</v>
      </c>
      <c r="P105">
        <f t="shared" si="194"/>
        <v>31835.22</v>
      </c>
      <c r="Q105">
        <f t="shared" si="195"/>
        <v>0</v>
      </c>
      <c r="R105">
        <f t="shared" si="196"/>
        <v>0</v>
      </c>
      <c r="S105">
        <f t="shared" si="197"/>
        <v>0</v>
      </c>
      <c r="T105">
        <f t="shared" si="198"/>
        <v>0</v>
      </c>
      <c r="U105">
        <f t="shared" si="199"/>
        <v>0</v>
      </c>
      <c r="V105">
        <f t="shared" si="200"/>
        <v>0</v>
      </c>
      <c r="W105">
        <f t="shared" si="201"/>
        <v>0</v>
      </c>
      <c r="X105">
        <f t="shared" si="202"/>
        <v>0</v>
      </c>
      <c r="Y105">
        <f t="shared" si="203"/>
        <v>0</v>
      </c>
      <c r="AA105">
        <v>145033679</v>
      </c>
      <c r="AB105">
        <f t="shared" si="204"/>
        <v>609.16999999999996</v>
      </c>
      <c r="AC105">
        <f t="shared" si="226"/>
        <v>609.16999999999996</v>
      </c>
      <c r="AD105">
        <f>ROUND((((ET105)-(EU105))+AE105),2)</f>
        <v>0</v>
      </c>
      <c r="AE105">
        <f>ROUND((EU105),2)</f>
        <v>0</v>
      </c>
      <c r="AF105">
        <f>ROUND((EV105),2)</f>
        <v>0</v>
      </c>
      <c r="AG105">
        <f t="shared" si="205"/>
        <v>0</v>
      </c>
      <c r="AH105">
        <f>(EW105)</f>
        <v>0</v>
      </c>
      <c r="AI105">
        <f>(EX105)</f>
        <v>0</v>
      </c>
      <c r="AJ105">
        <f t="shared" si="206"/>
        <v>0</v>
      </c>
      <c r="AK105">
        <v>609.17000000000007</v>
      </c>
      <c r="AL105">
        <v>609.17000000000007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8.7100000000000009</v>
      </c>
      <c r="BD105" t="s">
        <v>3</v>
      </c>
      <c r="BE105" t="s">
        <v>3</v>
      </c>
      <c r="BF105" t="s">
        <v>3</v>
      </c>
      <c r="BG105" t="s">
        <v>3</v>
      </c>
      <c r="BH105">
        <v>3</v>
      </c>
      <c r="BI105">
        <v>1</v>
      </c>
      <c r="BJ105" t="s">
        <v>3</v>
      </c>
      <c r="BM105">
        <v>1100</v>
      </c>
      <c r="BN105">
        <v>0</v>
      </c>
      <c r="BO105" t="s">
        <v>3</v>
      </c>
      <c r="BP105">
        <v>0</v>
      </c>
      <c r="BQ105">
        <v>8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0</v>
      </c>
      <c r="CA105">
        <v>0</v>
      </c>
      <c r="CB105" t="s">
        <v>3</v>
      </c>
      <c r="CE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207"/>
        <v>31835.22</v>
      </c>
      <c r="CQ105">
        <f t="shared" si="208"/>
        <v>5305.8707000000004</v>
      </c>
      <c r="CR105">
        <f>(((ET105)*BB105-(EU105)*BS105)+AE105*BS105)</f>
        <v>0</v>
      </c>
      <c r="CS105">
        <f t="shared" si="209"/>
        <v>0</v>
      </c>
      <c r="CT105">
        <f t="shared" si="210"/>
        <v>0</v>
      </c>
      <c r="CU105">
        <f t="shared" si="211"/>
        <v>0</v>
      </c>
      <c r="CV105">
        <f t="shared" si="212"/>
        <v>0</v>
      </c>
      <c r="CW105">
        <f t="shared" si="213"/>
        <v>0</v>
      </c>
      <c r="CX105">
        <f t="shared" si="214"/>
        <v>0</v>
      </c>
      <c r="CY105">
        <f t="shared" si="215"/>
        <v>0</v>
      </c>
      <c r="CZ105">
        <f t="shared" si="216"/>
        <v>0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100</v>
      </c>
      <c r="DW105" t="s">
        <v>100</v>
      </c>
      <c r="DX105">
        <v>1</v>
      </c>
      <c r="DZ105" t="s">
        <v>3</v>
      </c>
      <c r="EA105" t="s">
        <v>3</v>
      </c>
      <c r="EB105" t="s">
        <v>3</v>
      </c>
      <c r="EC105" t="s">
        <v>3</v>
      </c>
      <c r="EE105">
        <v>140625274</v>
      </c>
      <c r="EF105">
        <v>8</v>
      </c>
      <c r="EG105" t="s">
        <v>48</v>
      </c>
      <c r="EH105">
        <v>0</v>
      </c>
      <c r="EI105" t="s">
        <v>3</v>
      </c>
      <c r="EJ105">
        <v>1</v>
      </c>
      <c r="EK105">
        <v>1100</v>
      </c>
      <c r="EL105" t="s">
        <v>49</v>
      </c>
      <c r="EM105" t="s">
        <v>50</v>
      </c>
      <c r="EO105" t="s">
        <v>3</v>
      </c>
      <c r="EQ105">
        <v>0</v>
      </c>
      <c r="ER105">
        <v>609.17000000000007</v>
      </c>
      <c r="ES105">
        <v>609.17000000000007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5</v>
      </c>
      <c r="FC105">
        <v>1</v>
      </c>
      <c r="FD105">
        <v>18</v>
      </c>
      <c r="FF105">
        <v>5944.95</v>
      </c>
      <c r="FQ105">
        <v>0</v>
      </c>
      <c r="FR105">
        <f t="shared" si="217"/>
        <v>0</v>
      </c>
      <c r="FS105">
        <v>0</v>
      </c>
      <c r="FX105">
        <v>0</v>
      </c>
      <c r="FY105">
        <v>0</v>
      </c>
      <c r="GA105" t="s">
        <v>354</v>
      </c>
      <c r="GD105">
        <v>1</v>
      </c>
      <c r="GF105">
        <v>1889493598</v>
      </c>
      <c r="GG105">
        <v>2</v>
      </c>
      <c r="GH105">
        <v>3</v>
      </c>
      <c r="GI105">
        <v>4</v>
      </c>
      <c r="GJ105">
        <v>0</v>
      </c>
      <c r="GK105">
        <v>0</v>
      </c>
      <c r="GL105">
        <f t="shared" si="218"/>
        <v>0</v>
      </c>
      <c r="GM105">
        <f t="shared" si="219"/>
        <v>31835.22</v>
      </c>
      <c r="GN105">
        <f t="shared" si="220"/>
        <v>31835.22</v>
      </c>
      <c r="GO105">
        <f t="shared" si="221"/>
        <v>0</v>
      </c>
      <c r="GP105">
        <f t="shared" si="222"/>
        <v>0</v>
      </c>
      <c r="GR105">
        <v>1</v>
      </c>
      <c r="GS105">
        <v>1</v>
      </c>
      <c r="GT105">
        <v>0</v>
      </c>
      <c r="GU105" t="s">
        <v>3</v>
      </c>
      <c r="GV105">
        <f t="shared" si="223"/>
        <v>0</v>
      </c>
      <c r="GW105">
        <v>1</v>
      </c>
      <c r="GX105">
        <f t="shared" si="224"/>
        <v>0</v>
      </c>
      <c r="HA105">
        <v>0</v>
      </c>
      <c r="HB105">
        <v>0</v>
      </c>
      <c r="HC105">
        <f t="shared" si="225"/>
        <v>0</v>
      </c>
      <c r="HE105" t="s">
        <v>52</v>
      </c>
      <c r="HF105" t="s">
        <v>29</v>
      </c>
      <c r="HM105" t="s">
        <v>3</v>
      </c>
      <c r="HN105" t="s">
        <v>3</v>
      </c>
      <c r="HO105" t="s">
        <v>3</v>
      </c>
      <c r="HP105" t="s">
        <v>3</v>
      </c>
      <c r="HQ105" t="s">
        <v>3</v>
      </c>
      <c r="IK105">
        <v>0</v>
      </c>
    </row>
    <row r="106" spans="1:245" x14ac:dyDescent="0.2">
      <c r="A106">
        <v>17</v>
      </c>
      <c r="B106">
        <v>1</v>
      </c>
      <c r="C106">
        <f>ROW(SmtRes!A196)</f>
        <v>196</v>
      </c>
      <c r="D106">
        <f>ROW(EtalonRes!A196)</f>
        <v>196</v>
      </c>
      <c r="E106" t="s">
        <v>355</v>
      </c>
      <c r="F106" t="s">
        <v>129</v>
      </c>
      <c r="G106" t="s">
        <v>130</v>
      </c>
      <c r="H106" t="s">
        <v>131</v>
      </c>
      <c r="I106">
        <v>8.5500000000000007</v>
      </c>
      <c r="J106">
        <v>0</v>
      </c>
      <c r="K106">
        <v>8.5500000000000007</v>
      </c>
      <c r="O106">
        <f t="shared" si="193"/>
        <v>1316.03</v>
      </c>
      <c r="P106">
        <f t="shared" si="194"/>
        <v>0</v>
      </c>
      <c r="Q106">
        <f t="shared" si="195"/>
        <v>0</v>
      </c>
      <c r="R106">
        <f t="shared" si="196"/>
        <v>0</v>
      </c>
      <c r="S106">
        <f t="shared" si="197"/>
        <v>1316.03</v>
      </c>
      <c r="T106">
        <f t="shared" si="198"/>
        <v>0</v>
      </c>
      <c r="U106">
        <f t="shared" si="199"/>
        <v>5.7028499999999998</v>
      </c>
      <c r="V106">
        <f t="shared" si="200"/>
        <v>0</v>
      </c>
      <c r="W106">
        <f t="shared" si="201"/>
        <v>0</v>
      </c>
      <c r="X106">
        <f t="shared" si="202"/>
        <v>1184.43</v>
      </c>
      <c r="Y106">
        <f t="shared" si="203"/>
        <v>605.37</v>
      </c>
      <c r="AA106">
        <v>145033679</v>
      </c>
      <c r="AB106">
        <f t="shared" si="204"/>
        <v>5.04</v>
      </c>
      <c r="AC106">
        <f t="shared" si="226"/>
        <v>0</v>
      </c>
      <c r="AD106">
        <f>ROUND(((((ET106*1.15))-((EU106*1.15)))+AE106),2)</f>
        <v>0</v>
      </c>
      <c r="AE106">
        <f>ROUND(((EU106*1.15)),2)</f>
        <v>0</v>
      </c>
      <c r="AF106">
        <f>ROUND(((EV106*1.15)),2)</f>
        <v>5.04</v>
      </c>
      <c r="AG106">
        <f t="shared" si="205"/>
        <v>0</v>
      </c>
      <c r="AH106">
        <f>((EW106*1.15))</f>
        <v>0.66699999999999993</v>
      </c>
      <c r="AI106">
        <f>((EX106*1.15))</f>
        <v>0</v>
      </c>
      <c r="AJ106">
        <f t="shared" si="206"/>
        <v>0</v>
      </c>
      <c r="AK106">
        <v>4.38</v>
      </c>
      <c r="AL106">
        <v>0</v>
      </c>
      <c r="AM106">
        <v>0</v>
      </c>
      <c r="AN106">
        <v>0</v>
      </c>
      <c r="AO106">
        <v>4.38</v>
      </c>
      <c r="AP106">
        <v>0</v>
      </c>
      <c r="AQ106">
        <v>0.57999999999999996</v>
      </c>
      <c r="AR106">
        <v>0</v>
      </c>
      <c r="AS106">
        <v>0</v>
      </c>
      <c r="AT106">
        <v>90</v>
      </c>
      <c r="AU106">
        <v>46</v>
      </c>
      <c r="AV106">
        <v>1</v>
      </c>
      <c r="AW106">
        <v>1</v>
      </c>
      <c r="AZ106">
        <v>1</v>
      </c>
      <c r="BA106">
        <v>30.54</v>
      </c>
      <c r="BB106">
        <v>12.13</v>
      </c>
      <c r="BC106">
        <v>8.7100000000000009</v>
      </c>
      <c r="BD106" t="s">
        <v>3</v>
      </c>
      <c r="BE106" t="s">
        <v>3</v>
      </c>
      <c r="BF106" t="s">
        <v>3</v>
      </c>
      <c r="BG106" t="s">
        <v>3</v>
      </c>
      <c r="BH106">
        <v>0</v>
      </c>
      <c r="BI106">
        <v>1</v>
      </c>
      <c r="BJ106" t="s">
        <v>132</v>
      </c>
      <c r="BM106">
        <v>62001</v>
      </c>
      <c r="BN106">
        <v>0</v>
      </c>
      <c r="BO106" t="s">
        <v>3</v>
      </c>
      <c r="BP106">
        <v>0</v>
      </c>
      <c r="BQ106">
        <v>6</v>
      </c>
      <c r="BR106">
        <v>0</v>
      </c>
      <c r="BS106">
        <v>30.54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90</v>
      </c>
      <c r="CA106">
        <v>46</v>
      </c>
      <c r="CB106" t="s">
        <v>3</v>
      </c>
      <c r="CE106">
        <v>0</v>
      </c>
      <c r="CF106">
        <v>0</v>
      </c>
      <c r="CG106">
        <v>0</v>
      </c>
      <c r="CM106">
        <v>0</v>
      </c>
      <c r="CN106" t="s">
        <v>1103</v>
      </c>
      <c r="CO106">
        <v>0</v>
      </c>
      <c r="CP106">
        <f t="shared" si="207"/>
        <v>1316.03</v>
      </c>
      <c r="CQ106">
        <f t="shared" si="208"/>
        <v>0</v>
      </c>
      <c r="CR106">
        <f>((((ET106*1.15))*BB106-((EU106*1.15))*BS106)+AE106*BS106)</f>
        <v>0</v>
      </c>
      <c r="CS106">
        <f t="shared" si="209"/>
        <v>0</v>
      </c>
      <c r="CT106">
        <f t="shared" si="210"/>
        <v>153.92159999999998</v>
      </c>
      <c r="CU106">
        <f t="shared" si="211"/>
        <v>0</v>
      </c>
      <c r="CV106">
        <f t="shared" si="212"/>
        <v>0.66699999999999993</v>
      </c>
      <c r="CW106">
        <f t="shared" si="213"/>
        <v>0</v>
      </c>
      <c r="CX106">
        <f t="shared" si="214"/>
        <v>0</v>
      </c>
      <c r="CY106">
        <f t="shared" si="215"/>
        <v>1184.4269999999999</v>
      </c>
      <c r="CZ106">
        <f t="shared" si="216"/>
        <v>605.37379999999996</v>
      </c>
      <c r="DC106" t="s">
        <v>3</v>
      </c>
      <c r="DD106" t="s">
        <v>3</v>
      </c>
      <c r="DE106" t="s">
        <v>21</v>
      </c>
      <c r="DF106" t="s">
        <v>21</v>
      </c>
      <c r="DG106" t="s">
        <v>21</v>
      </c>
      <c r="DH106" t="s">
        <v>3</v>
      </c>
      <c r="DI106" t="s">
        <v>21</v>
      </c>
      <c r="DJ106" t="s">
        <v>21</v>
      </c>
      <c r="DK106" t="s">
        <v>3</v>
      </c>
      <c r="DL106" t="s">
        <v>3</v>
      </c>
      <c r="DM106" t="s">
        <v>3</v>
      </c>
      <c r="DN106">
        <v>0</v>
      </c>
      <c r="DO106">
        <v>0</v>
      </c>
      <c r="DP106">
        <v>1</v>
      </c>
      <c r="DQ106">
        <v>1</v>
      </c>
      <c r="DU106">
        <v>1005</v>
      </c>
      <c r="DV106" t="s">
        <v>131</v>
      </c>
      <c r="DW106" t="s">
        <v>131</v>
      </c>
      <c r="DX106">
        <v>1</v>
      </c>
      <c r="DZ106" t="s">
        <v>3</v>
      </c>
      <c r="EA106" t="s">
        <v>3</v>
      </c>
      <c r="EB106" t="s">
        <v>3</v>
      </c>
      <c r="EC106" t="s">
        <v>3</v>
      </c>
      <c r="EE106">
        <v>140625162</v>
      </c>
      <c r="EF106">
        <v>6</v>
      </c>
      <c r="EG106" t="s">
        <v>34</v>
      </c>
      <c r="EH106">
        <v>96</v>
      </c>
      <c r="EI106" t="s">
        <v>133</v>
      </c>
      <c r="EJ106">
        <v>1</v>
      </c>
      <c r="EK106">
        <v>62001</v>
      </c>
      <c r="EL106" t="s">
        <v>133</v>
      </c>
      <c r="EM106" t="s">
        <v>134</v>
      </c>
      <c r="EO106" t="s">
        <v>37</v>
      </c>
      <c r="EQ106">
        <v>0</v>
      </c>
      <c r="ER106">
        <v>4.38</v>
      </c>
      <c r="ES106">
        <v>0</v>
      </c>
      <c r="ET106">
        <v>0</v>
      </c>
      <c r="EU106">
        <v>0</v>
      </c>
      <c r="EV106">
        <v>4.38</v>
      </c>
      <c r="EW106">
        <v>0.57999999999999996</v>
      </c>
      <c r="EX106">
        <v>0</v>
      </c>
      <c r="EY106">
        <v>0</v>
      </c>
      <c r="FQ106">
        <v>0</v>
      </c>
      <c r="FR106">
        <f t="shared" si="217"/>
        <v>0</v>
      </c>
      <c r="FS106">
        <v>0</v>
      </c>
      <c r="FX106">
        <v>90</v>
      </c>
      <c r="FY106">
        <v>46</v>
      </c>
      <c r="GA106" t="s">
        <v>3</v>
      </c>
      <c r="GD106">
        <v>1</v>
      </c>
      <c r="GF106">
        <v>-1813295300</v>
      </c>
      <c r="GG106">
        <v>2</v>
      </c>
      <c r="GH106">
        <v>1</v>
      </c>
      <c r="GI106">
        <v>4</v>
      </c>
      <c r="GJ106">
        <v>0</v>
      </c>
      <c r="GK106">
        <v>0</v>
      </c>
      <c r="GL106">
        <f t="shared" si="218"/>
        <v>0</v>
      </c>
      <c r="GM106">
        <f t="shared" si="219"/>
        <v>3105.83</v>
      </c>
      <c r="GN106">
        <f t="shared" si="220"/>
        <v>3105.83</v>
      </c>
      <c r="GO106">
        <f t="shared" si="221"/>
        <v>0</v>
      </c>
      <c r="GP106">
        <f t="shared" si="222"/>
        <v>0</v>
      </c>
      <c r="GR106">
        <v>0</v>
      </c>
      <c r="GS106">
        <v>3</v>
      </c>
      <c r="GT106">
        <v>0</v>
      </c>
      <c r="GU106" t="s">
        <v>3</v>
      </c>
      <c r="GV106">
        <f t="shared" si="223"/>
        <v>0</v>
      </c>
      <c r="GW106">
        <v>1</v>
      </c>
      <c r="GX106">
        <f t="shared" si="224"/>
        <v>0</v>
      </c>
      <c r="HA106">
        <v>0</v>
      </c>
      <c r="HB106">
        <v>0</v>
      </c>
      <c r="HC106">
        <f t="shared" si="225"/>
        <v>0</v>
      </c>
      <c r="HE106" t="s">
        <v>3</v>
      </c>
      <c r="HF106" t="s">
        <v>3</v>
      </c>
      <c r="HM106" t="s">
        <v>3</v>
      </c>
      <c r="HN106" t="s">
        <v>135</v>
      </c>
      <c r="HO106" t="s">
        <v>136</v>
      </c>
      <c r="HP106" t="s">
        <v>133</v>
      </c>
      <c r="HQ106" t="s">
        <v>133</v>
      </c>
      <c r="IK106">
        <v>0</v>
      </c>
    </row>
    <row r="107" spans="1:245" x14ac:dyDescent="0.2">
      <c r="A107">
        <v>17</v>
      </c>
      <c r="B107">
        <v>1</v>
      </c>
      <c r="C107">
        <f>ROW(SmtRes!A204)</f>
        <v>204</v>
      </c>
      <c r="D107">
        <f>ROW(EtalonRes!A204)</f>
        <v>204</v>
      </c>
      <c r="E107" t="s">
        <v>356</v>
      </c>
      <c r="F107" t="s">
        <v>357</v>
      </c>
      <c r="G107" t="s">
        <v>358</v>
      </c>
      <c r="H107" t="s">
        <v>19</v>
      </c>
      <c r="I107">
        <f>ROUND(8.55/100,9)</f>
        <v>8.5500000000000007E-2</v>
      </c>
      <c r="J107">
        <v>0</v>
      </c>
      <c r="K107">
        <f>ROUND(8.55/100,9)</f>
        <v>8.5500000000000007E-2</v>
      </c>
      <c r="O107">
        <f t="shared" si="193"/>
        <v>2501.5</v>
      </c>
      <c r="P107">
        <f t="shared" si="194"/>
        <v>1.35</v>
      </c>
      <c r="Q107">
        <f t="shared" si="195"/>
        <v>35.520000000000003</v>
      </c>
      <c r="R107">
        <f t="shared" si="196"/>
        <v>54.47</v>
      </c>
      <c r="S107">
        <f t="shared" si="197"/>
        <v>2464.63</v>
      </c>
      <c r="T107">
        <f t="shared" si="198"/>
        <v>0</v>
      </c>
      <c r="U107">
        <f t="shared" si="199"/>
        <v>9.4608806624999993</v>
      </c>
      <c r="V107">
        <f t="shared" si="200"/>
        <v>0.164694375</v>
      </c>
      <c r="W107">
        <f t="shared" si="201"/>
        <v>0</v>
      </c>
      <c r="X107">
        <f t="shared" si="202"/>
        <v>2519.1</v>
      </c>
      <c r="Y107">
        <f t="shared" si="203"/>
        <v>1049.21</v>
      </c>
      <c r="AA107">
        <v>145033679</v>
      </c>
      <c r="AB107">
        <f t="shared" si="204"/>
        <v>979.93</v>
      </c>
      <c r="AC107">
        <f t="shared" si="226"/>
        <v>1.81</v>
      </c>
      <c r="AD107">
        <f>ROUND((((((ET107*1.25)*1.15))-(((EU107*1.25)*1.15)))+AE107),2)</f>
        <v>34.24</v>
      </c>
      <c r="AE107">
        <f>ROUND((((EU107*1.25)*1.15)),2)</f>
        <v>20.86</v>
      </c>
      <c r="AF107">
        <f>ROUND((((EV107*1.15)*1.15)),2)</f>
        <v>943.88</v>
      </c>
      <c r="AG107">
        <f t="shared" si="205"/>
        <v>0</v>
      </c>
      <c r="AH107">
        <f>(((EW107*1.15)*1.15))</f>
        <v>110.65357499999999</v>
      </c>
      <c r="AI107">
        <f>(((EX107*1.25)*1.15))</f>
        <v>1.9262499999999998</v>
      </c>
      <c r="AJ107">
        <f t="shared" si="206"/>
        <v>0</v>
      </c>
      <c r="AK107">
        <v>739.34</v>
      </c>
      <c r="AL107">
        <v>1.81</v>
      </c>
      <c r="AM107">
        <v>23.82</v>
      </c>
      <c r="AN107">
        <v>14.51</v>
      </c>
      <c r="AO107">
        <v>713.71</v>
      </c>
      <c r="AP107">
        <v>0</v>
      </c>
      <c r="AQ107">
        <v>83.67</v>
      </c>
      <c r="AR107">
        <v>1.34</v>
      </c>
      <c r="AS107">
        <v>0</v>
      </c>
      <c r="AT107">
        <v>100</v>
      </c>
      <c r="AU107">
        <v>41.65</v>
      </c>
      <c r="AV107">
        <v>1</v>
      </c>
      <c r="AW107">
        <v>1</v>
      </c>
      <c r="AZ107">
        <v>1</v>
      </c>
      <c r="BA107">
        <v>30.54</v>
      </c>
      <c r="BB107">
        <v>12.13</v>
      </c>
      <c r="BC107">
        <v>8.7100000000000009</v>
      </c>
      <c r="BD107" t="s">
        <v>3</v>
      </c>
      <c r="BE107" t="s">
        <v>3</v>
      </c>
      <c r="BF107" t="s">
        <v>3</v>
      </c>
      <c r="BG107" t="s">
        <v>3</v>
      </c>
      <c r="BH107">
        <v>0</v>
      </c>
      <c r="BI107">
        <v>1</v>
      </c>
      <c r="BJ107" t="s">
        <v>359</v>
      </c>
      <c r="BM107">
        <v>15001</v>
      </c>
      <c r="BN107">
        <v>0</v>
      </c>
      <c r="BO107" t="s">
        <v>3</v>
      </c>
      <c r="BP107">
        <v>0</v>
      </c>
      <c r="BQ107">
        <v>2</v>
      </c>
      <c r="BR107">
        <v>0</v>
      </c>
      <c r="BS107">
        <v>30.54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100</v>
      </c>
      <c r="CA107">
        <v>49</v>
      </c>
      <c r="CB107" t="s">
        <v>3</v>
      </c>
      <c r="CE107">
        <v>0</v>
      </c>
      <c r="CF107">
        <v>0</v>
      </c>
      <c r="CG107">
        <v>0</v>
      </c>
      <c r="CM107">
        <v>0</v>
      </c>
      <c r="CN107" t="s">
        <v>1104</v>
      </c>
      <c r="CO107">
        <v>0</v>
      </c>
      <c r="CP107">
        <f t="shared" si="207"/>
        <v>2501.5</v>
      </c>
      <c r="CQ107">
        <f t="shared" si="208"/>
        <v>15.765100000000002</v>
      </c>
      <c r="CR107">
        <f>(((((ET107*1.25)*1.15))*BB107-(((EU107*1.25)*1.15))*BS107)+AE107*BS107)</f>
        <v>415.40362500000003</v>
      </c>
      <c r="CS107">
        <f t="shared" si="209"/>
        <v>637.06439999999998</v>
      </c>
      <c r="CT107">
        <f t="shared" si="210"/>
        <v>28826.0952</v>
      </c>
      <c r="CU107">
        <f t="shared" si="211"/>
        <v>0</v>
      </c>
      <c r="CV107">
        <f t="shared" si="212"/>
        <v>110.65357499999999</v>
      </c>
      <c r="CW107">
        <f t="shared" si="213"/>
        <v>1.9262499999999998</v>
      </c>
      <c r="CX107">
        <f t="shared" si="214"/>
        <v>0</v>
      </c>
      <c r="CY107">
        <f t="shared" si="215"/>
        <v>2519.1</v>
      </c>
      <c r="CZ107">
        <f t="shared" si="216"/>
        <v>1049.20515</v>
      </c>
      <c r="DC107" t="s">
        <v>3</v>
      </c>
      <c r="DD107" t="s">
        <v>3</v>
      </c>
      <c r="DE107" t="s">
        <v>90</v>
      </c>
      <c r="DF107" t="s">
        <v>90</v>
      </c>
      <c r="DG107" t="s">
        <v>91</v>
      </c>
      <c r="DH107" t="s">
        <v>3</v>
      </c>
      <c r="DI107" t="s">
        <v>91</v>
      </c>
      <c r="DJ107" t="s">
        <v>90</v>
      </c>
      <c r="DK107" t="s">
        <v>3</v>
      </c>
      <c r="DL107" t="s">
        <v>3</v>
      </c>
      <c r="DM107" t="s">
        <v>92</v>
      </c>
      <c r="DN107">
        <v>0</v>
      </c>
      <c r="DO107">
        <v>0</v>
      </c>
      <c r="DP107">
        <v>1</v>
      </c>
      <c r="DQ107">
        <v>1</v>
      </c>
      <c r="DU107">
        <v>1005</v>
      </c>
      <c r="DV107" t="s">
        <v>19</v>
      </c>
      <c r="DW107" t="s">
        <v>19</v>
      </c>
      <c r="DX107">
        <v>100</v>
      </c>
      <c r="DZ107" t="s">
        <v>3</v>
      </c>
      <c r="EA107" t="s">
        <v>3</v>
      </c>
      <c r="EB107" t="s">
        <v>3</v>
      </c>
      <c r="EC107" t="s">
        <v>3</v>
      </c>
      <c r="EE107">
        <v>140625061</v>
      </c>
      <c r="EF107">
        <v>2</v>
      </c>
      <c r="EG107" t="s">
        <v>22</v>
      </c>
      <c r="EH107">
        <v>15</v>
      </c>
      <c r="EI107" t="s">
        <v>141</v>
      </c>
      <c r="EJ107">
        <v>1</v>
      </c>
      <c r="EK107">
        <v>15001</v>
      </c>
      <c r="EL107" t="s">
        <v>141</v>
      </c>
      <c r="EM107" t="s">
        <v>142</v>
      </c>
      <c r="EO107" t="s">
        <v>95</v>
      </c>
      <c r="EQ107">
        <v>0</v>
      </c>
      <c r="ER107">
        <v>739.34</v>
      </c>
      <c r="ES107">
        <v>1.81</v>
      </c>
      <c r="ET107">
        <v>23.82</v>
      </c>
      <c r="EU107">
        <v>14.51</v>
      </c>
      <c r="EV107">
        <v>713.71</v>
      </c>
      <c r="EW107">
        <v>83.67</v>
      </c>
      <c r="EX107">
        <v>1.34</v>
      </c>
      <c r="EY107">
        <v>0</v>
      </c>
      <c r="FQ107">
        <v>0</v>
      </c>
      <c r="FR107">
        <f t="shared" si="217"/>
        <v>0</v>
      </c>
      <c r="FS107">
        <v>0</v>
      </c>
      <c r="FX107">
        <v>100</v>
      </c>
      <c r="FY107">
        <v>41.65</v>
      </c>
      <c r="GA107" t="s">
        <v>3</v>
      </c>
      <c r="GD107">
        <v>1</v>
      </c>
      <c r="GF107">
        <v>1268612395</v>
      </c>
      <c r="GG107">
        <v>2</v>
      </c>
      <c r="GH107">
        <v>1</v>
      </c>
      <c r="GI107">
        <v>4</v>
      </c>
      <c r="GJ107">
        <v>0</v>
      </c>
      <c r="GK107">
        <v>0</v>
      </c>
      <c r="GL107">
        <f t="shared" si="218"/>
        <v>0</v>
      </c>
      <c r="GM107">
        <f t="shared" si="219"/>
        <v>6069.81</v>
      </c>
      <c r="GN107">
        <f t="shared" si="220"/>
        <v>6069.81</v>
      </c>
      <c r="GO107">
        <f t="shared" si="221"/>
        <v>0</v>
      </c>
      <c r="GP107">
        <f t="shared" si="222"/>
        <v>0</v>
      </c>
      <c r="GR107">
        <v>0</v>
      </c>
      <c r="GS107">
        <v>3</v>
      </c>
      <c r="GT107">
        <v>0</v>
      </c>
      <c r="GU107" t="s">
        <v>3</v>
      </c>
      <c r="GV107">
        <f t="shared" si="223"/>
        <v>0</v>
      </c>
      <c r="GW107">
        <v>1</v>
      </c>
      <c r="GX107">
        <f t="shared" si="224"/>
        <v>0</v>
      </c>
      <c r="HA107">
        <v>0</v>
      </c>
      <c r="HB107">
        <v>0</v>
      </c>
      <c r="HC107">
        <f t="shared" si="225"/>
        <v>0</v>
      </c>
      <c r="HE107" t="s">
        <v>3</v>
      </c>
      <c r="HF107" t="s">
        <v>3</v>
      </c>
      <c r="HM107" t="s">
        <v>3</v>
      </c>
      <c r="HN107" t="s">
        <v>143</v>
      </c>
      <c r="HO107" t="s">
        <v>144</v>
      </c>
      <c r="HP107" t="s">
        <v>141</v>
      </c>
      <c r="HQ107" t="s">
        <v>141</v>
      </c>
      <c r="IK107">
        <v>0</v>
      </c>
    </row>
    <row r="108" spans="1:245" x14ac:dyDescent="0.2">
      <c r="A108">
        <v>17</v>
      </c>
      <c r="B108">
        <v>1</v>
      </c>
      <c r="C108">
        <f>ROW(SmtRes!A211)</f>
        <v>211</v>
      </c>
      <c r="D108">
        <f>ROW(EtalonRes!A211)</f>
        <v>211</v>
      </c>
      <c r="E108" t="s">
        <v>360</v>
      </c>
      <c r="F108" t="s">
        <v>361</v>
      </c>
      <c r="G108" t="s">
        <v>362</v>
      </c>
      <c r="H108" t="s">
        <v>19</v>
      </c>
      <c r="I108">
        <f>ROUND(I107,9)</f>
        <v>8.5500000000000007E-2</v>
      </c>
      <c r="J108">
        <v>0</v>
      </c>
      <c r="K108">
        <f>ROUND(I107,9)</f>
        <v>8.5500000000000007E-2</v>
      </c>
      <c r="O108">
        <f t="shared" si="193"/>
        <v>1228.98</v>
      </c>
      <c r="P108">
        <f t="shared" si="194"/>
        <v>0.67</v>
      </c>
      <c r="Q108">
        <f t="shared" si="195"/>
        <v>17.59</v>
      </c>
      <c r="R108">
        <f t="shared" si="196"/>
        <v>27.03</v>
      </c>
      <c r="S108">
        <f t="shared" si="197"/>
        <v>1210.72</v>
      </c>
      <c r="T108">
        <f t="shared" si="198"/>
        <v>0</v>
      </c>
      <c r="U108">
        <f t="shared" si="199"/>
        <v>4.647331125</v>
      </c>
      <c r="V108">
        <f t="shared" si="200"/>
        <v>7.9889062499999997E-2</v>
      </c>
      <c r="W108">
        <f t="shared" si="201"/>
        <v>0</v>
      </c>
      <c r="X108">
        <f t="shared" si="202"/>
        <v>1237.75</v>
      </c>
      <c r="Y108">
        <f t="shared" si="203"/>
        <v>515.52</v>
      </c>
      <c r="AA108">
        <v>145033679</v>
      </c>
      <c r="AB108">
        <f t="shared" si="204"/>
        <v>481.53</v>
      </c>
      <c r="AC108">
        <f>ROUND(((ES108*5)),2)</f>
        <v>0.9</v>
      </c>
      <c r="AD108">
        <f>ROUND(((((((ET108*1.25)*1.15)*5))-((((EU108*1.25)*1.15)*5)))+AE108),2)</f>
        <v>16.96</v>
      </c>
      <c r="AE108">
        <f>ROUND(((((EU108*1.25)*1.15)*5)),2)</f>
        <v>10.35</v>
      </c>
      <c r="AF108">
        <f>ROUND(((((EV108*1.15)*1.15)*5)),2)</f>
        <v>463.67</v>
      </c>
      <c r="AG108">
        <f t="shared" si="205"/>
        <v>0</v>
      </c>
      <c r="AH108">
        <f>((((EW108*1.15)*1.15)*5))</f>
        <v>54.354749999999996</v>
      </c>
      <c r="AI108">
        <f>((((EX108*1.25)*1.15)*5))</f>
        <v>0.93437499999999996</v>
      </c>
      <c r="AJ108">
        <f t="shared" si="206"/>
        <v>0</v>
      </c>
      <c r="AK108">
        <v>72.66</v>
      </c>
      <c r="AL108">
        <v>0.18</v>
      </c>
      <c r="AM108">
        <v>2.36</v>
      </c>
      <c r="AN108">
        <v>1.44</v>
      </c>
      <c r="AO108">
        <v>70.12</v>
      </c>
      <c r="AP108">
        <v>0</v>
      </c>
      <c r="AQ108">
        <v>8.2200000000000006</v>
      </c>
      <c r="AR108">
        <v>0.13</v>
      </c>
      <c r="AS108">
        <v>0</v>
      </c>
      <c r="AT108">
        <v>100</v>
      </c>
      <c r="AU108">
        <v>41.65</v>
      </c>
      <c r="AV108">
        <v>1</v>
      </c>
      <c r="AW108">
        <v>1</v>
      </c>
      <c r="AZ108">
        <v>1</v>
      </c>
      <c r="BA108">
        <v>30.54</v>
      </c>
      <c r="BB108">
        <v>12.13</v>
      </c>
      <c r="BC108">
        <v>8.7100000000000009</v>
      </c>
      <c r="BD108" t="s">
        <v>3</v>
      </c>
      <c r="BE108" t="s">
        <v>3</v>
      </c>
      <c r="BF108" t="s">
        <v>3</v>
      </c>
      <c r="BG108" t="s">
        <v>3</v>
      </c>
      <c r="BH108">
        <v>0</v>
      </c>
      <c r="BI108">
        <v>1</v>
      </c>
      <c r="BJ108" t="s">
        <v>363</v>
      </c>
      <c r="BM108">
        <v>15001</v>
      </c>
      <c r="BN108">
        <v>0</v>
      </c>
      <c r="BO108" t="s">
        <v>3</v>
      </c>
      <c r="BP108">
        <v>0</v>
      </c>
      <c r="BQ108">
        <v>2</v>
      </c>
      <c r="BR108">
        <v>0</v>
      </c>
      <c r="BS108">
        <v>30.54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100</v>
      </c>
      <c r="CA108">
        <v>49</v>
      </c>
      <c r="CB108" t="s">
        <v>3</v>
      </c>
      <c r="CE108">
        <v>0</v>
      </c>
      <c r="CF108">
        <v>0</v>
      </c>
      <c r="CG108">
        <v>0</v>
      </c>
      <c r="CM108">
        <v>0</v>
      </c>
      <c r="CN108" t="s">
        <v>1104</v>
      </c>
      <c r="CO108">
        <v>0</v>
      </c>
      <c r="CP108">
        <f t="shared" si="207"/>
        <v>1228.98</v>
      </c>
      <c r="CQ108">
        <f t="shared" si="208"/>
        <v>7.8390000000000013</v>
      </c>
      <c r="CR108">
        <f>((((((ET108*1.25)*1.15)*5))*BB108-((((EU108*1.25)*1.15)*5))*BS108)+AE108*BS108)</f>
        <v>205.75512499999999</v>
      </c>
      <c r="CS108">
        <f t="shared" si="209"/>
        <v>316.089</v>
      </c>
      <c r="CT108">
        <f t="shared" si="210"/>
        <v>14160.4818</v>
      </c>
      <c r="CU108">
        <f t="shared" si="211"/>
        <v>0</v>
      </c>
      <c r="CV108">
        <f t="shared" si="212"/>
        <v>54.354749999999996</v>
      </c>
      <c r="CW108">
        <f t="shared" si="213"/>
        <v>0.93437499999999996</v>
      </c>
      <c r="CX108">
        <f t="shared" si="214"/>
        <v>0</v>
      </c>
      <c r="CY108">
        <f t="shared" si="215"/>
        <v>1237.75</v>
      </c>
      <c r="CZ108">
        <f t="shared" si="216"/>
        <v>515.522875</v>
      </c>
      <c r="DC108" t="s">
        <v>3</v>
      </c>
      <c r="DD108" t="s">
        <v>364</v>
      </c>
      <c r="DE108" t="s">
        <v>365</v>
      </c>
      <c r="DF108" t="s">
        <v>365</v>
      </c>
      <c r="DG108" t="s">
        <v>366</v>
      </c>
      <c r="DH108" t="s">
        <v>3</v>
      </c>
      <c r="DI108" t="s">
        <v>366</v>
      </c>
      <c r="DJ108" t="s">
        <v>365</v>
      </c>
      <c r="DK108" t="s">
        <v>3</v>
      </c>
      <c r="DL108" t="s">
        <v>3</v>
      </c>
      <c r="DM108" t="s">
        <v>92</v>
      </c>
      <c r="DN108">
        <v>0</v>
      </c>
      <c r="DO108">
        <v>0</v>
      </c>
      <c r="DP108">
        <v>1</v>
      </c>
      <c r="DQ108">
        <v>1</v>
      </c>
      <c r="DU108">
        <v>1005</v>
      </c>
      <c r="DV108" t="s">
        <v>19</v>
      </c>
      <c r="DW108" t="s">
        <v>19</v>
      </c>
      <c r="DX108">
        <v>100</v>
      </c>
      <c r="DZ108" t="s">
        <v>3</v>
      </c>
      <c r="EA108" t="s">
        <v>3</v>
      </c>
      <c r="EB108" t="s">
        <v>3</v>
      </c>
      <c r="EC108" t="s">
        <v>3</v>
      </c>
      <c r="EE108">
        <v>140625061</v>
      </c>
      <c r="EF108">
        <v>2</v>
      </c>
      <c r="EG108" t="s">
        <v>22</v>
      </c>
      <c r="EH108">
        <v>15</v>
      </c>
      <c r="EI108" t="s">
        <v>141</v>
      </c>
      <c r="EJ108">
        <v>1</v>
      </c>
      <c r="EK108">
        <v>15001</v>
      </c>
      <c r="EL108" t="s">
        <v>141</v>
      </c>
      <c r="EM108" t="s">
        <v>142</v>
      </c>
      <c r="EO108" t="s">
        <v>95</v>
      </c>
      <c r="EQ108">
        <v>0</v>
      </c>
      <c r="ER108">
        <v>72.66</v>
      </c>
      <c r="ES108">
        <v>0.18</v>
      </c>
      <c r="ET108">
        <v>2.36</v>
      </c>
      <c r="EU108">
        <v>1.44</v>
      </c>
      <c r="EV108">
        <v>70.12</v>
      </c>
      <c r="EW108">
        <v>8.2200000000000006</v>
      </c>
      <c r="EX108">
        <v>0.13</v>
      </c>
      <c r="EY108">
        <v>0</v>
      </c>
      <c r="FQ108">
        <v>0</v>
      </c>
      <c r="FR108">
        <f t="shared" si="217"/>
        <v>0</v>
      </c>
      <c r="FS108">
        <v>0</v>
      </c>
      <c r="FX108">
        <v>100</v>
      </c>
      <c r="FY108">
        <v>41.65</v>
      </c>
      <c r="GA108" t="s">
        <v>3</v>
      </c>
      <c r="GD108">
        <v>1</v>
      </c>
      <c r="GF108">
        <v>349753141</v>
      </c>
      <c r="GG108">
        <v>2</v>
      </c>
      <c r="GH108">
        <v>1</v>
      </c>
      <c r="GI108">
        <v>4</v>
      </c>
      <c r="GJ108">
        <v>0</v>
      </c>
      <c r="GK108">
        <v>0</v>
      </c>
      <c r="GL108">
        <f t="shared" si="218"/>
        <v>0</v>
      </c>
      <c r="GM108">
        <f t="shared" si="219"/>
        <v>2982.25</v>
      </c>
      <c r="GN108">
        <f t="shared" si="220"/>
        <v>2982.25</v>
      </c>
      <c r="GO108">
        <f t="shared" si="221"/>
        <v>0</v>
      </c>
      <c r="GP108">
        <f t="shared" si="222"/>
        <v>0</v>
      </c>
      <c r="GR108">
        <v>0</v>
      </c>
      <c r="GS108">
        <v>3</v>
      </c>
      <c r="GT108">
        <v>0</v>
      </c>
      <c r="GU108" t="s">
        <v>364</v>
      </c>
      <c r="GV108">
        <f>ROUND(((GT108*5)),2)</f>
        <v>0</v>
      </c>
      <c r="GW108">
        <v>1</v>
      </c>
      <c r="GX108">
        <f t="shared" si="224"/>
        <v>0</v>
      </c>
      <c r="HA108">
        <v>0</v>
      </c>
      <c r="HB108">
        <v>0</v>
      </c>
      <c r="HC108">
        <f t="shared" si="225"/>
        <v>0</v>
      </c>
      <c r="HE108" t="s">
        <v>3</v>
      </c>
      <c r="HF108" t="s">
        <v>3</v>
      </c>
      <c r="HM108" t="s">
        <v>3</v>
      </c>
      <c r="HN108" t="s">
        <v>143</v>
      </c>
      <c r="HO108" t="s">
        <v>144</v>
      </c>
      <c r="HP108" t="s">
        <v>141</v>
      </c>
      <c r="HQ108" t="s">
        <v>141</v>
      </c>
      <c r="IK108">
        <v>0</v>
      </c>
    </row>
    <row r="109" spans="1:245" x14ac:dyDescent="0.2">
      <c r="A109">
        <v>17</v>
      </c>
      <c r="B109">
        <v>1</v>
      </c>
      <c r="E109" t="s">
        <v>367</v>
      </c>
      <c r="F109" t="s">
        <v>46</v>
      </c>
      <c r="G109" t="s">
        <v>146</v>
      </c>
      <c r="H109" t="s">
        <v>147</v>
      </c>
      <c r="I109">
        <f>ROUND(I107*25,9)</f>
        <v>2.1375000000000002</v>
      </c>
      <c r="J109">
        <v>0</v>
      </c>
      <c r="K109">
        <f>ROUND(I107*25,9)</f>
        <v>2.1375000000000002</v>
      </c>
      <c r="O109">
        <f t="shared" si="193"/>
        <v>173.7</v>
      </c>
      <c r="P109">
        <f t="shared" si="194"/>
        <v>173.7</v>
      </c>
      <c r="Q109">
        <f t="shared" si="195"/>
        <v>0</v>
      </c>
      <c r="R109">
        <f t="shared" si="196"/>
        <v>0</v>
      </c>
      <c r="S109">
        <f t="shared" si="197"/>
        <v>0</v>
      </c>
      <c r="T109">
        <f t="shared" si="198"/>
        <v>0</v>
      </c>
      <c r="U109">
        <f t="shared" si="199"/>
        <v>0</v>
      </c>
      <c r="V109">
        <f t="shared" si="200"/>
        <v>0</v>
      </c>
      <c r="W109">
        <f t="shared" si="201"/>
        <v>0</v>
      </c>
      <c r="X109">
        <f t="shared" si="202"/>
        <v>0</v>
      </c>
      <c r="Y109">
        <f t="shared" si="203"/>
        <v>0</v>
      </c>
      <c r="AA109">
        <v>145033679</v>
      </c>
      <c r="AB109">
        <f t="shared" si="204"/>
        <v>9.33</v>
      </c>
      <c r="AC109">
        <f t="shared" ref="AC109:AC121" si="231">ROUND((ES109),2)</f>
        <v>9.33</v>
      </c>
      <c r="AD109">
        <f>ROUND((((ET109)-(EU109))+AE109),2)</f>
        <v>0</v>
      </c>
      <c r="AE109">
        <f>ROUND((EU109),2)</f>
        <v>0</v>
      </c>
      <c r="AF109">
        <f>ROUND((EV109),2)</f>
        <v>0</v>
      </c>
      <c r="AG109">
        <f t="shared" si="205"/>
        <v>0</v>
      </c>
      <c r="AH109">
        <f>(EW109)</f>
        <v>0</v>
      </c>
      <c r="AI109">
        <f>(EX109)</f>
        <v>0</v>
      </c>
      <c r="AJ109">
        <f t="shared" si="206"/>
        <v>0</v>
      </c>
      <c r="AK109">
        <v>9.33</v>
      </c>
      <c r="AL109">
        <v>9.33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8.7100000000000009</v>
      </c>
      <c r="BD109" t="s">
        <v>3</v>
      </c>
      <c r="BE109" t="s">
        <v>3</v>
      </c>
      <c r="BF109" t="s">
        <v>3</v>
      </c>
      <c r="BG109" t="s">
        <v>3</v>
      </c>
      <c r="BH109">
        <v>3</v>
      </c>
      <c r="BI109">
        <v>1</v>
      </c>
      <c r="BJ109" t="s">
        <v>3</v>
      </c>
      <c r="BM109">
        <v>1100</v>
      </c>
      <c r="BN109">
        <v>0</v>
      </c>
      <c r="BO109" t="s">
        <v>3</v>
      </c>
      <c r="BP109">
        <v>0</v>
      </c>
      <c r="BQ109">
        <v>8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0</v>
      </c>
      <c r="CA109">
        <v>0</v>
      </c>
      <c r="CB109" t="s">
        <v>3</v>
      </c>
      <c r="CE109">
        <v>0</v>
      </c>
      <c r="CF109">
        <v>0</v>
      </c>
      <c r="CG109">
        <v>0</v>
      </c>
      <c r="CM109">
        <v>0</v>
      </c>
      <c r="CN109" t="s">
        <v>3</v>
      </c>
      <c r="CO109">
        <v>0</v>
      </c>
      <c r="CP109">
        <f t="shared" si="207"/>
        <v>173.7</v>
      </c>
      <c r="CQ109">
        <f t="shared" si="208"/>
        <v>81.264300000000006</v>
      </c>
      <c r="CR109">
        <f>(((ET109)*BB109-(EU109)*BS109)+AE109*BS109)</f>
        <v>0</v>
      </c>
      <c r="CS109">
        <f t="shared" si="209"/>
        <v>0</v>
      </c>
      <c r="CT109">
        <f t="shared" si="210"/>
        <v>0</v>
      </c>
      <c r="CU109">
        <f t="shared" si="211"/>
        <v>0</v>
      </c>
      <c r="CV109">
        <f t="shared" si="212"/>
        <v>0</v>
      </c>
      <c r="CW109">
        <f t="shared" si="213"/>
        <v>0</v>
      </c>
      <c r="CX109">
        <f t="shared" si="214"/>
        <v>0</v>
      </c>
      <c r="CY109">
        <f t="shared" si="215"/>
        <v>0</v>
      </c>
      <c r="CZ109">
        <f t="shared" si="216"/>
        <v>0</v>
      </c>
      <c r="DC109" t="s">
        <v>3</v>
      </c>
      <c r="DD109" t="s">
        <v>3</v>
      </c>
      <c r="DE109" t="s">
        <v>3</v>
      </c>
      <c r="DF109" t="s">
        <v>3</v>
      </c>
      <c r="DG109" t="s">
        <v>3</v>
      </c>
      <c r="DH109" t="s">
        <v>3</v>
      </c>
      <c r="DI109" t="s">
        <v>3</v>
      </c>
      <c r="DJ109" t="s">
        <v>3</v>
      </c>
      <c r="DK109" t="s">
        <v>3</v>
      </c>
      <c r="DL109" t="s">
        <v>3</v>
      </c>
      <c r="DM109" t="s">
        <v>3</v>
      </c>
      <c r="DN109">
        <v>0</v>
      </c>
      <c r="DO109">
        <v>0</v>
      </c>
      <c r="DP109">
        <v>1</v>
      </c>
      <c r="DQ109">
        <v>1</v>
      </c>
      <c r="DU109">
        <v>1002</v>
      </c>
      <c r="DV109" t="s">
        <v>147</v>
      </c>
      <c r="DW109" t="s">
        <v>147</v>
      </c>
      <c r="DX109">
        <v>1</v>
      </c>
      <c r="DZ109" t="s">
        <v>3</v>
      </c>
      <c r="EA109" t="s">
        <v>3</v>
      </c>
      <c r="EB109" t="s">
        <v>3</v>
      </c>
      <c r="EC109" t="s">
        <v>3</v>
      </c>
      <c r="EE109">
        <v>140625274</v>
      </c>
      <c r="EF109">
        <v>8</v>
      </c>
      <c r="EG109" t="s">
        <v>48</v>
      </c>
      <c r="EH109">
        <v>0</v>
      </c>
      <c r="EI109" t="s">
        <v>3</v>
      </c>
      <c r="EJ109">
        <v>1</v>
      </c>
      <c r="EK109">
        <v>1100</v>
      </c>
      <c r="EL109" t="s">
        <v>49</v>
      </c>
      <c r="EM109" t="s">
        <v>50</v>
      </c>
      <c r="EO109" t="s">
        <v>3</v>
      </c>
      <c r="EQ109">
        <v>0</v>
      </c>
      <c r="ER109">
        <v>9.33</v>
      </c>
      <c r="ES109">
        <v>9.33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5</v>
      </c>
      <c r="FC109">
        <v>1</v>
      </c>
      <c r="FD109">
        <v>18</v>
      </c>
      <c r="FF109">
        <v>91</v>
      </c>
      <c r="FQ109">
        <v>0</v>
      </c>
      <c r="FR109">
        <f t="shared" si="217"/>
        <v>0</v>
      </c>
      <c r="FS109">
        <v>0</v>
      </c>
      <c r="FX109">
        <v>0</v>
      </c>
      <c r="FY109">
        <v>0</v>
      </c>
      <c r="GA109" t="s">
        <v>148</v>
      </c>
      <c r="GD109">
        <v>1</v>
      </c>
      <c r="GF109">
        <v>-953561901</v>
      </c>
      <c r="GG109">
        <v>2</v>
      </c>
      <c r="GH109">
        <v>3</v>
      </c>
      <c r="GI109">
        <v>4</v>
      </c>
      <c r="GJ109">
        <v>0</v>
      </c>
      <c r="GK109">
        <v>0</v>
      </c>
      <c r="GL109">
        <f t="shared" si="218"/>
        <v>0</v>
      </c>
      <c r="GM109">
        <f t="shared" si="219"/>
        <v>173.7</v>
      </c>
      <c r="GN109">
        <f t="shared" si="220"/>
        <v>173.7</v>
      </c>
      <c r="GO109">
        <f t="shared" si="221"/>
        <v>0</v>
      </c>
      <c r="GP109">
        <f t="shared" si="222"/>
        <v>0</v>
      </c>
      <c r="GR109">
        <v>1</v>
      </c>
      <c r="GS109">
        <v>1</v>
      </c>
      <c r="GT109">
        <v>0</v>
      </c>
      <c r="GU109" t="s">
        <v>3</v>
      </c>
      <c r="GV109">
        <f t="shared" ref="GV109:GV130" si="232">ROUND((GT109),2)</f>
        <v>0</v>
      </c>
      <c r="GW109">
        <v>1</v>
      </c>
      <c r="GX109">
        <f t="shared" si="224"/>
        <v>0</v>
      </c>
      <c r="HA109">
        <v>0</v>
      </c>
      <c r="HB109">
        <v>0</v>
      </c>
      <c r="HC109">
        <f t="shared" si="225"/>
        <v>0</v>
      </c>
      <c r="HE109" t="s">
        <v>52</v>
      </c>
      <c r="HF109" t="s">
        <v>29</v>
      </c>
      <c r="HM109" t="s">
        <v>3</v>
      </c>
      <c r="HN109" t="s">
        <v>3</v>
      </c>
      <c r="HO109" t="s">
        <v>3</v>
      </c>
      <c r="HP109" t="s">
        <v>3</v>
      </c>
      <c r="HQ109" t="s">
        <v>3</v>
      </c>
      <c r="IK109">
        <v>0</v>
      </c>
    </row>
    <row r="110" spans="1:245" x14ac:dyDescent="0.2">
      <c r="A110">
        <v>17</v>
      </c>
      <c r="B110">
        <v>1</v>
      </c>
      <c r="E110" t="s">
        <v>368</v>
      </c>
      <c r="F110" t="s">
        <v>46</v>
      </c>
      <c r="G110" t="s">
        <v>169</v>
      </c>
      <c r="H110" t="s">
        <v>43</v>
      </c>
      <c r="I110">
        <f>ROUND(I107*170*15,9)</f>
        <v>218.02500000000001</v>
      </c>
      <c r="J110">
        <v>0</v>
      </c>
      <c r="K110">
        <f>ROUND(I107*170*15,9)</f>
        <v>218.02500000000001</v>
      </c>
      <c r="O110">
        <f t="shared" si="193"/>
        <v>9305.09</v>
      </c>
      <c r="P110">
        <f t="shared" si="194"/>
        <v>9305.09</v>
      </c>
      <c r="Q110">
        <f t="shared" si="195"/>
        <v>0</v>
      </c>
      <c r="R110">
        <f t="shared" si="196"/>
        <v>0</v>
      </c>
      <c r="S110">
        <f t="shared" si="197"/>
        <v>0</v>
      </c>
      <c r="T110">
        <f t="shared" si="198"/>
        <v>0</v>
      </c>
      <c r="U110">
        <f t="shared" si="199"/>
        <v>0</v>
      </c>
      <c r="V110">
        <f t="shared" si="200"/>
        <v>0</v>
      </c>
      <c r="W110">
        <f t="shared" si="201"/>
        <v>0</v>
      </c>
      <c r="X110">
        <f t="shared" si="202"/>
        <v>0</v>
      </c>
      <c r="Y110">
        <f t="shared" si="203"/>
        <v>0</v>
      </c>
      <c r="AA110">
        <v>145033679</v>
      </c>
      <c r="AB110">
        <f t="shared" si="204"/>
        <v>4.9000000000000004</v>
      </c>
      <c r="AC110">
        <f t="shared" si="231"/>
        <v>4.9000000000000004</v>
      </c>
      <c r="AD110">
        <f>ROUND((((ET110)-(EU110))+AE110),2)</f>
        <v>0</v>
      </c>
      <c r="AE110">
        <f>ROUND((EU110),2)</f>
        <v>0</v>
      </c>
      <c r="AF110">
        <f>ROUND((EV110),2)</f>
        <v>0</v>
      </c>
      <c r="AG110">
        <f t="shared" si="205"/>
        <v>0</v>
      </c>
      <c r="AH110">
        <f>(EW110)</f>
        <v>0</v>
      </c>
      <c r="AI110">
        <f>(EX110)</f>
        <v>0</v>
      </c>
      <c r="AJ110">
        <f t="shared" si="206"/>
        <v>0</v>
      </c>
      <c r="AK110">
        <v>4.9000000000000004</v>
      </c>
      <c r="AL110">
        <v>4.9000000000000004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8.7100000000000009</v>
      </c>
      <c r="BD110" t="s">
        <v>3</v>
      </c>
      <c r="BE110" t="s">
        <v>3</v>
      </c>
      <c r="BF110" t="s">
        <v>3</v>
      </c>
      <c r="BG110" t="s">
        <v>3</v>
      </c>
      <c r="BH110">
        <v>3</v>
      </c>
      <c r="BI110">
        <v>1</v>
      </c>
      <c r="BJ110" t="s">
        <v>3</v>
      </c>
      <c r="BM110">
        <v>1100</v>
      </c>
      <c r="BN110">
        <v>0</v>
      </c>
      <c r="BO110" t="s">
        <v>3</v>
      </c>
      <c r="BP110">
        <v>0</v>
      </c>
      <c r="BQ110">
        <v>8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0</v>
      </c>
      <c r="CA110">
        <v>0</v>
      </c>
      <c r="CB110" t="s">
        <v>3</v>
      </c>
      <c r="CE110">
        <v>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207"/>
        <v>9305.09</v>
      </c>
      <c r="CQ110">
        <f t="shared" si="208"/>
        <v>42.679000000000009</v>
      </c>
      <c r="CR110">
        <f>(((ET110)*BB110-(EU110)*BS110)+AE110*BS110)</f>
        <v>0</v>
      </c>
      <c r="CS110">
        <f t="shared" si="209"/>
        <v>0</v>
      </c>
      <c r="CT110">
        <f t="shared" si="210"/>
        <v>0</v>
      </c>
      <c r="CU110">
        <f t="shared" si="211"/>
        <v>0</v>
      </c>
      <c r="CV110">
        <f t="shared" si="212"/>
        <v>0</v>
      </c>
      <c r="CW110">
        <f t="shared" si="213"/>
        <v>0</v>
      </c>
      <c r="CX110">
        <f t="shared" si="214"/>
        <v>0</v>
      </c>
      <c r="CY110">
        <f t="shared" si="215"/>
        <v>0</v>
      </c>
      <c r="CZ110">
        <f t="shared" si="216"/>
        <v>0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1009</v>
      </c>
      <c r="DV110" t="s">
        <v>43</v>
      </c>
      <c r="DW110" t="s">
        <v>43</v>
      </c>
      <c r="DX110">
        <v>1</v>
      </c>
      <c r="DZ110" t="s">
        <v>3</v>
      </c>
      <c r="EA110" t="s">
        <v>3</v>
      </c>
      <c r="EB110" t="s">
        <v>3</v>
      </c>
      <c r="EC110" t="s">
        <v>3</v>
      </c>
      <c r="EE110">
        <v>140625274</v>
      </c>
      <c r="EF110">
        <v>8</v>
      </c>
      <c r="EG110" t="s">
        <v>48</v>
      </c>
      <c r="EH110">
        <v>0</v>
      </c>
      <c r="EI110" t="s">
        <v>3</v>
      </c>
      <c r="EJ110">
        <v>1</v>
      </c>
      <c r="EK110">
        <v>1100</v>
      </c>
      <c r="EL110" t="s">
        <v>49</v>
      </c>
      <c r="EM110" t="s">
        <v>50</v>
      </c>
      <c r="EO110" t="s">
        <v>3</v>
      </c>
      <c r="EQ110">
        <v>0</v>
      </c>
      <c r="ER110">
        <v>4.9000000000000004</v>
      </c>
      <c r="ES110">
        <v>4.9000000000000004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5</v>
      </c>
      <c r="FC110">
        <v>1</v>
      </c>
      <c r="FD110">
        <v>18</v>
      </c>
      <c r="FF110">
        <v>47.8</v>
      </c>
      <c r="FQ110">
        <v>0</v>
      </c>
      <c r="FR110">
        <f t="shared" si="217"/>
        <v>0</v>
      </c>
      <c r="FS110">
        <v>0</v>
      </c>
      <c r="FX110">
        <v>0</v>
      </c>
      <c r="FY110">
        <v>0</v>
      </c>
      <c r="GA110" t="s">
        <v>170</v>
      </c>
      <c r="GD110">
        <v>1</v>
      </c>
      <c r="GF110">
        <v>281988453</v>
      </c>
      <c r="GG110">
        <v>2</v>
      </c>
      <c r="GH110">
        <v>3</v>
      </c>
      <c r="GI110">
        <v>4</v>
      </c>
      <c r="GJ110">
        <v>0</v>
      </c>
      <c r="GK110">
        <v>0</v>
      </c>
      <c r="GL110">
        <f t="shared" si="218"/>
        <v>0</v>
      </c>
      <c r="GM110">
        <f t="shared" si="219"/>
        <v>9305.09</v>
      </c>
      <c r="GN110">
        <f t="shared" si="220"/>
        <v>9305.09</v>
      </c>
      <c r="GO110">
        <f t="shared" si="221"/>
        <v>0</v>
      </c>
      <c r="GP110">
        <f t="shared" si="222"/>
        <v>0</v>
      </c>
      <c r="GR110">
        <v>1</v>
      </c>
      <c r="GS110">
        <v>1</v>
      </c>
      <c r="GT110">
        <v>0</v>
      </c>
      <c r="GU110" t="s">
        <v>3</v>
      </c>
      <c r="GV110">
        <f t="shared" si="232"/>
        <v>0</v>
      </c>
      <c r="GW110">
        <v>1</v>
      </c>
      <c r="GX110">
        <f t="shared" si="224"/>
        <v>0</v>
      </c>
      <c r="HA110">
        <v>0</v>
      </c>
      <c r="HB110">
        <v>0</v>
      </c>
      <c r="HC110">
        <f t="shared" si="225"/>
        <v>0</v>
      </c>
      <c r="HE110" t="s">
        <v>52</v>
      </c>
      <c r="HF110" t="s">
        <v>29</v>
      </c>
      <c r="HM110" t="s">
        <v>3</v>
      </c>
      <c r="HN110" t="s">
        <v>3</v>
      </c>
      <c r="HO110" t="s">
        <v>3</v>
      </c>
      <c r="HP110" t="s">
        <v>3</v>
      </c>
      <c r="HQ110" t="s">
        <v>3</v>
      </c>
      <c r="IK110">
        <v>0</v>
      </c>
    </row>
    <row r="111" spans="1:245" x14ac:dyDescent="0.2">
      <c r="A111">
        <v>17</v>
      </c>
      <c r="B111">
        <v>1</v>
      </c>
      <c r="C111">
        <f>ROW(SmtRes!A223)</f>
        <v>223</v>
      </c>
      <c r="D111">
        <f>ROW(EtalonRes!A223)</f>
        <v>223</v>
      </c>
      <c r="E111" t="s">
        <v>369</v>
      </c>
      <c r="F111" t="s">
        <v>370</v>
      </c>
      <c r="G111" t="s">
        <v>371</v>
      </c>
      <c r="H111" t="s">
        <v>19</v>
      </c>
      <c r="I111">
        <f>ROUND((6*1.5*0.15+6*2*0.15)/100,9)</f>
        <v>3.15E-2</v>
      </c>
      <c r="J111">
        <v>0</v>
      </c>
      <c r="K111">
        <f>ROUND((6*1.5*0.15+6*2*0.15)/100,9)</f>
        <v>3.15E-2</v>
      </c>
      <c r="O111">
        <f t="shared" si="193"/>
        <v>6233.86</v>
      </c>
      <c r="P111">
        <f t="shared" si="194"/>
        <v>5125.88</v>
      </c>
      <c r="Q111">
        <f t="shared" si="195"/>
        <v>16.77</v>
      </c>
      <c r="R111">
        <f t="shared" si="196"/>
        <v>7.2</v>
      </c>
      <c r="S111">
        <f t="shared" si="197"/>
        <v>1091.21</v>
      </c>
      <c r="T111">
        <f t="shared" si="198"/>
        <v>0</v>
      </c>
      <c r="U111">
        <f t="shared" si="199"/>
        <v>4.1887873124999997</v>
      </c>
      <c r="V111">
        <f t="shared" si="200"/>
        <v>1.9470937499999997E-2</v>
      </c>
      <c r="W111">
        <f t="shared" si="201"/>
        <v>0</v>
      </c>
      <c r="X111">
        <f t="shared" si="202"/>
        <v>1098.4100000000001</v>
      </c>
      <c r="Y111">
        <f t="shared" si="203"/>
        <v>457.49</v>
      </c>
      <c r="AA111">
        <v>145033679</v>
      </c>
      <c r="AB111">
        <f t="shared" si="204"/>
        <v>19860.91</v>
      </c>
      <c r="AC111">
        <f t="shared" si="231"/>
        <v>18682.72</v>
      </c>
      <c r="AD111">
        <f>ROUND((((((ET111*1.25)*1.15))-(((EU111*1.25)*1.15)))+AE111),2)</f>
        <v>43.89</v>
      </c>
      <c r="AE111">
        <f>ROUND((((EU111*1.25)*1.15)),2)</f>
        <v>7.48</v>
      </c>
      <c r="AF111">
        <f>ROUND((((EV111*1.15)*1.15)),2)</f>
        <v>1134.3</v>
      </c>
      <c r="AG111">
        <f t="shared" si="205"/>
        <v>0</v>
      </c>
      <c r="AH111">
        <f>(((EW111*1.15)*1.15))</f>
        <v>132.97737499999999</v>
      </c>
      <c r="AI111">
        <f>(((EX111*1.25)*1.15))</f>
        <v>0.61812499999999992</v>
      </c>
      <c r="AJ111">
        <f t="shared" si="206"/>
        <v>0</v>
      </c>
      <c r="AK111">
        <v>19570.939999999999</v>
      </c>
      <c r="AL111">
        <v>18682.72</v>
      </c>
      <c r="AM111">
        <v>30.53</v>
      </c>
      <c r="AN111">
        <v>5.2</v>
      </c>
      <c r="AO111">
        <v>857.69</v>
      </c>
      <c r="AP111">
        <v>0</v>
      </c>
      <c r="AQ111">
        <v>100.55</v>
      </c>
      <c r="AR111">
        <v>0.43</v>
      </c>
      <c r="AS111">
        <v>0</v>
      </c>
      <c r="AT111">
        <v>100</v>
      </c>
      <c r="AU111">
        <v>41.65</v>
      </c>
      <c r="AV111">
        <v>1</v>
      </c>
      <c r="AW111">
        <v>1</v>
      </c>
      <c r="AZ111">
        <v>1</v>
      </c>
      <c r="BA111">
        <v>30.54</v>
      </c>
      <c r="BB111">
        <v>12.13</v>
      </c>
      <c r="BC111">
        <v>8.7100000000000009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1</v>
      </c>
      <c r="BJ111" t="s">
        <v>372</v>
      </c>
      <c r="BM111">
        <v>15001</v>
      </c>
      <c r="BN111">
        <v>0</v>
      </c>
      <c r="BO111" t="s">
        <v>3</v>
      </c>
      <c r="BP111">
        <v>0</v>
      </c>
      <c r="BQ111">
        <v>2</v>
      </c>
      <c r="BR111">
        <v>0</v>
      </c>
      <c r="BS111">
        <v>30.54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100</v>
      </c>
      <c r="CA111">
        <v>49</v>
      </c>
      <c r="CB111" t="s">
        <v>3</v>
      </c>
      <c r="CE111">
        <v>0</v>
      </c>
      <c r="CF111">
        <v>0</v>
      </c>
      <c r="CG111">
        <v>0</v>
      </c>
      <c r="CM111">
        <v>0</v>
      </c>
      <c r="CN111" t="s">
        <v>1104</v>
      </c>
      <c r="CO111">
        <v>0</v>
      </c>
      <c r="CP111">
        <f t="shared" si="207"/>
        <v>6233.8600000000006</v>
      </c>
      <c r="CQ111">
        <f t="shared" si="208"/>
        <v>162726.49120000002</v>
      </c>
      <c r="CR111">
        <f>(((((ET111*1.25)*1.15))*BB111-(((EU111*1.25)*1.15))*BS111)+AE111*BS111)</f>
        <v>532.50049374999992</v>
      </c>
      <c r="CS111">
        <f t="shared" si="209"/>
        <v>228.4392</v>
      </c>
      <c r="CT111">
        <f t="shared" si="210"/>
        <v>34641.521999999997</v>
      </c>
      <c r="CU111">
        <f t="shared" si="211"/>
        <v>0</v>
      </c>
      <c r="CV111">
        <f t="shared" si="212"/>
        <v>132.97737499999999</v>
      </c>
      <c r="CW111">
        <f t="shared" si="213"/>
        <v>0.61812499999999992</v>
      </c>
      <c r="CX111">
        <f t="shared" si="214"/>
        <v>0</v>
      </c>
      <c r="CY111">
        <f t="shared" si="215"/>
        <v>1098.4100000000001</v>
      </c>
      <c r="CZ111">
        <f t="shared" si="216"/>
        <v>457.48776500000002</v>
      </c>
      <c r="DC111" t="s">
        <v>3</v>
      </c>
      <c r="DD111" t="s">
        <v>3</v>
      </c>
      <c r="DE111" t="s">
        <v>90</v>
      </c>
      <c r="DF111" t="s">
        <v>90</v>
      </c>
      <c r="DG111" t="s">
        <v>91</v>
      </c>
      <c r="DH111" t="s">
        <v>3</v>
      </c>
      <c r="DI111" t="s">
        <v>91</v>
      </c>
      <c r="DJ111" t="s">
        <v>90</v>
      </c>
      <c r="DK111" t="s">
        <v>3</v>
      </c>
      <c r="DL111" t="s">
        <v>3</v>
      </c>
      <c r="DM111" t="s">
        <v>92</v>
      </c>
      <c r="DN111">
        <v>0</v>
      </c>
      <c r="DO111">
        <v>0</v>
      </c>
      <c r="DP111">
        <v>1</v>
      </c>
      <c r="DQ111">
        <v>1</v>
      </c>
      <c r="DU111">
        <v>1005</v>
      </c>
      <c r="DV111" t="s">
        <v>19</v>
      </c>
      <c r="DW111" t="s">
        <v>19</v>
      </c>
      <c r="DX111">
        <v>100</v>
      </c>
      <c r="DZ111" t="s">
        <v>3</v>
      </c>
      <c r="EA111" t="s">
        <v>3</v>
      </c>
      <c r="EB111" t="s">
        <v>3</v>
      </c>
      <c r="EC111" t="s">
        <v>3</v>
      </c>
      <c r="EE111">
        <v>140625061</v>
      </c>
      <c r="EF111">
        <v>2</v>
      </c>
      <c r="EG111" t="s">
        <v>22</v>
      </c>
      <c r="EH111">
        <v>15</v>
      </c>
      <c r="EI111" t="s">
        <v>141</v>
      </c>
      <c r="EJ111">
        <v>1</v>
      </c>
      <c r="EK111">
        <v>15001</v>
      </c>
      <c r="EL111" t="s">
        <v>141</v>
      </c>
      <c r="EM111" t="s">
        <v>142</v>
      </c>
      <c r="EO111" t="s">
        <v>95</v>
      </c>
      <c r="EQ111">
        <v>0</v>
      </c>
      <c r="ER111">
        <v>19570.939999999999</v>
      </c>
      <c r="ES111">
        <v>18682.72</v>
      </c>
      <c r="ET111">
        <v>30.53</v>
      </c>
      <c r="EU111">
        <v>5.2</v>
      </c>
      <c r="EV111">
        <v>857.69</v>
      </c>
      <c r="EW111">
        <v>100.55</v>
      </c>
      <c r="EX111">
        <v>0.43</v>
      </c>
      <c r="EY111">
        <v>0</v>
      </c>
      <c r="FQ111">
        <v>0</v>
      </c>
      <c r="FR111">
        <f t="shared" si="217"/>
        <v>0</v>
      </c>
      <c r="FS111">
        <v>0</v>
      </c>
      <c r="FX111">
        <v>100</v>
      </c>
      <c r="FY111">
        <v>41.65</v>
      </c>
      <c r="GA111" t="s">
        <v>3</v>
      </c>
      <c r="GD111">
        <v>1</v>
      </c>
      <c r="GF111">
        <v>1849405359</v>
      </c>
      <c r="GG111">
        <v>2</v>
      </c>
      <c r="GH111">
        <v>1</v>
      </c>
      <c r="GI111">
        <v>4</v>
      </c>
      <c r="GJ111">
        <v>0</v>
      </c>
      <c r="GK111">
        <v>0</v>
      </c>
      <c r="GL111">
        <f t="shared" si="218"/>
        <v>0</v>
      </c>
      <c r="GM111">
        <f t="shared" si="219"/>
        <v>7789.76</v>
      </c>
      <c r="GN111">
        <f t="shared" si="220"/>
        <v>7789.76</v>
      </c>
      <c r="GO111">
        <f t="shared" si="221"/>
        <v>0</v>
      </c>
      <c r="GP111">
        <f t="shared" si="222"/>
        <v>0</v>
      </c>
      <c r="GR111">
        <v>0</v>
      </c>
      <c r="GS111">
        <v>3</v>
      </c>
      <c r="GT111">
        <v>0</v>
      </c>
      <c r="GU111" t="s">
        <v>3</v>
      </c>
      <c r="GV111">
        <f t="shared" si="232"/>
        <v>0</v>
      </c>
      <c r="GW111">
        <v>1</v>
      </c>
      <c r="GX111">
        <f t="shared" si="224"/>
        <v>0</v>
      </c>
      <c r="HA111">
        <v>0</v>
      </c>
      <c r="HB111">
        <v>0</v>
      </c>
      <c r="HC111">
        <f t="shared" si="225"/>
        <v>0</v>
      </c>
      <c r="HE111" t="s">
        <v>3</v>
      </c>
      <c r="HF111" t="s">
        <v>3</v>
      </c>
      <c r="HM111" t="s">
        <v>3</v>
      </c>
      <c r="HN111" t="s">
        <v>143</v>
      </c>
      <c r="HO111" t="s">
        <v>144</v>
      </c>
      <c r="HP111" t="s">
        <v>141</v>
      </c>
      <c r="HQ111" t="s">
        <v>141</v>
      </c>
      <c r="IK111">
        <v>0</v>
      </c>
    </row>
    <row r="112" spans="1:245" x14ac:dyDescent="0.2">
      <c r="A112">
        <v>18</v>
      </c>
      <c r="B112">
        <v>1</v>
      </c>
      <c r="C112">
        <v>223</v>
      </c>
      <c r="E112" t="s">
        <v>373</v>
      </c>
      <c r="F112" t="s">
        <v>374</v>
      </c>
      <c r="G112" t="s">
        <v>375</v>
      </c>
      <c r="H112" t="s">
        <v>131</v>
      </c>
      <c r="I112">
        <f>I111*J112</f>
        <v>-3.472245</v>
      </c>
      <c r="J112">
        <v>-110.23</v>
      </c>
      <c r="K112">
        <v>-110.23</v>
      </c>
      <c r="O112">
        <f t="shared" si="193"/>
        <v>-3846.64</v>
      </c>
      <c r="P112">
        <f t="shared" si="194"/>
        <v>-3846.64</v>
      </c>
      <c r="Q112">
        <f t="shared" si="195"/>
        <v>0</v>
      </c>
      <c r="R112">
        <f t="shared" si="196"/>
        <v>0</v>
      </c>
      <c r="S112">
        <f t="shared" si="197"/>
        <v>0</v>
      </c>
      <c r="T112">
        <f t="shared" si="198"/>
        <v>0</v>
      </c>
      <c r="U112">
        <f t="shared" si="199"/>
        <v>0</v>
      </c>
      <c r="V112">
        <f t="shared" si="200"/>
        <v>0</v>
      </c>
      <c r="W112">
        <f t="shared" si="201"/>
        <v>0</v>
      </c>
      <c r="X112">
        <f t="shared" si="202"/>
        <v>0</v>
      </c>
      <c r="Y112">
        <f t="shared" si="203"/>
        <v>0</v>
      </c>
      <c r="AA112">
        <v>145033679</v>
      </c>
      <c r="AB112">
        <f t="shared" si="204"/>
        <v>127.19</v>
      </c>
      <c r="AC112">
        <f t="shared" si="231"/>
        <v>127.19</v>
      </c>
      <c r="AD112">
        <f>ROUND((((ET112)-(EU112))+AE112),2)</f>
        <v>0</v>
      </c>
      <c r="AE112">
        <f>ROUND((EU112),2)</f>
        <v>0</v>
      </c>
      <c r="AF112">
        <f>ROUND((EV112),2)</f>
        <v>0</v>
      </c>
      <c r="AG112">
        <f t="shared" si="205"/>
        <v>0</v>
      </c>
      <c r="AH112">
        <f>(EW112)</f>
        <v>0</v>
      </c>
      <c r="AI112">
        <f>(EX112)</f>
        <v>0</v>
      </c>
      <c r="AJ112">
        <f t="shared" si="206"/>
        <v>0</v>
      </c>
      <c r="AK112">
        <v>127.19</v>
      </c>
      <c r="AL112">
        <v>127.19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100</v>
      </c>
      <c r="AU112">
        <v>49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8.7100000000000009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1</v>
      </c>
      <c r="BJ112" t="s">
        <v>376</v>
      </c>
      <c r="BM112">
        <v>15001</v>
      </c>
      <c r="BN112">
        <v>0</v>
      </c>
      <c r="BO112" t="s">
        <v>3</v>
      </c>
      <c r="BP112">
        <v>0</v>
      </c>
      <c r="BQ112">
        <v>2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100</v>
      </c>
      <c r="CA112">
        <v>49</v>
      </c>
      <c r="CB112" t="s">
        <v>3</v>
      </c>
      <c r="CE112">
        <v>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207"/>
        <v>-3846.64</v>
      </c>
      <c r="CQ112">
        <f t="shared" si="208"/>
        <v>1107.8249000000001</v>
      </c>
      <c r="CR112">
        <f>(((ET112)*BB112-(EU112)*BS112)+AE112*BS112)</f>
        <v>0</v>
      </c>
      <c r="CS112">
        <f t="shared" si="209"/>
        <v>0</v>
      </c>
      <c r="CT112">
        <f t="shared" si="210"/>
        <v>0</v>
      </c>
      <c r="CU112">
        <f t="shared" si="211"/>
        <v>0</v>
      </c>
      <c r="CV112">
        <f t="shared" si="212"/>
        <v>0</v>
      </c>
      <c r="CW112">
        <f t="shared" si="213"/>
        <v>0</v>
      </c>
      <c r="CX112">
        <f t="shared" si="214"/>
        <v>0</v>
      </c>
      <c r="CY112">
        <f t="shared" si="215"/>
        <v>0</v>
      </c>
      <c r="CZ112">
        <f t="shared" si="216"/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1005</v>
      </c>
      <c r="DV112" t="s">
        <v>131</v>
      </c>
      <c r="DW112" t="s">
        <v>131</v>
      </c>
      <c r="DX112">
        <v>1</v>
      </c>
      <c r="DZ112" t="s">
        <v>3</v>
      </c>
      <c r="EA112" t="s">
        <v>3</v>
      </c>
      <c r="EB112" t="s">
        <v>3</v>
      </c>
      <c r="EC112" t="s">
        <v>3</v>
      </c>
      <c r="EE112">
        <v>140625061</v>
      </c>
      <c r="EF112">
        <v>2</v>
      </c>
      <c r="EG112" t="s">
        <v>22</v>
      </c>
      <c r="EH112">
        <v>15</v>
      </c>
      <c r="EI112" t="s">
        <v>141</v>
      </c>
      <c r="EJ112">
        <v>1</v>
      </c>
      <c r="EK112">
        <v>15001</v>
      </c>
      <c r="EL112" t="s">
        <v>141</v>
      </c>
      <c r="EM112" t="s">
        <v>142</v>
      </c>
      <c r="EO112" t="s">
        <v>3</v>
      </c>
      <c r="EQ112">
        <v>0</v>
      </c>
      <c r="ER112">
        <v>127.19</v>
      </c>
      <c r="ES112">
        <v>127.19</v>
      </c>
      <c r="ET112">
        <v>0</v>
      </c>
      <c r="EU112">
        <v>0</v>
      </c>
      <c r="EV112">
        <v>0</v>
      </c>
      <c r="EW112">
        <v>0</v>
      </c>
      <c r="EX112">
        <v>0</v>
      </c>
      <c r="FQ112">
        <v>0</v>
      </c>
      <c r="FR112">
        <f t="shared" si="217"/>
        <v>0</v>
      </c>
      <c r="FS112">
        <v>0</v>
      </c>
      <c r="FX112">
        <v>100</v>
      </c>
      <c r="FY112">
        <v>49</v>
      </c>
      <c r="GA112" t="s">
        <v>3</v>
      </c>
      <c r="GD112">
        <v>1</v>
      </c>
      <c r="GF112">
        <v>37550452</v>
      </c>
      <c r="GG112">
        <v>2</v>
      </c>
      <c r="GH112">
        <v>1</v>
      </c>
      <c r="GI112">
        <v>4</v>
      </c>
      <c r="GJ112">
        <v>0</v>
      </c>
      <c r="GK112">
        <v>0</v>
      </c>
      <c r="GL112">
        <f t="shared" si="218"/>
        <v>0</v>
      </c>
      <c r="GM112">
        <f t="shared" si="219"/>
        <v>-3846.64</v>
      </c>
      <c r="GN112">
        <f t="shared" si="220"/>
        <v>-3846.64</v>
      </c>
      <c r="GO112">
        <f t="shared" si="221"/>
        <v>0</v>
      </c>
      <c r="GP112">
        <f t="shared" si="222"/>
        <v>0</v>
      </c>
      <c r="GR112">
        <v>0</v>
      </c>
      <c r="GS112">
        <v>3</v>
      </c>
      <c r="GT112">
        <v>0</v>
      </c>
      <c r="GU112" t="s">
        <v>3</v>
      </c>
      <c r="GV112">
        <f t="shared" si="232"/>
        <v>0</v>
      </c>
      <c r="GW112">
        <v>1</v>
      </c>
      <c r="GX112">
        <f t="shared" si="224"/>
        <v>0</v>
      </c>
      <c r="HA112">
        <v>0</v>
      </c>
      <c r="HB112">
        <v>0</v>
      </c>
      <c r="HC112">
        <f t="shared" si="225"/>
        <v>0</v>
      </c>
      <c r="HE112" t="s">
        <v>3</v>
      </c>
      <c r="HF112" t="s">
        <v>3</v>
      </c>
      <c r="HM112" t="s">
        <v>3</v>
      </c>
      <c r="HN112" t="s">
        <v>143</v>
      </c>
      <c r="HO112" t="s">
        <v>144</v>
      </c>
      <c r="HP112" t="s">
        <v>141</v>
      </c>
      <c r="HQ112" t="s">
        <v>141</v>
      </c>
      <c r="IK112">
        <v>0</v>
      </c>
    </row>
    <row r="113" spans="1:245" x14ac:dyDescent="0.2">
      <c r="A113">
        <v>17</v>
      </c>
      <c r="B113">
        <v>1</v>
      </c>
      <c r="E113" t="s">
        <v>377</v>
      </c>
      <c r="F113" t="s">
        <v>46</v>
      </c>
      <c r="G113" t="s">
        <v>378</v>
      </c>
      <c r="H113" t="s">
        <v>213</v>
      </c>
      <c r="I113">
        <f>ROUND((1.5+2)*6,9)</f>
        <v>21</v>
      </c>
      <c r="J113">
        <v>0</v>
      </c>
      <c r="K113">
        <f>ROUND((1.5+2)*6,9)</f>
        <v>21</v>
      </c>
      <c r="O113">
        <f t="shared" si="193"/>
        <v>3372.86</v>
      </c>
      <c r="P113">
        <f t="shared" si="194"/>
        <v>3372.86</v>
      </c>
      <c r="Q113">
        <f t="shared" si="195"/>
        <v>0</v>
      </c>
      <c r="R113">
        <f t="shared" si="196"/>
        <v>0</v>
      </c>
      <c r="S113">
        <f t="shared" si="197"/>
        <v>0</v>
      </c>
      <c r="T113">
        <f t="shared" si="198"/>
        <v>0</v>
      </c>
      <c r="U113">
        <f t="shared" si="199"/>
        <v>0</v>
      </c>
      <c r="V113">
        <f t="shared" si="200"/>
        <v>0</v>
      </c>
      <c r="W113">
        <f t="shared" si="201"/>
        <v>0</v>
      </c>
      <c r="X113">
        <f t="shared" si="202"/>
        <v>0</v>
      </c>
      <c r="Y113">
        <f t="shared" si="203"/>
        <v>0</v>
      </c>
      <c r="AA113">
        <v>145033679</v>
      </c>
      <c r="AB113">
        <f t="shared" si="204"/>
        <v>18.440000000000001</v>
      </c>
      <c r="AC113">
        <f t="shared" si="231"/>
        <v>18.440000000000001</v>
      </c>
      <c r="AD113">
        <f>ROUND((((ET113)-(EU113))+AE113),2)</f>
        <v>0</v>
      </c>
      <c r="AE113">
        <f>ROUND((EU113),2)</f>
        <v>0</v>
      </c>
      <c r="AF113">
        <f>ROUND((EV113),2)</f>
        <v>0</v>
      </c>
      <c r="AG113">
        <f t="shared" si="205"/>
        <v>0</v>
      </c>
      <c r="AH113">
        <f>(EW113)</f>
        <v>0</v>
      </c>
      <c r="AI113">
        <f>(EX113)</f>
        <v>0</v>
      </c>
      <c r="AJ113">
        <f t="shared" si="206"/>
        <v>0</v>
      </c>
      <c r="AK113">
        <v>18.439999999999998</v>
      </c>
      <c r="AL113">
        <v>18.439999999999998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8.7100000000000009</v>
      </c>
      <c r="BD113" t="s">
        <v>3</v>
      </c>
      <c r="BE113" t="s">
        <v>3</v>
      </c>
      <c r="BF113" t="s">
        <v>3</v>
      </c>
      <c r="BG113" t="s">
        <v>3</v>
      </c>
      <c r="BH113">
        <v>3</v>
      </c>
      <c r="BI113">
        <v>1</v>
      </c>
      <c r="BJ113" t="s">
        <v>3</v>
      </c>
      <c r="BM113">
        <v>1100</v>
      </c>
      <c r="BN113">
        <v>0</v>
      </c>
      <c r="BO113" t="s">
        <v>3</v>
      </c>
      <c r="BP113">
        <v>0</v>
      </c>
      <c r="BQ113">
        <v>8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0</v>
      </c>
      <c r="CA113">
        <v>0</v>
      </c>
      <c r="CB113" t="s">
        <v>3</v>
      </c>
      <c r="CE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207"/>
        <v>3372.86</v>
      </c>
      <c r="CQ113">
        <f t="shared" si="208"/>
        <v>160.61240000000004</v>
      </c>
      <c r="CR113">
        <f>(((ET113)*BB113-(EU113)*BS113)+AE113*BS113)</f>
        <v>0</v>
      </c>
      <c r="CS113">
        <f t="shared" si="209"/>
        <v>0</v>
      </c>
      <c r="CT113">
        <f t="shared" si="210"/>
        <v>0</v>
      </c>
      <c r="CU113">
        <f t="shared" si="211"/>
        <v>0</v>
      </c>
      <c r="CV113">
        <f t="shared" si="212"/>
        <v>0</v>
      </c>
      <c r="CW113">
        <f t="shared" si="213"/>
        <v>0</v>
      </c>
      <c r="CX113">
        <f t="shared" si="214"/>
        <v>0</v>
      </c>
      <c r="CY113">
        <f t="shared" si="215"/>
        <v>0</v>
      </c>
      <c r="CZ113">
        <f t="shared" si="216"/>
        <v>0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0</v>
      </c>
      <c r="DO113">
        <v>0</v>
      </c>
      <c r="DP113">
        <v>1</v>
      </c>
      <c r="DQ113">
        <v>1</v>
      </c>
      <c r="DU113">
        <v>1003</v>
      </c>
      <c r="DV113" t="s">
        <v>213</v>
      </c>
      <c r="DW113" t="s">
        <v>213</v>
      </c>
      <c r="DX113">
        <v>1</v>
      </c>
      <c r="DZ113" t="s">
        <v>3</v>
      </c>
      <c r="EA113" t="s">
        <v>3</v>
      </c>
      <c r="EB113" t="s">
        <v>3</v>
      </c>
      <c r="EC113" t="s">
        <v>3</v>
      </c>
      <c r="EE113">
        <v>140625274</v>
      </c>
      <c r="EF113">
        <v>8</v>
      </c>
      <c r="EG113" t="s">
        <v>48</v>
      </c>
      <c r="EH113">
        <v>0</v>
      </c>
      <c r="EI113" t="s">
        <v>3</v>
      </c>
      <c r="EJ113">
        <v>1</v>
      </c>
      <c r="EK113">
        <v>1100</v>
      </c>
      <c r="EL113" t="s">
        <v>49</v>
      </c>
      <c r="EM113" t="s">
        <v>50</v>
      </c>
      <c r="EO113" t="s">
        <v>3</v>
      </c>
      <c r="EQ113">
        <v>0</v>
      </c>
      <c r="ER113">
        <v>18.439999999999998</v>
      </c>
      <c r="ES113">
        <v>18.439999999999998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5</v>
      </c>
      <c r="FC113">
        <v>1</v>
      </c>
      <c r="FD113">
        <v>18</v>
      </c>
      <c r="FF113">
        <v>180</v>
      </c>
      <c r="FQ113">
        <v>0</v>
      </c>
      <c r="FR113">
        <f t="shared" si="217"/>
        <v>0</v>
      </c>
      <c r="FS113">
        <v>0</v>
      </c>
      <c r="FX113">
        <v>0</v>
      </c>
      <c r="FY113">
        <v>0</v>
      </c>
      <c r="GA113" t="s">
        <v>379</v>
      </c>
      <c r="GD113">
        <v>1</v>
      </c>
      <c r="GF113">
        <v>370121269</v>
      </c>
      <c r="GG113">
        <v>2</v>
      </c>
      <c r="GH113">
        <v>3</v>
      </c>
      <c r="GI113">
        <v>4</v>
      </c>
      <c r="GJ113">
        <v>0</v>
      </c>
      <c r="GK113">
        <v>0</v>
      </c>
      <c r="GL113">
        <f t="shared" si="218"/>
        <v>0</v>
      </c>
      <c r="GM113">
        <f t="shared" si="219"/>
        <v>3372.86</v>
      </c>
      <c r="GN113">
        <f t="shared" si="220"/>
        <v>3372.86</v>
      </c>
      <c r="GO113">
        <f t="shared" si="221"/>
        <v>0</v>
      </c>
      <c r="GP113">
        <f t="shared" si="222"/>
        <v>0</v>
      </c>
      <c r="GR113">
        <v>1</v>
      </c>
      <c r="GS113">
        <v>1</v>
      </c>
      <c r="GT113">
        <v>0</v>
      </c>
      <c r="GU113" t="s">
        <v>3</v>
      </c>
      <c r="GV113">
        <f t="shared" si="232"/>
        <v>0</v>
      </c>
      <c r="GW113">
        <v>1</v>
      </c>
      <c r="GX113">
        <f t="shared" si="224"/>
        <v>0</v>
      </c>
      <c r="HA113">
        <v>0</v>
      </c>
      <c r="HB113">
        <v>0</v>
      </c>
      <c r="HC113">
        <f t="shared" si="225"/>
        <v>0</v>
      </c>
      <c r="HE113" t="s">
        <v>52</v>
      </c>
      <c r="HF113" t="s">
        <v>29</v>
      </c>
      <c r="HM113" t="s">
        <v>3</v>
      </c>
      <c r="HN113" t="s">
        <v>3</v>
      </c>
      <c r="HO113" t="s">
        <v>3</v>
      </c>
      <c r="HP113" t="s">
        <v>3</v>
      </c>
      <c r="HQ113" t="s">
        <v>3</v>
      </c>
      <c r="IK113">
        <v>0</v>
      </c>
    </row>
    <row r="114" spans="1:245" x14ac:dyDescent="0.2">
      <c r="A114">
        <v>17</v>
      </c>
      <c r="B114">
        <v>1</v>
      </c>
      <c r="C114">
        <f>ROW(SmtRes!A234)</f>
        <v>234</v>
      </c>
      <c r="D114">
        <f>ROW(EtalonRes!A234)</f>
        <v>234</v>
      </c>
      <c r="E114" t="s">
        <v>380</v>
      </c>
      <c r="F114" t="s">
        <v>381</v>
      </c>
      <c r="G114" t="s">
        <v>382</v>
      </c>
      <c r="H114" t="s">
        <v>105</v>
      </c>
      <c r="I114">
        <f>ROUND(71.34/1000,9)</f>
        <v>7.1340000000000001E-2</v>
      </c>
      <c r="J114">
        <v>0</v>
      </c>
      <c r="K114">
        <f>ROUND(71.34/1000,9)</f>
        <v>7.1340000000000001E-2</v>
      </c>
      <c r="O114">
        <f t="shared" si="193"/>
        <v>4501.6000000000004</v>
      </c>
      <c r="P114">
        <f t="shared" si="194"/>
        <v>847.86</v>
      </c>
      <c r="Q114">
        <f t="shared" si="195"/>
        <v>62.81</v>
      </c>
      <c r="R114">
        <f t="shared" si="196"/>
        <v>17.670000000000002</v>
      </c>
      <c r="S114">
        <f t="shared" si="197"/>
        <v>3590.93</v>
      </c>
      <c r="T114">
        <f t="shared" si="198"/>
        <v>0</v>
      </c>
      <c r="U114">
        <f t="shared" si="199"/>
        <v>13.608961079999998</v>
      </c>
      <c r="V114">
        <f t="shared" si="200"/>
        <v>5.4967469999999997E-2</v>
      </c>
      <c r="W114">
        <f t="shared" si="201"/>
        <v>0</v>
      </c>
      <c r="X114">
        <f t="shared" si="202"/>
        <v>3319.91</v>
      </c>
      <c r="Y114">
        <f t="shared" si="203"/>
        <v>1876.47</v>
      </c>
      <c r="AA114">
        <v>145033679</v>
      </c>
      <c r="AB114">
        <f t="shared" si="204"/>
        <v>3085.25</v>
      </c>
      <c r="AC114">
        <f t="shared" si="231"/>
        <v>1364.49</v>
      </c>
      <c r="AD114">
        <f>ROUND(((((ET114*1.15))-((EU114*1.15)))+AE114),2)</f>
        <v>72.58</v>
      </c>
      <c r="AE114">
        <f>ROUND(((EU114*1.15)),2)</f>
        <v>8.11</v>
      </c>
      <c r="AF114">
        <f>ROUND(((EV114*1.15)),2)</f>
        <v>1648.18</v>
      </c>
      <c r="AG114">
        <f t="shared" si="205"/>
        <v>0</v>
      </c>
      <c r="AH114">
        <f>((EW114*1.15))</f>
        <v>190.76199999999997</v>
      </c>
      <c r="AI114">
        <f>((EX114*1.15))</f>
        <v>0.77049999999999996</v>
      </c>
      <c r="AJ114">
        <f t="shared" si="206"/>
        <v>0</v>
      </c>
      <c r="AK114">
        <v>2860.8</v>
      </c>
      <c r="AL114">
        <v>1364.49</v>
      </c>
      <c r="AM114">
        <v>63.11</v>
      </c>
      <c r="AN114">
        <v>7.05</v>
      </c>
      <c r="AO114">
        <v>1433.2</v>
      </c>
      <c r="AP114">
        <v>0</v>
      </c>
      <c r="AQ114">
        <v>165.88</v>
      </c>
      <c r="AR114">
        <v>0.67</v>
      </c>
      <c r="AS114">
        <v>0</v>
      </c>
      <c r="AT114">
        <v>92</v>
      </c>
      <c r="AU114">
        <v>52</v>
      </c>
      <c r="AV114">
        <v>1</v>
      </c>
      <c r="AW114">
        <v>1</v>
      </c>
      <c r="AZ114">
        <v>1</v>
      </c>
      <c r="BA114">
        <v>30.54</v>
      </c>
      <c r="BB114">
        <v>12.13</v>
      </c>
      <c r="BC114">
        <v>8.7100000000000009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1</v>
      </c>
      <c r="BJ114" t="s">
        <v>383</v>
      </c>
      <c r="BM114">
        <v>53001</v>
      </c>
      <c r="BN114">
        <v>0</v>
      </c>
      <c r="BO114" t="s">
        <v>3</v>
      </c>
      <c r="BP114">
        <v>0</v>
      </c>
      <c r="BQ114">
        <v>6</v>
      </c>
      <c r="BR114">
        <v>0</v>
      </c>
      <c r="BS114">
        <v>30.54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92</v>
      </c>
      <c r="CA114">
        <v>52</v>
      </c>
      <c r="CB114" t="s">
        <v>3</v>
      </c>
      <c r="CE114">
        <v>0</v>
      </c>
      <c r="CF114">
        <v>0</v>
      </c>
      <c r="CG114">
        <v>0</v>
      </c>
      <c r="CM114">
        <v>0</v>
      </c>
      <c r="CN114" t="s">
        <v>1103</v>
      </c>
      <c r="CO114">
        <v>0</v>
      </c>
      <c r="CP114">
        <f t="shared" si="207"/>
        <v>4501.6000000000004</v>
      </c>
      <c r="CQ114">
        <f t="shared" si="208"/>
        <v>11884.707900000001</v>
      </c>
      <c r="CR114">
        <f>((((ET114*1.15))*BB114-((EU114*1.15))*BS114)+AE114*BS114)</f>
        <v>880.42929499999991</v>
      </c>
      <c r="CS114">
        <f t="shared" si="209"/>
        <v>247.67939999999999</v>
      </c>
      <c r="CT114">
        <f t="shared" si="210"/>
        <v>50335.417200000004</v>
      </c>
      <c r="CU114">
        <f t="shared" si="211"/>
        <v>0</v>
      </c>
      <c r="CV114">
        <f t="shared" si="212"/>
        <v>190.76199999999997</v>
      </c>
      <c r="CW114">
        <f t="shared" si="213"/>
        <v>0.77049999999999996</v>
      </c>
      <c r="CX114">
        <f t="shared" si="214"/>
        <v>0</v>
      </c>
      <c r="CY114">
        <f t="shared" si="215"/>
        <v>3319.9120000000003</v>
      </c>
      <c r="CZ114">
        <f t="shared" si="216"/>
        <v>1876.4719999999998</v>
      </c>
      <c r="DC114" t="s">
        <v>3</v>
      </c>
      <c r="DD114" t="s">
        <v>3</v>
      </c>
      <c r="DE114" t="s">
        <v>21</v>
      </c>
      <c r="DF114" t="s">
        <v>21</v>
      </c>
      <c r="DG114" t="s">
        <v>21</v>
      </c>
      <c r="DH114" t="s">
        <v>3</v>
      </c>
      <c r="DI114" t="s">
        <v>21</v>
      </c>
      <c r="DJ114" t="s">
        <v>21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1009</v>
      </c>
      <c r="DV114" t="s">
        <v>105</v>
      </c>
      <c r="DW114" t="s">
        <v>105</v>
      </c>
      <c r="DX114">
        <v>1000</v>
      </c>
      <c r="DZ114" t="s">
        <v>3</v>
      </c>
      <c r="EA114" t="s">
        <v>3</v>
      </c>
      <c r="EB114" t="s">
        <v>3</v>
      </c>
      <c r="EC114" t="s">
        <v>3</v>
      </c>
      <c r="EE114">
        <v>140625144</v>
      </c>
      <c r="EF114">
        <v>6</v>
      </c>
      <c r="EG114" t="s">
        <v>34</v>
      </c>
      <c r="EH114">
        <v>87</v>
      </c>
      <c r="EI114" t="s">
        <v>215</v>
      </c>
      <c r="EJ114">
        <v>1</v>
      </c>
      <c r="EK114">
        <v>53001</v>
      </c>
      <c r="EL114" t="s">
        <v>215</v>
      </c>
      <c r="EM114" t="s">
        <v>216</v>
      </c>
      <c r="EO114" t="s">
        <v>37</v>
      </c>
      <c r="EQ114">
        <v>0</v>
      </c>
      <c r="ER114">
        <v>2860.8</v>
      </c>
      <c r="ES114">
        <v>1364.49</v>
      </c>
      <c r="ET114">
        <v>63.11</v>
      </c>
      <c r="EU114">
        <v>7.05</v>
      </c>
      <c r="EV114">
        <v>1433.2</v>
      </c>
      <c r="EW114">
        <v>165.88</v>
      </c>
      <c r="EX114">
        <v>0.67</v>
      </c>
      <c r="EY114">
        <v>0</v>
      </c>
      <c r="FQ114">
        <v>0</v>
      </c>
      <c r="FR114">
        <f t="shared" si="217"/>
        <v>0</v>
      </c>
      <c r="FS114">
        <v>0</v>
      </c>
      <c r="FX114">
        <v>92</v>
      </c>
      <c r="FY114">
        <v>52</v>
      </c>
      <c r="GA114" t="s">
        <v>3</v>
      </c>
      <c r="GD114">
        <v>1</v>
      </c>
      <c r="GF114">
        <v>1205753186</v>
      </c>
      <c r="GG114">
        <v>2</v>
      </c>
      <c r="GH114">
        <v>1</v>
      </c>
      <c r="GI114">
        <v>4</v>
      </c>
      <c r="GJ114">
        <v>0</v>
      </c>
      <c r="GK114">
        <v>0</v>
      </c>
      <c r="GL114">
        <f t="shared" si="218"/>
        <v>0</v>
      </c>
      <c r="GM114">
        <f t="shared" si="219"/>
        <v>9697.98</v>
      </c>
      <c r="GN114">
        <f t="shared" si="220"/>
        <v>9697.98</v>
      </c>
      <c r="GO114">
        <f t="shared" si="221"/>
        <v>0</v>
      </c>
      <c r="GP114">
        <f t="shared" si="222"/>
        <v>0</v>
      </c>
      <c r="GR114">
        <v>0</v>
      </c>
      <c r="GS114">
        <v>3</v>
      </c>
      <c r="GT114">
        <v>0</v>
      </c>
      <c r="GU114" t="s">
        <v>3</v>
      </c>
      <c r="GV114">
        <f t="shared" si="232"/>
        <v>0</v>
      </c>
      <c r="GW114">
        <v>1</v>
      </c>
      <c r="GX114">
        <f t="shared" si="224"/>
        <v>0</v>
      </c>
      <c r="HA114">
        <v>0</v>
      </c>
      <c r="HB114">
        <v>0</v>
      </c>
      <c r="HC114">
        <f t="shared" si="225"/>
        <v>0</v>
      </c>
      <c r="HE114" t="s">
        <v>3</v>
      </c>
      <c r="HF114" t="s">
        <v>3</v>
      </c>
      <c r="HM114" t="s">
        <v>3</v>
      </c>
      <c r="HN114" t="s">
        <v>217</v>
      </c>
      <c r="HO114" t="s">
        <v>218</v>
      </c>
      <c r="HP114" t="s">
        <v>215</v>
      </c>
      <c r="HQ114" t="s">
        <v>215</v>
      </c>
      <c r="IK114">
        <v>0</v>
      </c>
    </row>
    <row r="115" spans="1:245" x14ac:dyDescent="0.2">
      <c r="A115">
        <v>18</v>
      </c>
      <c r="B115">
        <v>1</v>
      </c>
      <c r="C115">
        <v>232</v>
      </c>
      <c r="E115" t="s">
        <v>384</v>
      </c>
      <c r="F115" t="s">
        <v>311</v>
      </c>
      <c r="G115" t="s">
        <v>312</v>
      </c>
      <c r="H115" t="s">
        <v>66</v>
      </c>
      <c r="I115">
        <f>I114*J115</f>
        <v>-3.8523600000000005E-2</v>
      </c>
      <c r="J115">
        <v>-0.54</v>
      </c>
      <c r="K115">
        <v>-0.54</v>
      </c>
      <c r="O115">
        <f t="shared" si="193"/>
        <v>-174.41</v>
      </c>
      <c r="P115">
        <f t="shared" si="194"/>
        <v>-174.41</v>
      </c>
      <c r="Q115">
        <f t="shared" si="195"/>
        <v>0</v>
      </c>
      <c r="R115">
        <f t="shared" si="196"/>
        <v>0</v>
      </c>
      <c r="S115">
        <f t="shared" si="197"/>
        <v>0</v>
      </c>
      <c r="T115">
        <f t="shared" si="198"/>
        <v>0</v>
      </c>
      <c r="U115">
        <f t="shared" si="199"/>
        <v>0</v>
      </c>
      <c r="V115">
        <f t="shared" si="200"/>
        <v>0</v>
      </c>
      <c r="W115">
        <f t="shared" si="201"/>
        <v>0</v>
      </c>
      <c r="X115">
        <f t="shared" si="202"/>
        <v>0</v>
      </c>
      <c r="Y115">
        <f t="shared" si="203"/>
        <v>0</v>
      </c>
      <c r="AA115">
        <v>145033679</v>
      </c>
      <c r="AB115">
        <f t="shared" si="204"/>
        <v>519.79999999999995</v>
      </c>
      <c r="AC115">
        <f t="shared" si="231"/>
        <v>519.79999999999995</v>
      </c>
      <c r="AD115">
        <f t="shared" ref="AD115:AD120" si="233">ROUND((((ET115)-(EU115))+AE115),2)</f>
        <v>0</v>
      </c>
      <c r="AE115">
        <f t="shared" ref="AE115:AF120" si="234">ROUND((EU115),2)</f>
        <v>0</v>
      </c>
      <c r="AF115">
        <f t="shared" si="234"/>
        <v>0</v>
      </c>
      <c r="AG115">
        <f t="shared" si="205"/>
        <v>0</v>
      </c>
      <c r="AH115">
        <f t="shared" ref="AH115:AI120" si="235">(EW115)</f>
        <v>0</v>
      </c>
      <c r="AI115">
        <f t="shared" si="235"/>
        <v>0</v>
      </c>
      <c r="AJ115">
        <f t="shared" si="206"/>
        <v>0</v>
      </c>
      <c r="AK115">
        <v>519.79999999999995</v>
      </c>
      <c r="AL115">
        <v>519.79999999999995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92</v>
      </c>
      <c r="AU115">
        <v>52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8.7100000000000009</v>
      </c>
      <c r="BD115" t="s">
        <v>3</v>
      </c>
      <c r="BE115" t="s">
        <v>3</v>
      </c>
      <c r="BF115" t="s">
        <v>3</v>
      </c>
      <c r="BG115" t="s">
        <v>3</v>
      </c>
      <c r="BH115">
        <v>3</v>
      </c>
      <c r="BI115">
        <v>1</v>
      </c>
      <c r="BJ115" t="s">
        <v>313</v>
      </c>
      <c r="BM115">
        <v>53001</v>
      </c>
      <c r="BN115">
        <v>0</v>
      </c>
      <c r="BO115" t="s">
        <v>3</v>
      </c>
      <c r="BP115">
        <v>0</v>
      </c>
      <c r="BQ115">
        <v>6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92</v>
      </c>
      <c r="CA115">
        <v>52</v>
      </c>
      <c r="CB115" t="s">
        <v>3</v>
      </c>
      <c r="CE115">
        <v>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207"/>
        <v>-174.41</v>
      </c>
      <c r="CQ115">
        <f t="shared" si="208"/>
        <v>4527.4579999999996</v>
      </c>
      <c r="CR115">
        <f t="shared" ref="CR115:CR120" si="236">(((ET115)*BB115-(EU115)*BS115)+AE115*BS115)</f>
        <v>0</v>
      </c>
      <c r="CS115">
        <f t="shared" si="209"/>
        <v>0</v>
      </c>
      <c r="CT115">
        <f t="shared" si="210"/>
        <v>0</v>
      </c>
      <c r="CU115">
        <f t="shared" si="211"/>
        <v>0</v>
      </c>
      <c r="CV115">
        <f t="shared" si="212"/>
        <v>0</v>
      </c>
      <c r="CW115">
        <f t="shared" si="213"/>
        <v>0</v>
      </c>
      <c r="CX115">
        <f t="shared" si="214"/>
        <v>0</v>
      </c>
      <c r="CY115">
        <f t="shared" si="215"/>
        <v>0</v>
      </c>
      <c r="CZ115">
        <f t="shared" si="216"/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1007</v>
      </c>
      <c r="DV115" t="s">
        <v>66</v>
      </c>
      <c r="DW115" t="s">
        <v>66</v>
      </c>
      <c r="DX115">
        <v>1</v>
      </c>
      <c r="DZ115" t="s">
        <v>3</v>
      </c>
      <c r="EA115" t="s">
        <v>3</v>
      </c>
      <c r="EB115" t="s">
        <v>3</v>
      </c>
      <c r="EC115" t="s">
        <v>3</v>
      </c>
      <c r="EE115">
        <v>140625144</v>
      </c>
      <c r="EF115">
        <v>6</v>
      </c>
      <c r="EG115" t="s">
        <v>34</v>
      </c>
      <c r="EH115">
        <v>87</v>
      </c>
      <c r="EI115" t="s">
        <v>215</v>
      </c>
      <c r="EJ115">
        <v>1</v>
      </c>
      <c r="EK115">
        <v>53001</v>
      </c>
      <c r="EL115" t="s">
        <v>215</v>
      </c>
      <c r="EM115" t="s">
        <v>216</v>
      </c>
      <c r="EO115" t="s">
        <v>3</v>
      </c>
      <c r="EQ115">
        <v>0</v>
      </c>
      <c r="ER115">
        <v>519.79999999999995</v>
      </c>
      <c r="ES115">
        <v>519.79999999999995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217"/>
        <v>0</v>
      </c>
      <c r="FS115">
        <v>0</v>
      </c>
      <c r="FX115">
        <v>92</v>
      </c>
      <c r="FY115">
        <v>52</v>
      </c>
      <c r="GA115" t="s">
        <v>3</v>
      </c>
      <c r="GD115">
        <v>1</v>
      </c>
      <c r="GF115">
        <v>-1568863701</v>
      </c>
      <c r="GG115">
        <v>2</v>
      </c>
      <c r="GH115">
        <v>1</v>
      </c>
      <c r="GI115">
        <v>4</v>
      </c>
      <c r="GJ115">
        <v>0</v>
      </c>
      <c r="GK115">
        <v>0</v>
      </c>
      <c r="GL115">
        <f t="shared" si="218"/>
        <v>0</v>
      </c>
      <c r="GM115">
        <f t="shared" si="219"/>
        <v>-174.41</v>
      </c>
      <c r="GN115">
        <f t="shared" si="220"/>
        <v>-174.41</v>
      </c>
      <c r="GO115">
        <f t="shared" si="221"/>
        <v>0</v>
      </c>
      <c r="GP115">
        <f t="shared" si="222"/>
        <v>0</v>
      </c>
      <c r="GR115">
        <v>0</v>
      </c>
      <c r="GS115">
        <v>3</v>
      </c>
      <c r="GT115">
        <v>0</v>
      </c>
      <c r="GU115" t="s">
        <v>3</v>
      </c>
      <c r="GV115">
        <f t="shared" si="232"/>
        <v>0</v>
      </c>
      <c r="GW115">
        <v>1</v>
      </c>
      <c r="GX115">
        <f t="shared" si="224"/>
        <v>0</v>
      </c>
      <c r="HA115">
        <v>0</v>
      </c>
      <c r="HB115">
        <v>0</v>
      </c>
      <c r="HC115">
        <f t="shared" si="225"/>
        <v>0</v>
      </c>
      <c r="HE115" t="s">
        <v>3</v>
      </c>
      <c r="HF115" t="s">
        <v>3</v>
      </c>
      <c r="HM115" t="s">
        <v>3</v>
      </c>
      <c r="HN115" t="s">
        <v>217</v>
      </c>
      <c r="HO115" t="s">
        <v>218</v>
      </c>
      <c r="HP115" t="s">
        <v>215</v>
      </c>
      <c r="HQ115" t="s">
        <v>215</v>
      </c>
      <c r="IK115">
        <v>0</v>
      </c>
    </row>
    <row r="116" spans="1:245" x14ac:dyDescent="0.2">
      <c r="A116">
        <v>18</v>
      </c>
      <c r="B116">
        <v>1</v>
      </c>
      <c r="C116">
        <v>233</v>
      </c>
      <c r="E116" t="s">
        <v>385</v>
      </c>
      <c r="F116" t="s">
        <v>386</v>
      </c>
      <c r="G116" t="s">
        <v>387</v>
      </c>
      <c r="H116" t="s">
        <v>175</v>
      </c>
      <c r="I116">
        <f>I114*J116</f>
        <v>-4.06638E-2</v>
      </c>
      <c r="J116">
        <v>-0.56999999999999995</v>
      </c>
      <c r="K116">
        <v>-0.56999999999999995</v>
      </c>
      <c r="O116">
        <f t="shared" si="193"/>
        <v>-620.74</v>
      </c>
      <c r="P116">
        <f t="shared" si="194"/>
        <v>-620.74</v>
      </c>
      <c r="Q116">
        <f t="shared" si="195"/>
        <v>0</v>
      </c>
      <c r="R116">
        <f t="shared" si="196"/>
        <v>0</v>
      </c>
      <c r="S116">
        <f t="shared" si="197"/>
        <v>0</v>
      </c>
      <c r="T116">
        <f t="shared" si="198"/>
        <v>0</v>
      </c>
      <c r="U116">
        <f t="shared" si="199"/>
        <v>0</v>
      </c>
      <c r="V116">
        <f t="shared" si="200"/>
        <v>0</v>
      </c>
      <c r="W116">
        <f t="shared" si="201"/>
        <v>0</v>
      </c>
      <c r="X116">
        <f t="shared" si="202"/>
        <v>0</v>
      </c>
      <c r="Y116">
        <f t="shared" si="203"/>
        <v>0</v>
      </c>
      <c r="AA116">
        <v>145033679</v>
      </c>
      <c r="AB116">
        <f t="shared" si="204"/>
        <v>1752.6</v>
      </c>
      <c r="AC116">
        <f t="shared" si="231"/>
        <v>1752.6</v>
      </c>
      <c r="AD116">
        <f t="shared" si="233"/>
        <v>0</v>
      </c>
      <c r="AE116">
        <f t="shared" si="234"/>
        <v>0</v>
      </c>
      <c r="AF116">
        <f t="shared" si="234"/>
        <v>0</v>
      </c>
      <c r="AG116">
        <f t="shared" si="205"/>
        <v>0</v>
      </c>
      <c r="AH116">
        <f t="shared" si="235"/>
        <v>0</v>
      </c>
      <c r="AI116">
        <f t="shared" si="235"/>
        <v>0</v>
      </c>
      <c r="AJ116">
        <f t="shared" si="206"/>
        <v>0</v>
      </c>
      <c r="AK116">
        <v>1752.6</v>
      </c>
      <c r="AL116">
        <v>1752.6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92</v>
      </c>
      <c r="AU116">
        <v>52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8.7100000000000009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1</v>
      </c>
      <c r="BJ116" t="s">
        <v>388</v>
      </c>
      <c r="BM116">
        <v>53001</v>
      </c>
      <c r="BN116">
        <v>0</v>
      </c>
      <c r="BO116" t="s">
        <v>3</v>
      </c>
      <c r="BP116">
        <v>0</v>
      </c>
      <c r="BQ116">
        <v>6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92</v>
      </c>
      <c r="CA116">
        <v>52</v>
      </c>
      <c r="CB116" t="s">
        <v>3</v>
      </c>
      <c r="CE116">
        <v>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207"/>
        <v>-620.74</v>
      </c>
      <c r="CQ116">
        <f t="shared" si="208"/>
        <v>15265.146000000001</v>
      </c>
      <c r="CR116">
        <f t="shared" si="236"/>
        <v>0</v>
      </c>
      <c r="CS116">
        <f t="shared" si="209"/>
        <v>0</v>
      </c>
      <c r="CT116">
        <f t="shared" si="210"/>
        <v>0</v>
      </c>
      <c r="CU116">
        <f t="shared" si="211"/>
        <v>0</v>
      </c>
      <c r="CV116">
        <f t="shared" si="212"/>
        <v>0</v>
      </c>
      <c r="CW116">
        <f t="shared" si="213"/>
        <v>0</v>
      </c>
      <c r="CX116">
        <f t="shared" si="214"/>
        <v>0</v>
      </c>
      <c r="CY116">
        <f t="shared" si="215"/>
        <v>0</v>
      </c>
      <c r="CZ116">
        <f t="shared" si="216"/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1013</v>
      </c>
      <c r="DV116" t="s">
        <v>175</v>
      </c>
      <c r="DW116" t="s">
        <v>175</v>
      </c>
      <c r="DX116">
        <v>1</v>
      </c>
      <c r="DZ116" t="s">
        <v>3</v>
      </c>
      <c r="EA116" t="s">
        <v>3</v>
      </c>
      <c r="EB116" t="s">
        <v>3</v>
      </c>
      <c r="EC116" t="s">
        <v>3</v>
      </c>
      <c r="EE116">
        <v>140625144</v>
      </c>
      <c r="EF116">
        <v>6</v>
      </c>
      <c r="EG116" t="s">
        <v>34</v>
      </c>
      <c r="EH116">
        <v>87</v>
      </c>
      <c r="EI116" t="s">
        <v>215</v>
      </c>
      <c r="EJ116">
        <v>1</v>
      </c>
      <c r="EK116">
        <v>53001</v>
      </c>
      <c r="EL116" t="s">
        <v>215</v>
      </c>
      <c r="EM116" t="s">
        <v>216</v>
      </c>
      <c r="EO116" t="s">
        <v>3</v>
      </c>
      <c r="EQ116">
        <v>0</v>
      </c>
      <c r="ER116">
        <v>1752.6</v>
      </c>
      <c r="ES116">
        <v>1752.6</v>
      </c>
      <c r="ET116">
        <v>0</v>
      </c>
      <c r="EU116">
        <v>0</v>
      </c>
      <c r="EV116">
        <v>0</v>
      </c>
      <c r="EW116">
        <v>0</v>
      </c>
      <c r="EX116">
        <v>0</v>
      </c>
      <c r="FQ116">
        <v>0</v>
      </c>
      <c r="FR116">
        <f t="shared" si="217"/>
        <v>0</v>
      </c>
      <c r="FS116">
        <v>0</v>
      </c>
      <c r="FX116">
        <v>92</v>
      </c>
      <c r="FY116">
        <v>52</v>
      </c>
      <c r="GA116" t="s">
        <v>3</v>
      </c>
      <c r="GD116">
        <v>1</v>
      </c>
      <c r="GF116">
        <v>-1014167754</v>
      </c>
      <c r="GG116">
        <v>2</v>
      </c>
      <c r="GH116">
        <v>1</v>
      </c>
      <c r="GI116">
        <v>4</v>
      </c>
      <c r="GJ116">
        <v>0</v>
      </c>
      <c r="GK116">
        <v>0</v>
      </c>
      <c r="GL116">
        <f t="shared" si="218"/>
        <v>0</v>
      </c>
      <c r="GM116">
        <f t="shared" si="219"/>
        <v>-620.74</v>
      </c>
      <c r="GN116">
        <f t="shared" si="220"/>
        <v>-620.74</v>
      </c>
      <c r="GO116">
        <f t="shared" si="221"/>
        <v>0</v>
      </c>
      <c r="GP116">
        <f t="shared" si="222"/>
        <v>0</v>
      </c>
      <c r="GR116">
        <v>0</v>
      </c>
      <c r="GS116">
        <v>3</v>
      </c>
      <c r="GT116">
        <v>0</v>
      </c>
      <c r="GU116" t="s">
        <v>3</v>
      </c>
      <c r="GV116">
        <f t="shared" si="232"/>
        <v>0</v>
      </c>
      <c r="GW116">
        <v>1</v>
      </c>
      <c r="GX116">
        <f t="shared" si="224"/>
        <v>0</v>
      </c>
      <c r="HA116">
        <v>0</v>
      </c>
      <c r="HB116">
        <v>0</v>
      </c>
      <c r="HC116">
        <f t="shared" si="225"/>
        <v>0</v>
      </c>
      <c r="HE116" t="s">
        <v>3</v>
      </c>
      <c r="HF116" t="s">
        <v>3</v>
      </c>
      <c r="HM116" t="s">
        <v>3</v>
      </c>
      <c r="HN116" t="s">
        <v>217</v>
      </c>
      <c r="HO116" t="s">
        <v>218</v>
      </c>
      <c r="HP116" t="s">
        <v>215</v>
      </c>
      <c r="HQ116" t="s">
        <v>215</v>
      </c>
      <c r="IK116">
        <v>0</v>
      </c>
    </row>
    <row r="117" spans="1:245" x14ac:dyDescent="0.2">
      <c r="A117">
        <v>17</v>
      </c>
      <c r="B117">
        <v>1</v>
      </c>
      <c r="E117" t="s">
        <v>389</v>
      </c>
      <c r="F117" t="s">
        <v>46</v>
      </c>
      <c r="G117" t="s">
        <v>390</v>
      </c>
      <c r="H117" t="s">
        <v>105</v>
      </c>
      <c r="I117">
        <f>ROUND(ROUND(71.34/1000*1.04,4),9)</f>
        <v>7.4200000000000002E-2</v>
      </c>
      <c r="J117">
        <v>0</v>
      </c>
      <c r="K117">
        <f>ROUND(ROUND(71.34/1000*1.04,4),9)</f>
        <v>7.4200000000000002E-2</v>
      </c>
      <c r="O117">
        <f t="shared" si="193"/>
        <v>5363.78</v>
      </c>
      <c r="P117">
        <f t="shared" si="194"/>
        <v>5363.78</v>
      </c>
      <c r="Q117">
        <f t="shared" si="195"/>
        <v>0</v>
      </c>
      <c r="R117">
        <f t="shared" si="196"/>
        <v>0</v>
      </c>
      <c r="S117">
        <f t="shared" si="197"/>
        <v>0</v>
      </c>
      <c r="T117">
        <f t="shared" si="198"/>
        <v>0</v>
      </c>
      <c r="U117">
        <f t="shared" si="199"/>
        <v>0</v>
      </c>
      <c r="V117">
        <f t="shared" si="200"/>
        <v>0</v>
      </c>
      <c r="W117">
        <f t="shared" si="201"/>
        <v>0</v>
      </c>
      <c r="X117">
        <f t="shared" si="202"/>
        <v>0</v>
      </c>
      <c r="Y117">
        <f t="shared" si="203"/>
        <v>0</v>
      </c>
      <c r="AA117">
        <v>145033679</v>
      </c>
      <c r="AB117">
        <f t="shared" si="204"/>
        <v>8299.44</v>
      </c>
      <c r="AC117">
        <f t="shared" si="231"/>
        <v>8299.44</v>
      </c>
      <c r="AD117">
        <f t="shared" si="233"/>
        <v>0</v>
      </c>
      <c r="AE117">
        <f t="shared" si="234"/>
        <v>0</v>
      </c>
      <c r="AF117">
        <f t="shared" si="234"/>
        <v>0</v>
      </c>
      <c r="AG117">
        <f t="shared" si="205"/>
        <v>0</v>
      </c>
      <c r="AH117">
        <f t="shared" si="235"/>
        <v>0</v>
      </c>
      <c r="AI117">
        <f t="shared" si="235"/>
        <v>0</v>
      </c>
      <c r="AJ117">
        <f t="shared" si="206"/>
        <v>0</v>
      </c>
      <c r="AK117">
        <v>8299.44</v>
      </c>
      <c r="AL117">
        <v>8299.44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8.7100000000000009</v>
      </c>
      <c r="BD117" t="s">
        <v>3</v>
      </c>
      <c r="BE117" t="s">
        <v>3</v>
      </c>
      <c r="BF117" t="s">
        <v>3</v>
      </c>
      <c r="BG117" t="s">
        <v>3</v>
      </c>
      <c r="BH117">
        <v>3</v>
      </c>
      <c r="BI117">
        <v>1</v>
      </c>
      <c r="BJ117" t="s">
        <v>3</v>
      </c>
      <c r="BM117">
        <v>1100</v>
      </c>
      <c r="BN117">
        <v>0</v>
      </c>
      <c r="BO117" t="s">
        <v>3</v>
      </c>
      <c r="BP117">
        <v>0</v>
      </c>
      <c r="BQ117">
        <v>8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0</v>
      </c>
      <c r="CA117">
        <v>0</v>
      </c>
      <c r="CB117" t="s">
        <v>3</v>
      </c>
      <c r="CE117">
        <v>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207"/>
        <v>5363.78</v>
      </c>
      <c r="CQ117">
        <f t="shared" si="208"/>
        <v>72288.122400000007</v>
      </c>
      <c r="CR117">
        <f t="shared" si="236"/>
        <v>0</v>
      </c>
      <c r="CS117">
        <f t="shared" si="209"/>
        <v>0</v>
      </c>
      <c r="CT117">
        <f t="shared" si="210"/>
        <v>0</v>
      </c>
      <c r="CU117">
        <f t="shared" si="211"/>
        <v>0</v>
      </c>
      <c r="CV117">
        <f t="shared" si="212"/>
        <v>0</v>
      </c>
      <c r="CW117">
        <f t="shared" si="213"/>
        <v>0</v>
      </c>
      <c r="CX117">
        <f t="shared" si="214"/>
        <v>0</v>
      </c>
      <c r="CY117">
        <f t="shared" si="215"/>
        <v>0</v>
      </c>
      <c r="CZ117">
        <f t="shared" si="216"/>
        <v>0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105</v>
      </c>
      <c r="DW117" t="s">
        <v>105</v>
      </c>
      <c r="DX117">
        <v>1000</v>
      </c>
      <c r="DZ117" t="s">
        <v>3</v>
      </c>
      <c r="EA117" t="s">
        <v>3</v>
      </c>
      <c r="EB117" t="s">
        <v>3</v>
      </c>
      <c r="EC117" t="s">
        <v>3</v>
      </c>
      <c r="EE117">
        <v>140625274</v>
      </c>
      <c r="EF117">
        <v>8</v>
      </c>
      <c r="EG117" t="s">
        <v>48</v>
      </c>
      <c r="EH117">
        <v>0</v>
      </c>
      <c r="EI117" t="s">
        <v>3</v>
      </c>
      <c r="EJ117">
        <v>1</v>
      </c>
      <c r="EK117">
        <v>1100</v>
      </c>
      <c r="EL117" t="s">
        <v>49</v>
      </c>
      <c r="EM117" t="s">
        <v>50</v>
      </c>
      <c r="EO117" t="s">
        <v>3</v>
      </c>
      <c r="EQ117">
        <v>0</v>
      </c>
      <c r="ER117">
        <v>8299.44</v>
      </c>
      <c r="ES117">
        <v>8299.44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5</v>
      </c>
      <c r="FC117">
        <v>1</v>
      </c>
      <c r="FD117">
        <v>18</v>
      </c>
      <c r="FF117">
        <v>82000</v>
      </c>
      <c r="FQ117">
        <v>0</v>
      </c>
      <c r="FR117">
        <f t="shared" si="217"/>
        <v>0</v>
      </c>
      <c r="FS117">
        <v>0</v>
      </c>
      <c r="FX117">
        <v>0</v>
      </c>
      <c r="FY117">
        <v>0</v>
      </c>
      <c r="GA117" t="s">
        <v>118</v>
      </c>
      <c r="GD117">
        <v>1</v>
      </c>
      <c r="GF117">
        <v>-159817382</v>
      </c>
      <c r="GG117">
        <v>2</v>
      </c>
      <c r="GH117">
        <v>3</v>
      </c>
      <c r="GI117">
        <v>4</v>
      </c>
      <c r="GJ117">
        <v>0</v>
      </c>
      <c r="GK117">
        <v>0</v>
      </c>
      <c r="GL117">
        <f t="shared" si="218"/>
        <v>0</v>
      </c>
      <c r="GM117">
        <f t="shared" si="219"/>
        <v>5363.78</v>
      </c>
      <c r="GN117">
        <f t="shared" si="220"/>
        <v>5363.78</v>
      </c>
      <c r="GO117">
        <f t="shared" si="221"/>
        <v>0</v>
      </c>
      <c r="GP117">
        <f t="shared" si="222"/>
        <v>0</v>
      </c>
      <c r="GR117">
        <v>1</v>
      </c>
      <c r="GS117">
        <v>1</v>
      </c>
      <c r="GT117">
        <v>0</v>
      </c>
      <c r="GU117" t="s">
        <v>3</v>
      </c>
      <c r="GV117">
        <f t="shared" si="232"/>
        <v>0</v>
      </c>
      <c r="GW117">
        <v>1</v>
      </c>
      <c r="GX117">
        <f t="shared" si="224"/>
        <v>0</v>
      </c>
      <c r="HA117">
        <v>0</v>
      </c>
      <c r="HB117">
        <v>0</v>
      </c>
      <c r="HC117">
        <f t="shared" si="225"/>
        <v>0</v>
      </c>
      <c r="HE117" t="s">
        <v>52</v>
      </c>
      <c r="HF117" t="s">
        <v>115</v>
      </c>
      <c r="HM117" t="s">
        <v>3</v>
      </c>
      <c r="HN117" t="s">
        <v>3</v>
      </c>
      <c r="HO117" t="s">
        <v>3</v>
      </c>
      <c r="HP117" t="s">
        <v>3</v>
      </c>
      <c r="HQ117" t="s">
        <v>3</v>
      </c>
      <c r="IK117">
        <v>0</v>
      </c>
    </row>
    <row r="118" spans="1:245" x14ac:dyDescent="0.2">
      <c r="A118">
        <v>17</v>
      </c>
      <c r="B118">
        <v>1</v>
      </c>
      <c r="E118" t="s">
        <v>391</v>
      </c>
      <c r="F118" t="s">
        <v>46</v>
      </c>
      <c r="G118" t="s">
        <v>392</v>
      </c>
      <c r="H118" t="s">
        <v>66</v>
      </c>
      <c r="I118">
        <v>0.01</v>
      </c>
      <c r="J118">
        <v>0</v>
      </c>
      <c r="K118">
        <v>0.01</v>
      </c>
      <c r="O118">
        <f t="shared" si="193"/>
        <v>147.26</v>
      </c>
      <c r="P118">
        <f t="shared" si="194"/>
        <v>147.26</v>
      </c>
      <c r="Q118">
        <f t="shared" si="195"/>
        <v>0</v>
      </c>
      <c r="R118">
        <f t="shared" si="196"/>
        <v>0</v>
      </c>
      <c r="S118">
        <f t="shared" si="197"/>
        <v>0</v>
      </c>
      <c r="T118">
        <f t="shared" si="198"/>
        <v>0</v>
      </c>
      <c r="U118">
        <f t="shared" si="199"/>
        <v>0</v>
      </c>
      <c r="V118">
        <f t="shared" si="200"/>
        <v>0</v>
      </c>
      <c r="W118">
        <f t="shared" si="201"/>
        <v>0</v>
      </c>
      <c r="X118">
        <f t="shared" si="202"/>
        <v>0</v>
      </c>
      <c r="Y118">
        <f t="shared" si="203"/>
        <v>0</v>
      </c>
      <c r="AA118">
        <v>145033679</v>
      </c>
      <c r="AB118">
        <f t="shared" si="204"/>
        <v>1690.73</v>
      </c>
      <c r="AC118">
        <f t="shared" si="231"/>
        <v>1690.73</v>
      </c>
      <c r="AD118">
        <f t="shared" si="233"/>
        <v>0</v>
      </c>
      <c r="AE118">
        <f t="shared" si="234"/>
        <v>0</v>
      </c>
      <c r="AF118">
        <f t="shared" si="234"/>
        <v>0</v>
      </c>
      <c r="AG118">
        <f t="shared" si="205"/>
        <v>0</v>
      </c>
      <c r="AH118">
        <f t="shared" si="235"/>
        <v>0</v>
      </c>
      <c r="AI118">
        <f t="shared" si="235"/>
        <v>0</v>
      </c>
      <c r="AJ118">
        <f t="shared" si="206"/>
        <v>0</v>
      </c>
      <c r="AK118">
        <v>1690.7300000000002</v>
      </c>
      <c r="AL118">
        <v>1690.7300000000002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8.7100000000000009</v>
      </c>
      <c r="BD118" t="s">
        <v>3</v>
      </c>
      <c r="BE118" t="s">
        <v>3</v>
      </c>
      <c r="BF118" t="s">
        <v>3</v>
      </c>
      <c r="BG118" t="s">
        <v>3</v>
      </c>
      <c r="BH118">
        <v>3</v>
      </c>
      <c r="BI118">
        <v>1</v>
      </c>
      <c r="BJ118" t="s">
        <v>3</v>
      </c>
      <c r="BM118">
        <v>1100</v>
      </c>
      <c r="BN118">
        <v>0</v>
      </c>
      <c r="BO118" t="s">
        <v>3</v>
      </c>
      <c r="BP118">
        <v>0</v>
      </c>
      <c r="BQ118">
        <v>8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0</v>
      </c>
      <c r="CA118">
        <v>0</v>
      </c>
      <c r="CB118" t="s">
        <v>3</v>
      </c>
      <c r="CE118">
        <v>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207"/>
        <v>147.26</v>
      </c>
      <c r="CQ118">
        <f t="shared" si="208"/>
        <v>14726.258300000001</v>
      </c>
      <c r="CR118">
        <f t="shared" si="236"/>
        <v>0</v>
      </c>
      <c r="CS118">
        <f t="shared" si="209"/>
        <v>0</v>
      </c>
      <c r="CT118">
        <f t="shared" si="210"/>
        <v>0</v>
      </c>
      <c r="CU118">
        <f t="shared" si="211"/>
        <v>0</v>
      </c>
      <c r="CV118">
        <f t="shared" si="212"/>
        <v>0</v>
      </c>
      <c r="CW118">
        <f t="shared" si="213"/>
        <v>0</v>
      </c>
      <c r="CX118">
        <f t="shared" si="214"/>
        <v>0</v>
      </c>
      <c r="CY118">
        <f t="shared" si="215"/>
        <v>0</v>
      </c>
      <c r="CZ118">
        <f t="shared" si="216"/>
        <v>0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1007</v>
      </c>
      <c r="DV118" t="s">
        <v>66</v>
      </c>
      <c r="DW118" t="s">
        <v>66</v>
      </c>
      <c r="DX118">
        <v>1</v>
      </c>
      <c r="DZ118" t="s">
        <v>3</v>
      </c>
      <c r="EA118" t="s">
        <v>3</v>
      </c>
      <c r="EB118" t="s">
        <v>3</v>
      </c>
      <c r="EC118" t="s">
        <v>3</v>
      </c>
      <c r="EE118">
        <v>140625274</v>
      </c>
      <c r="EF118">
        <v>8</v>
      </c>
      <c r="EG118" t="s">
        <v>48</v>
      </c>
      <c r="EH118">
        <v>0</v>
      </c>
      <c r="EI118" t="s">
        <v>3</v>
      </c>
      <c r="EJ118">
        <v>1</v>
      </c>
      <c r="EK118">
        <v>1100</v>
      </c>
      <c r="EL118" t="s">
        <v>49</v>
      </c>
      <c r="EM118" t="s">
        <v>50</v>
      </c>
      <c r="EO118" t="s">
        <v>3</v>
      </c>
      <c r="EQ118">
        <v>0</v>
      </c>
      <c r="ER118">
        <v>1690.7300000000002</v>
      </c>
      <c r="ES118">
        <v>1690.7300000000002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5</v>
      </c>
      <c r="FC118">
        <v>1</v>
      </c>
      <c r="FD118">
        <v>18</v>
      </c>
      <c r="FF118">
        <v>16500</v>
      </c>
      <c r="FQ118">
        <v>0</v>
      </c>
      <c r="FR118">
        <f t="shared" si="217"/>
        <v>0</v>
      </c>
      <c r="FS118">
        <v>0</v>
      </c>
      <c r="FX118">
        <v>0</v>
      </c>
      <c r="FY118">
        <v>0</v>
      </c>
      <c r="GA118" t="s">
        <v>393</v>
      </c>
      <c r="GD118">
        <v>1</v>
      </c>
      <c r="GF118">
        <v>1362677018</v>
      </c>
      <c r="GG118">
        <v>2</v>
      </c>
      <c r="GH118">
        <v>3</v>
      </c>
      <c r="GI118">
        <v>4</v>
      </c>
      <c r="GJ118">
        <v>0</v>
      </c>
      <c r="GK118">
        <v>0</v>
      </c>
      <c r="GL118">
        <f t="shared" si="218"/>
        <v>0</v>
      </c>
      <c r="GM118">
        <f t="shared" si="219"/>
        <v>147.26</v>
      </c>
      <c r="GN118">
        <f t="shared" si="220"/>
        <v>147.26</v>
      </c>
      <c r="GO118">
        <f t="shared" si="221"/>
        <v>0</v>
      </c>
      <c r="GP118">
        <f t="shared" si="222"/>
        <v>0</v>
      </c>
      <c r="GR118">
        <v>1</v>
      </c>
      <c r="GS118">
        <v>1</v>
      </c>
      <c r="GT118">
        <v>0</v>
      </c>
      <c r="GU118" t="s">
        <v>3</v>
      </c>
      <c r="GV118">
        <f t="shared" si="232"/>
        <v>0</v>
      </c>
      <c r="GW118">
        <v>1</v>
      </c>
      <c r="GX118">
        <f t="shared" si="224"/>
        <v>0</v>
      </c>
      <c r="HA118">
        <v>0</v>
      </c>
      <c r="HB118">
        <v>0</v>
      </c>
      <c r="HC118">
        <f t="shared" si="225"/>
        <v>0</v>
      </c>
      <c r="HE118" t="s">
        <v>52</v>
      </c>
      <c r="HF118" t="s">
        <v>29</v>
      </c>
      <c r="HM118" t="s">
        <v>3</v>
      </c>
      <c r="HN118" t="s">
        <v>3</v>
      </c>
      <c r="HO118" t="s">
        <v>3</v>
      </c>
      <c r="HP118" t="s">
        <v>3</v>
      </c>
      <c r="HQ118" t="s">
        <v>3</v>
      </c>
      <c r="IK118">
        <v>0</v>
      </c>
    </row>
    <row r="119" spans="1:245" x14ac:dyDescent="0.2">
      <c r="A119">
        <v>17</v>
      </c>
      <c r="B119">
        <v>1</v>
      </c>
      <c r="E119" t="s">
        <v>394</v>
      </c>
      <c r="F119" t="s">
        <v>46</v>
      </c>
      <c r="G119" t="s">
        <v>395</v>
      </c>
      <c r="H119" t="s">
        <v>213</v>
      </c>
      <c r="I119">
        <f>ROUND(7*0.1,9)</f>
        <v>0.7</v>
      </c>
      <c r="J119">
        <v>0</v>
      </c>
      <c r="K119">
        <f>ROUND(7*0.1,9)</f>
        <v>0.7</v>
      </c>
      <c r="O119">
        <f t="shared" si="193"/>
        <v>99.99</v>
      </c>
      <c r="P119">
        <f t="shared" si="194"/>
        <v>99.99</v>
      </c>
      <c r="Q119">
        <f t="shared" si="195"/>
        <v>0</v>
      </c>
      <c r="R119">
        <f t="shared" si="196"/>
        <v>0</v>
      </c>
      <c r="S119">
        <f t="shared" si="197"/>
        <v>0</v>
      </c>
      <c r="T119">
        <f t="shared" si="198"/>
        <v>0</v>
      </c>
      <c r="U119">
        <f t="shared" si="199"/>
        <v>0</v>
      </c>
      <c r="V119">
        <f t="shared" si="200"/>
        <v>0</v>
      </c>
      <c r="W119">
        <f t="shared" si="201"/>
        <v>0</v>
      </c>
      <c r="X119">
        <f t="shared" si="202"/>
        <v>0</v>
      </c>
      <c r="Y119">
        <f t="shared" si="203"/>
        <v>0</v>
      </c>
      <c r="AA119">
        <v>145033679</v>
      </c>
      <c r="AB119">
        <f t="shared" si="204"/>
        <v>16.399999999999999</v>
      </c>
      <c r="AC119">
        <f t="shared" si="231"/>
        <v>16.399999999999999</v>
      </c>
      <c r="AD119">
        <f t="shared" si="233"/>
        <v>0</v>
      </c>
      <c r="AE119">
        <f t="shared" si="234"/>
        <v>0</v>
      </c>
      <c r="AF119">
        <f t="shared" si="234"/>
        <v>0</v>
      </c>
      <c r="AG119">
        <f t="shared" si="205"/>
        <v>0</v>
      </c>
      <c r="AH119">
        <f t="shared" si="235"/>
        <v>0</v>
      </c>
      <c r="AI119">
        <f t="shared" si="235"/>
        <v>0</v>
      </c>
      <c r="AJ119">
        <f t="shared" si="206"/>
        <v>0</v>
      </c>
      <c r="AK119">
        <v>16.400000000000002</v>
      </c>
      <c r="AL119">
        <v>16.400000000000002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8.7100000000000009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1</v>
      </c>
      <c r="BJ119" t="s">
        <v>3</v>
      </c>
      <c r="BM119">
        <v>1100</v>
      </c>
      <c r="BN119">
        <v>0</v>
      </c>
      <c r="BO119" t="s">
        <v>3</v>
      </c>
      <c r="BP119">
        <v>0</v>
      </c>
      <c r="BQ119">
        <v>8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0</v>
      </c>
      <c r="CA119">
        <v>0</v>
      </c>
      <c r="CB119" t="s">
        <v>3</v>
      </c>
      <c r="CE119">
        <v>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 t="shared" si="207"/>
        <v>99.99</v>
      </c>
      <c r="CQ119">
        <f t="shared" si="208"/>
        <v>142.84399999999999</v>
      </c>
      <c r="CR119">
        <f t="shared" si="236"/>
        <v>0</v>
      </c>
      <c r="CS119">
        <f t="shared" si="209"/>
        <v>0</v>
      </c>
      <c r="CT119">
        <f t="shared" si="210"/>
        <v>0</v>
      </c>
      <c r="CU119">
        <f t="shared" si="211"/>
        <v>0</v>
      </c>
      <c r="CV119">
        <f t="shared" si="212"/>
        <v>0</v>
      </c>
      <c r="CW119">
        <f t="shared" si="213"/>
        <v>0</v>
      </c>
      <c r="CX119">
        <f t="shared" si="214"/>
        <v>0</v>
      </c>
      <c r="CY119">
        <f t="shared" si="215"/>
        <v>0</v>
      </c>
      <c r="CZ119">
        <f t="shared" si="216"/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213</v>
      </c>
      <c r="DW119" t="s">
        <v>213</v>
      </c>
      <c r="DX119">
        <v>1</v>
      </c>
      <c r="DZ119" t="s">
        <v>3</v>
      </c>
      <c r="EA119" t="s">
        <v>3</v>
      </c>
      <c r="EB119" t="s">
        <v>3</v>
      </c>
      <c r="EC119" t="s">
        <v>3</v>
      </c>
      <c r="EE119">
        <v>140625274</v>
      </c>
      <c r="EF119">
        <v>8</v>
      </c>
      <c r="EG119" t="s">
        <v>48</v>
      </c>
      <c r="EH119">
        <v>0</v>
      </c>
      <c r="EI119" t="s">
        <v>3</v>
      </c>
      <c r="EJ119">
        <v>1</v>
      </c>
      <c r="EK119">
        <v>1100</v>
      </c>
      <c r="EL119" t="s">
        <v>49</v>
      </c>
      <c r="EM119" t="s">
        <v>50</v>
      </c>
      <c r="EO119" t="s">
        <v>3</v>
      </c>
      <c r="EQ119">
        <v>0</v>
      </c>
      <c r="ER119">
        <v>16.400000000000002</v>
      </c>
      <c r="ES119">
        <v>16.400000000000002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5</v>
      </c>
      <c r="FC119">
        <v>1</v>
      </c>
      <c r="FD119">
        <v>18</v>
      </c>
      <c r="FF119">
        <v>160</v>
      </c>
      <c r="FQ119">
        <v>0</v>
      </c>
      <c r="FR119">
        <f t="shared" si="217"/>
        <v>0</v>
      </c>
      <c r="FS119">
        <v>0</v>
      </c>
      <c r="FX119">
        <v>0</v>
      </c>
      <c r="FY119">
        <v>0</v>
      </c>
      <c r="GA119" t="s">
        <v>396</v>
      </c>
      <c r="GD119">
        <v>1</v>
      </c>
      <c r="GF119">
        <v>179644512</v>
      </c>
      <c r="GG119">
        <v>2</v>
      </c>
      <c r="GH119">
        <v>3</v>
      </c>
      <c r="GI119">
        <v>4</v>
      </c>
      <c r="GJ119">
        <v>0</v>
      </c>
      <c r="GK119">
        <v>0</v>
      </c>
      <c r="GL119">
        <f t="shared" si="218"/>
        <v>0</v>
      </c>
      <c r="GM119">
        <f t="shared" si="219"/>
        <v>99.99</v>
      </c>
      <c r="GN119">
        <f t="shared" si="220"/>
        <v>99.99</v>
      </c>
      <c r="GO119">
        <f t="shared" si="221"/>
        <v>0</v>
      </c>
      <c r="GP119">
        <f t="shared" si="222"/>
        <v>0</v>
      </c>
      <c r="GR119">
        <v>1</v>
      </c>
      <c r="GS119">
        <v>1</v>
      </c>
      <c r="GT119">
        <v>0</v>
      </c>
      <c r="GU119" t="s">
        <v>3</v>
      </c>
      <c r="GV119">
        <f t="shared" si="232"/>
        <v>0</v>
      </c>
      <c r="GW119">
        <v>1</v>
      </c>
      <c r="GX119">
        <f t="shared" si="224"/>
        <v>0</v>
      </c>
      <c r="HA119">
        <v>0</v>
      </c>
      <c r="HB119">
        <v>0</v>
      </c>
      <c r="HC119">
        <f t="shared" si="225"/>
        <v>0</v>
      </c>
      <c r="HE119" t="s">
        <v>52</v>
      </c>
      <c r="HF119" t="s">
        <v>29</v>
      </c>
      <c r="HM119" t="s">
        <v>3</v>
      </c>
      <c r="HN119" t="s">
        <v>3</v>
      </c>
      <c r="HO119" t="s">
        <v>3</v>
      </c>
      <c r="HP119" t="s">
        <v>3</v>
      </c>
      <c r="HQ119" t="s">
        <v>3</v>
      </c>
      <c r="IK119">
        <v>0</v>
      </c>
    </row>
    <row r="120" spans="1:245" x14ac:dyDescent="0.2">
      <c r="A120">
        <v>17</v>
      </c>
      <c r="B120">
        <v>1</v>
      </c>
      <c r="E120" t="s">
        <v>397</v>
      </c>
      <c r="F120" t="s">
        <v>46</v>
      </c>
      <c r="G120" t="s">
        <v>169</v>
      </c>
      <c r="H120" t="s">
        <v>43</v>
      </c>
      <c r="I120">
        <v>18.635000000000002</v>
      </c>
      <c r="J120">
        <v>0</v>
      </c>
      <c r="K120">
        <v>18.635000000000002</v>
      </c>
      <c r="O120">
        <f t="shared" si="193"/>
        <v>795.32</v>
      </c>
      <c r="P120">
        <f t="shared" si="194"/>
        <v>795.32</v>
      </c>
      <c r="Q120">
        <f t="shared" si="195"/>
        <v>0</v>
      </c>
      <c r="R120">
        <f t="shared" si="196"/>
        <v>0</v>
      </c>
      <c r="S120">
        <f t="shared" si="197"/>
        <v>0</v>
      </c>
      <c r="T120">
        <f t="shared" si="198"/>
        <v>0</v>
      </c>
      <c r="U120">
        <f t="shared" si="199"/>
        <v>0</v>
      </c>
      <c r="V120">
        <f t="shared" si="200"/>
        <v>0</v>
      </c>
      <c r="W120">
        <f t="shared" si="201"/>
        <v>0</v>
      </c>
      <c r="X120">
        <f t="shared" si="202"/>
        <v>0</v>
      </c>
      <c r="Y120">
        <f t="shared" si="203"/>
        <v>0</v>
      </c>
      <c r="AA120">
        <v>145033679</v>
      </c>
      <c r="AB120">
        <f t="shared" si="204"/>
        <v>4.9000000000000004</v>
      </c>
      <c r="AC120">
        <f t="shared" si="231"/>
        <v>4.9000000000000004</v>
      </c>
      <c r="AD120">
        <f t="shared" si="233"/>
        <v>0</v>
      </c>
      <c r="AE120">
        <f t="shared" si="234"/>
        <v>0</v>
      </c>
      <c r="AF120">
        <f t="shared" si="234"/>
        <v>0</v>
      </c>
      <c r="AG120">
        <f t="shared" si="205"/>
        <v>0</v>
      </c>
      <c r="AH120">
        <f t="shared" si="235"/>
        <v>0</v>
      </c>
      <c r="AI120">
        <f t="shared" si="235"/>
        <v>0</v>
      </c>
      <c r="AJ120">
        <f t="shared" si="206"/>
        <v>0</v>
      </c>
      <c r="AK120">
        <v>4.9000000000000004</v>
      </c>
      <c r="AL120">
        <v>4.9000000000000004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8.7100000000000009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1</v>
      </c>
      <c r="BJ120" t="s">
        <v>3</v>
      </c>
      <c r="BM120">
        <v>1100</v>
      </c>
      <c r="BN120">
        <v>0</v>
      </c>
      <c r="BO120" t="s">
        <v>3</v>
      </c>
      <c r="BP120">
        <v>0</v>
      </c>
      <c r="BQ120">
        <v>8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B120" t="s">
        <v>3</v>
      </c>
      <c r="CE120">
        <v>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207"/>
        <v>795.32</v>
      </c>
      <c r="CQ120">
        <f t="shared" si="208"/>
        <v>42.679000000000009</v>
      </c>
      <c r="CR120">
        <f t="shared" si="236"/>
        <v>0</v>
      </c>
      <c r="CS120">
        <f t="shared" si="209"/>
        <v>0</v>
      </c>
      <c r="CT120">
        <f t="shared" si="210"/>
        <v>0</v>
      </c>
      <c r="CU120">
        <f t="shared" si="211"/>
        <v>0</v>
      </c>
      <c r="CV120">
        <f t="shared" si="212"/>
        <v>0</v>
      </c>
      <c r="CW120">
        <f t="shared" si="213"/>
        <v>0</v>
      </c>
      <c r="CX120">
        <f t="shared" si="214"/>
        <v>0</v>
      </c>
      <c r="CY120">
        <f t="shared" si="215"/>
        <v>0</v>
      </c>
      <c r="CZ120">
        <f t="shared" si="216"/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1009</v>
      </c>
      <c r="DV120" t="s">
        <v>43</v>
      </c>
      <c r="DW120" t="s">
        <v>43</v>
      </c>
      <c r="DX120">
        <v>1</v>
      </c>
      <c r="DZ120" t="s">
        <v>3</v>
      </c>
      <c r="EA120" t="s">
        <v>3</v>
      </c>
      <c r="EB120" t="s">
        <v>3</v>
      </c>
      <c r="EC120" t="s">
        <v>3</v>
      </c>
      <c r="EE120">
        <v>140625274</v>
      </c>
      <c r="EF120">
        <v>8</v>
      </c>
      <c r="EG120" t="s">
        <v>48</v>
      </c>
      <c r="EH120">
        <v>0</v>
      </c>
      <c r="EI120" t="s">
        <v>3</v>
      </c>
      <c r="EJ120">
        <v>1</v>
      </c>
      <c r="EK120">
        <v>1100</v>
      </c>
      <c r="EL120" t="s">
        <v>49</v>
      </c>
      <c r="EM120" t="s">
        <v>50</v>
      </c>
      <c r="EO120" t="s">
        <v>3</v>
      </c>
      <c r="EQ120">
        <v>0</v>
      </c>
      <c r="ER120">
        <v>4.9000000000000004</v>
      </c>
      <c r="ES120">
        <v>4.9000000000000004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5</v>
      </c>
      <c r="FC120">
        <v>1</v>
      </c>
      <c r="FD120">
        <v>18</v>
      </c>
      <c r="FF120">
        <v>47.8</v>
      </c>
      <c r="FQ120">
        <v>0</v>
      </c>
      <c r="FR120">
        <f t="shared" si="217"/>
        <v>0</v>
      </c>
      <c r="FS120">
        <v>0</v>
      </c>
      <c r="FX120">
        <v>0</v>
      </c>
      <c r="FY120">
        <v>0</v>
      </c>
      <c r="GA120" t="s">
        <v>170</v>
      </c>
      <c r="GD120">
        <v>1</v>
      </c>
      <c r="GF120">
        <v>281988453</v>
      </c>
      <c r="GG120">
        <v>2</v>
      </c>
      <c r="GH120">
        <v>3</v>
      </c>
      <c r="GI120">
        <v>4</v>
      </c>
      <c r="GJ120">
        <v>0</v>
      </c>
      <c r="GK120">
        <v>0</v>
      </c>
      <c r="GL120">
        <f t="shared" si="218"/>
        <v>0</v>
      </c>
      <c r="GM120">
        <f t="shared" si="219"/>
        <v>795.32</v>
      </c>
      <c r="GN120">
        <f t="shared" si="220"/>
        <v>795.32</v>
      </c>
      <c r="GO120">
        <f t="shared" si="221"/>
        <v>0</v>
      </c>
      <c r="GP120">
        <f t="shared" si="222"/>
        <v>0</v>
      </c>
      <c r="GR120">
        <v>1</v>
      </c>
      <c r="GS120">
        <v>1</v>
      </c>
      <c r="GT120">
        <v>0</v>
      </c>
      <c r="GU120" t="s">
        <v>3</v>
      </c>
      <c r="GV120">
        <f t="shared" si="232"/>
        <v>0</v>
      </c>
      <c r="GW120">
        <v>1</v>
      </c>
      <c r="GX120">
        <f t="shared" si="224"/>
        <v>0</v>
      </c>
      <c r="HA120">
        <v>0</v>
      </c>
      <c r="HB120">
        <v>0</v>
      </c>
      <c r="HC120">
        <f t="shared" si="225"/>
        <v>0</v>
      </c>
      <c r="HE120" t="s">
        <v>52</v>
      </c>
      <c r="HF120" t="s">
        <v>29</v>
      </c>
      <c r="HM120" t="s">
        <v>3</v>
      </c>
      <c r="HN120" t="s">
        <v>3</v>
      </c>
      <c r="HO120" t="s">
        <v>3</v>
      </c>
      <c r="HP120" t="s">
        <v>3</v>
      </c>
      <c r="HQ120" t="s">
        <v>3</v>
      </c>
      <c r="IK120">
        <v>0</v>
      </c>
    </row>
    <row r="121" spans="1:245" x14ac:dyDescent="0.2">
      <c r="A121">
        <v>17</v>
      </c>
      <c r="B121">
        <v>1</v>
      </c>
      <c r="C121">
        <f>ROW(SmtRes!A235)</f>
        <v>235</v>
      </c>
      <c r="D121">
        <f>ROW(EtalonRes!A235)</f>
        <v>235</v>
      </c>
      <c r="E121" t="s">
        <v>398</v>
      </c>
      <c r="F121" t="s">
        <v>129</v>
      </c>
      <c r="G121" t="s">
        <v>399</v>
      </c>
      <c r="H121" t="s">
        <v>131</v>
      </c>
      <c r="I121">
        <v>19.2</v>
      </c>
      <c r="J121">
        <v>0</v>
      </c>
      <c r="K121">
        <v>19.2</v>
      </c>
      <c r="O121">
        <f t="shared" si="193"/>
        <v>2955.29</v>
      </c>
      <c r="P121">
        <f t="shared" si="194"/>
        <v>0</v>
      </c>
      <c r="Q121">
        <f t="shared" si="195"/>
        <v>0</v>
      </c>
      <c r="R121">
        <f t="shared" si="196"/>
        <v>0</v>
      </c>
      <c r="S121">
        <f t="shared" si="197"/>
        <v>2955.29</v>
      </c>
      <c r="T121">
        <f t="shared" si="198"/>
        <v>0</v>
      </c>
      <c r="U121">
        <f t="shared" si="199"/>
        <v>12.806399999999998</v>
      </c>
      <c r="V121">
        <f t="shared" si="200"/>
        <v>0</v>
      </c>
      <c r="W121">
        <f t="shared" si="201"/>
        <v>0</v>
      </c>
      <c r="X121">
        <f t="shared" si="202"/>
        <v>2659.76</v>
      </c>
      <c r="Y121">
        <f t="shared" si="203"/>
        <v>1359.43</v>
      </c>
      <c r="AA121">
        <v>145033679</v>
      </c>
      <c r="AB121">
        <f t="shared" si="204"/>
        <v>5.04</v>
      </c>
      <c r="AC121">
        <f t="shared" si="231"/>
        <v>0</v>
      </c>
      <c r="AD121">
        <f>ROUND(((((ET121*1.15))-((EU121*1.15)))+AE121),2)</f>
        <v>0</v>
      </c>
      <c r="AE121">
        <f>ROUND(((EU121*1.15)),2)</f>
        <v>0</v>
      </c>
      <c r="AF121">
        <f>ROUND(((EV121*1.15)),2)</f>
        <v>5.04</v>
      </c>
      <c r="AG121">
        <f t="shared" si="205"/>
        <v>0</v>
      </c>
      <c r="AH121">
        <f>((EW121*1.15))</f>
        <v>0.66699999999999993</v>
      </c>
      <c r="AI121">
        <f>((EX121*1.15))</f>
        <v>0</v>
      </c>
      <c r="AJ121">
        <f t="shared" si="206"/>
        <v>0</v>
      </c>
      <c r="AK121">
        <v>4.38</v>
      </c>
      <c r="AL121">
        <v>0</v>
      </c>
      <c r="AM121">
        <v>0</v>
      </c>
      <c r="AN121">
        <v>0</v>
      </c>
      <c r="AO121">
        <v>4.38</v>
      </c>
      <c r="AP121">
        <v>0</v>
      </c>
      <c r="AQ121">
        <v>0.57999999999999996</v>
      </c>
      <c r="AR121">
        <v>0</v>
      </c>
      <c r="AS121">
        <v>0</v>
      </c>
      <c r="AT121">
        <v>90</v>
      </c>
      <c r="AU121">
        <v>46</v>
      </c>
      <c r="AV121">
        <v>1</v>
      </c>
      <c r="AW121">
        <v>1</v>
      </c>
      <c r="AZ121">
        <v>1</v>
      </c>
      <c r="BA121">
        <v>30.54</v>
      </c>
      <c r="BB121">
        <v>12.13</v>
      </c>
      <c r="BC121">
        <v>8.7100000000000009</v>
      </c>
      <c r="BD121" t="s">
        <v>3</v>
      </c>
      <c r="BE121" t="s">
        <v>3</v>
      </c>
      <c r="BF121" t="s">
        <v>3</v>
      </c>
      <c r="BG121" t="s">
        <v>3</v>
      </c>
      <c r="BH121">
        <v>0</v>
      </c>
      <c r="BI121">
        <v>1</v>
      </c>
      <c r="BJ121" t="s">
        <v>132</v>
      </c>
      <c r="BM121">
        <v>62001</v>
      </c>
      <c r="BN121">
        <v>0</v>
      </c>
      <c r="BO121" t="s">
        <v>3</v>
      </c>
      <c r="BP121">
        <v>0</v>
      </c>
      <c r="BQ121">
        <v>6</v>
      </c>
      <c r="BR121">
        <v>0</v>
      </c>
      <c r="BS121">
        <v>30.54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90</v>
      </c>
      <c r="CA121">
        <v>46</v>
      </c>
      <c r="CB121" t="s">
        <v>3</v>
      </c>
      <c r="CE121">
        <v>0</v>
      </c>
      <c r="CF121">
        <v>0</v>
      </c>
      <c r="CG121">
        <v>0</v>
      </c>
      <c r="CM121">
        <v>0</v>
      </c>
      <c r="CN121" t="s">
        <v>1103</v>
      </c>
      <c r="CO121">
        <v>0</v>
      </c>
      <c r="CP121">
        <f t="shared" si="207"/>
        <v>2955.29</v>
      </c>
      <c r="CQ121">
        <f t="shared" si="208"/>
        <v>0</v>
      </c>
      <c r="CR121">
        <f>((((ET121*1.15))*BB121-((EU121*1.15))*BS121)+AE121*BS121)</f>
        <v>0</v>
      </c>
      <c r="CS121">
        <f t="shared" si="209"/>
        <v>0</v>
      </c>
      <c r="CT121">
        <f t="shared" si="210"/>
        <v>153.92159999999998</v>
      </c>
      <c r="CU121">
        <f t="shared" si="211"/>
        <v>0</v>
      </c>
      <c r="CV121">
        <f t="shared" si="212"/>
        <v>0.66699999999999993</v>
      </c>
      <c r="CW121">
        <f t="shared" si="213"/>
        <v>0</v>
      </c>
      <c r="CX121">
        <f t="shared" si="214"/>
        <v>0</v>
      </c>
      <c r="CY121">
        <f t="shared" si="215"/>
        <v>2659.761</v>
      </c>
      <c r="CZ121">
        <f t="shared" si="216"/>
        <v>1359.4333999999999</v>
      </c>
      <c r="DC121" t="s">
        <v>3</v>
      </c>
      <c r="DD121" t="s">
        <v>3</v>
      </c>
      <c r="DE121" t="s">
        <v>21</v>
      </c>
      <c r="DF121" t="s">
        <v>21</v>
      </c>
      <c r="DG121" t="s">
        <v>21</v>
      </c>
      <c r="DH121" t="s">
        <v>3</v>
      </c>
      <c r="DI121" t="s">
        <v>21</v>
      </c>
      <c r="DJ121" t="s">
        <v>21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1005</v>
      </c>
      <c r="DV121" t="s">
        <v>131</v>
      </c>
      <c r="DW121" t="s">
        <v>131</v>
      </c>
      <c r="DX121">
        <v>1</v>
      </c>
      <c r="DZ121" t="s">
        <v>3</v>
      </c>
      <c r="EA121" t="s">
        <v>3</v>
      </c>
      <c r="EB121" t="s">
        <v>3</v>
      </c>
      <c r="EC121" t="s">
        <v>3</v>
      </c>
      <c r="EE121">
        <v>140625162</v>
      </c>
      <c r="EF121">
        <v>6</v>
      </c>
      <c r="EG121" t="s">
        <v>34</v>
      </c>
      <c r="EH121">
        <v>96</v>
      </c>
      <c r="EI121" t="s">
        <v>133</v>
      </c>
      <c r="EJ121">
        <v>1</v>
      </c>
      <c r="EK121">
        <v>62001</v>
      </c>
      <c r="EL121" t="s">
        <v>133</v>
      </c>
      <c r="EM121" t="s">
        <v>134</v>
      </c>
      <c r="EO121" t="s">
        <v>37</v>
      </c>
      <c r="EQ121">
        <v>0</v>
      </c>
      <c r="ER121">
        <v>4.38</v>
      </c>
      <c r="ES121">
        <v>0</v>
      </c>
      <c r="ET121">
        <v>0</v>
      </c>
      <c r="EU121">
        <v>0</v>
      </c>
      <c r="EV121">
        <v>4.38</v>
      </c>
      <c r="EW121">
        <v>0.57999999999999996</v>
      </c>
      <c r="EX121">
        <v>0</v>
      </c>
      <c r="EY121">
        <v>0</v>
      </c>
      <c r="FQ121">
        <v>0</v>
      </c>
      <c r="FR121">
        <f t="shared" si="217"/>
        <v>0</v>
      </c>
      <c r="FS121">
        <v>0</v>
      </c>
      <c r="FX121">
        <v>90</v>
      </c>
      <c r="FY121">
        <v>46</v>
      </c>
      <c r="GA121" t="s">
        <v>3</v>
      </c>
      <c r="GD121">
        <v>1</v>
      </c>
      <c r="GF121">
        <v>1445974915</v>
      </c>
      <c r="GG121">
        <v>2</v>
      </c>
      <c r="GH121">
        <v>1</v>
      </c>
      <c r="GI121">
        <v>4</v>
      </c>
      <c r="GJ121">
        <v>0</v>
      </c>
      <c r="GK121">
        <v>0</v>
      </c>
      <c r="GL121">
        <f t="shared" si="218"/>
        <v>0</v>
      </c>
      <c r="GM121">
        <f t="shared" si="219"/>
        <v>6974.48</v>
      </c>
      <c r="GN121">
        <f t="shared" si="220"/>
        <v>6974.48</v>
      </c>
      <c r="GO121">
        <f t="shared" si="221"/>
        <v>0</v>
      </c>
      <c r="GP121">
        <f t="shared" si="222"/>
        <v>0</v>
      </c>
      <c r="GR121">
        <v>0</v>
      </c>
      <c r="GS121">
        <v>3</v>
      </c>
      <c r="GT121">
        <v>0</v>
      </c>
      <c r="GU121" t="s">
        <v>3</v>
      </c>
      <c r="GV121">
        <f t="shared" si="232"/>
        <v>0</v>
      </c>
      <c r="GW121">
        <v>1</v>
      </c>
      <c r="GX121">
        <f t="shared" si="224"/>
        <v>0</v>
      </c>
      <c r="HA121">
        <v>0</v>
      </c>
      <c r="HB121">
        <v>0</v>
      </c>
      <c r="HC121">
        <f t="shared" si="225"/>
        <v>0</v>
      </c>
      <c r="HE121" t="s">
        <v>3</v>
      </c>
      <c r="HF121" t="s">
        <v>3</v>
      </c>
      <c r="HM121" t="s">
        <v>3</v>
      </c>
      <c r="HN121" t="s">
        <v>135</v>
      </c>
      <c r="HO121" t="s">
        <v>136</v>
      </c>
      <c r="HP121" t="s">
        <v>133</v>
      </c>
      <c r="HQ121" t="s">
        <v>133</v>
      </c>
      <c r="IK121">
        <v>0</v>
      </c>
    </row>
    <row r="122" spans="1:245" x14ac:dyDescent="0.2">
      <c r="A122">
        <v>17</v>
      </c>
      <c r="B122">
        <v>1</v>
      </c>
      <c r="C122">
        <f>ROW(SmtRes!A258)</f>
        <v>258</v>
      </c>
      <c r="D122">
        <f>ROW(EtalonRes!A258)</f>
        <v>258</v>
      </c>
      <c r="E122" t="s">
        <v>400</v>
      </c>
      <c r="F122" t="s">
        <v>401</v>
      </c>
      <c r="G122" t="s">
        <v>402</v>
      </c>
      <c r="H122" t="s">
        <v>105</v>
      </c>
      <c r="I122">
        <v>0.65939999999999999</v>
      </c>
      <c r="J122">
        <v>0</v>
      </c>
      <c r="K122">
        <v>0.65939999999999999</v>
      </c>
      <c r="O122">
        <f t="shared" si="193"/>
        <v>5368.62</v>
      </c>
      <c r="P122">
        <f t="shared" si="194"/>
        <v>0</v>
      </c>
      <c r="Q122">
        <f t="shared" si="195"/>
        <v>2091.35</v>
      </c>
      <c r="R122">
        <f t="shared" si="196"/>
        <v>451.9</v>
      </c>
      <c r="S122">
        <f t="shared" si="197"/>
        <v>3277.27</v>
      </c>
      <c r="T122">
        <f t="shared" si="198"/>
        <v>0</v>
      </c>
      <c r="U122">
        <f t="shared" si="199"/>
        <v>10.510176599999999</v>
      </c>
      <c r="V122">
        <f t="shared" si="200"/>
        <v>1.10409936</v>
      </c>
      <c r="W122">
        <f t="shared" si="201"/>
        <v>0</v>
      </c>
      <c r="X122">
        <f t="shared" si="202"/>
        <v>3468.13</v>
      </c>
      <c r="Y122">
        <f t="shared" si="203"/>
        <v>2312.09</v>
      </c>
      <c r="AA122">
        <v>145033679</v>
      </c>
      <c r="AB122">
        <f t="shared" si="204"/>
        <v>424.2</v>
      </c>
      <c r="AC122">
        <f>ROUND(((ES122*0)),2)</f>
        <v>0</v>
      </c>
      <c r="AD122">
        <f>ROUND((((((ET122*1.15)*0.7))-(((EU122*1.15)*0.7)))+AE122),2)</f>
        <v>261.45999999999998</v>
      </c>
      <c r="AE122">
        <f>ROUND((((EU122*1.15)*0.7)),2)</f>
        <v>22.44</v>
      </c>
      <c r="AF122">
        <f>ROUND((((EV122*1.15)*0.7)),2)</f>
        <v>162.74</v>
      </c>
      <c r="AG122">
        <f t="shared" si="205"/>
        <v>0</v>
      </c>
      <c r="AH122">
        <f>(((EW122*1.15)*0.7))</f>
        <v>15.938999999999998</v>
      </c>
      <c r="AI122">
        <f>(((EX122*1.15)*0.7))</f>
        <v>1.6743999999999999</v>
      </c>
      <c r="AJ122">
        <f t="shared" si="206"/>
        <v>0</v>
      </c>
      <c r="AK122">
        <v>623.4</v>
      </c>
      <c r="AL122">
        <v>96.45</v>
      </c>
      <c r="AM122">
        <v>324.79000000000002</v>
      </c>
      <c r="AN122">
        <v>27.87</v>
      </c>
      <c r="AO122">
        <v>202.16</v>
      </c>
      <c r="AP122">
        <v>0</v>
      </c>
      <c r="AQ122">
        <v>19.8</v>
      </c>
      <c r="AR122">
        <v>2.08</v>
      </c>
      <c r="AS122">
        <v>0</v>
      </c>
      <c r="AT122">
        <v>93</v>
      </c>
      <c r="AU122">
        <v>62</v>
      </c>
      <c r="AV122">
        <v>1</v>
      </c>
      <c r="AW122">
        <v>1</v>
      </c>
      <c r="AZ122">
        <v>1</v>
      </c>
      <c r="BA122">
        <v>30.54</v>
      </c>
      <c r="BB122">
        <v>12.13</v>
      </c>
      <c r="BC122">
        <v>8.7100000000000009</v>
      </c>
      <c r="BD122" t="s">
        <v>3</v>
      </c>
      <c r="BE122" t="s">
        <v>3</v>
      </c>
      <c r="BF122" t="s">
        <v>3</v>
      </c>
      <c r="BG122" t="s">
        <v>3</v>
      </c>
      <c r="BH122">
        <v>0</v>
      </c>
      <c r="BI122">
        <v>1</v>
      </c>
      <c r="BJ122" t="s">
        <v>403</v>
      </c>
      <c r="BM122">
        <v>9001</v>
      </c>
      <c r="BN122">
        <v>0</v>
      </c>
      <c r="BO122" t="s">
        <v>3</v>
      </c>
      <c r="BP122">
        <v>0</v>
      </c>
      <c r="BQ122">
        <v>2</v>
      </c>
      <c r="BR122">
        <v>0</v>
      </c>
      <c r="BS122">
        <v>30.54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93</v>
      </c>
      <c r="CA122">
        <v>62</v>
      </c>
      <c r="CB122" t="s">
        <v>3</v>
      </c>
      <c r="CE122">
        <v>0</v>
      </c>
      <c r="CF122">
        <v>0</v>
      </c>
      <c r="CG122">
        <v>0</v>
      </c>
      <c r="CM122">
        <v>0</v>
      </c>
      <c r="CN122" t="s">
        <v>1107</v>
      </c>
      <c r="CO122">
        <v>0</v>
      </c>
      <c r="CP122">
        <f t="shared" si="207"/>
        <v>5368.62</v>
      </c>
      <c r="CQ122">
        <f t="shared" si="208"/>
        <v>0</v>
      </c>
      <c r="CR122">
        <f>(((((ET122*1.15)*0.7))*BB122-(((EU122*1.15)*0.7))*BS122)+AE122*BS122)</f>
        <v>3171.6026844999997</v>
      </c>
      <c r="CS122">
        <f t="shared" si="209"/>
        <v>685.31759999999997</v>
      </c>
      <c r="CT122">
        <f t="shared" si="210"/>
        <v>4970.0796</v>
      </c>
      <c r="CU122">
        <f t="shared" si="211"/>
        <v>0</v>
      </c>
      <c r="CV122">
        <f t="shared" si="212"/>
        <v>15.938999999999998</v>
      </c>
      <c r="CW122">
        <f t="shared" si="213"/>
        <v>1.6743999999999999</v>
      </c>
      <c r="CX122">
        <f t="shared" si="214"/>
        <v>0</v>
      </c>
      <c r="CY122">
        <f t="shared" si="215"/>
        <v>3468.1280999999999</v>
      </c>
      <c r="CZ122">
        <f t="shared" si="216"/>
        <v>2312.0853999999999</v>
      </c>
      <c r="DC122" t="s">
        <v>3</v>
      </c>
      <c r="DD122" t="s">
        <v>299</v>
      </c>
      <c r="DE122" t="s">
        <v>404</v>
      </c>
      <c r="DF122" t="s">
        <v>404</v>
      </c>
      <c r="DG122" t="s">
        <v>404</v>
      </c>
      <c r="DH122" t="s">
        <v>3</v>
      </c>
      <c r="DI122" t="s">
        <v>404</v>
      </c>
      <c r="DJ122" t="s">
        <v>404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1009</v>
      </c>
      <c r="DV122" t="s">
        <v>105</v>
      </c>
      <c r="DW122" t="s">
        <v>105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140625026</v>
      </c>
      <c r="EF122">
        <v>2</v>
      </c>
      <c r="EG122" t="s">
        <v>22</v>
      </c>
      <c r="EH122">
        <v>9</v>
      </c>
      <c r="EI122" t="s">
        <v>263</v>
      </c>
      <c r="EJ122">
        <v>1</v>
      </c>
      <c r="EK122">
        <v>9001</v>
      </c>
      <c r="EL122" t="s">
        <v>263</v>
      </c>
      <c r="EM122" t="s">
        <v>264</v>
      </c>
      <c r="EO122" t="s">
        <v>405</v>
      </c>
      <c r="EQ122">
        <v>0</v>
      </c>
      <c r="ER122">
        <v>623.4</v>
      </c>
      <c r="ES122">
        <v>96.45</v>
      </c>
      <c r="ET122">
        <v>324.79000000000002</v>
      </c>
      <c r="EU122">
        <v>27.87</v>
      </c>
      <c r="EV122">
        <v>202.16</v>
      </c>
      <c r="EW122">
        <v>19.8</v>
      </c>
      <c r="EX122">
        <v>2.08</v>
      </c>
      <c r="EY122">
        <v>0</v>
      </c>
      <c r="FQ122">
        <v>0</v>
      </c>
      <c r="FR122">
        <f t="shared" si="217"/>
        <v>0</v>
      </c>
      <c r="FS122">
        <v>0</v>
      </c>
      <c r="FX122">
        <v>93</v>
      </c>
      <c r="FY122">
        <v>62</v>
      </c>
      <c r="GA122" t="s">
        <v>3</v>
      </c>
      <c r="GD122">
        <v>1</v>
      </c>
      <c r="GF122">
        <v>-381672406</v>
      </c>
      <c r="GG122">
        <v>2</v>
      </c>
      <c r="GH122">
        <v>1</v>
      </c>
      <c r="GI122">
        <v>4</v>
      </c>
      <c r="GJ122">
        <v>0</v>
      </c>
      <c r="GK122">
        <v>0</v>
      </c>
      <c r="GL122">
        <f t="shared" si="218"/>
        <v>0</v>
      </c>
      <c r="GM122">
        <f t="shared" si="219"/>
        <v>11148.84</v>
      </c>
      <c r="GN122">
        <f t="shared" si="220"/>
        <v>11148.84</v>
      </c>
      <c r="GO122">
        <f t="shared" si="221"/>
        <v>0</v>
      </c>
      <c r="GP122">
        <f t="shared" si="222"/>
        <v>0</v>
      </c>
      <c r="GR122">
        <v>0</v>
      </c>
      <c r="GS122">
        <v>3</v>
      </c>
      <c r="GT122">
        <v>0</v>
      </c>
      <c r="GU122" t="s">
        <v>3</v>
      </c>
      <c r="GV122">
        <f t="shared" si="232"/>
        <v>0</v>
      </c>
      <c r="GW122">
        <v>1</v>
      </c>
      <c r="GX122">
        <f t="shared" si="224"/>
        <v>0</v>
      </c>
      <c r="HA122">
        <v>0</v>
      </c>
      <c r="HB122">
        <v>0</v>
      </c>
      <c r="HC122">
        <f t="shared" si="225"/>
        <v>0</v>
      </c>
      <c r="HE122" t="s">
        <v>3</v>
      </c>
      <c r="HF122" t="s">
        <v>3</v>
      </c>
      <c r="HM122" t="s">
        <v>3</v>
      </c>
      <c r="HN122" t="s">
        <v>265</v>
      </c>
      <c r="HO122" t="s">
        <v>266</v>
      </c>
      <c r="HP122" t="s">
        <v>263</v>
      </c>
      <c r="HQ122" t="s">
        <v>263</v>
      </c>
      <c r="IK122">
        <v>0</v>
      </c>
    </row>
    <row r="123" spans="1:245" x14ac:dyDescent="0.2">
      <c r="A123">
        <v>17</v>
      </c>
      <c r="B123">
        <v>1</v>
      </c>
      <c r="C123">
        <f>ROW(SmtRes!A273)</f>
        <v>273</v>
      </c>
      <c r="D123">
        <f>ROW(EtalonRes!A273)</f>
        <v>273</v>
      </c>
      <c r="E123" t="s">
        <v>406</v>
      </c>
      <c r="F123" t="s">
        <v>407</v>
      </c>
      <c r="G123" t="s">
        <v>408</v>
      </c>
      <c r="H123" t="s">
        <v>66</v>
      </c>
      <c r="I123">
        <f>ROUND(4*0.2,9)</f>
        <v>0.8</v>
      </c>
      <c r="J123">
        <v>0</v>
      </c>
      <c r="K123">
        <f>ROUND(4*0.2,9)</f>
        <v>0.8</v>
      </c>
      <c r="O123">
        <f t="shared" si="193"/>
        <v>12705.07</v>
      </c>
      <c r="P123">
        <f t="shared" si="194"/>
        <v>6519.4</v>
      </c>
      <c r="Q123">
        <f t="shared" si="195"/>
        <v>335.92</v>
      </c>
      <c r="R123">
        <f t="shared" si="196"/>
        <v>121.67</v>
      </c>
      <c r="S123">
        <f t="shared" si="197"/>
        <v>5849.75</v>
      </c>
      <c r="T123">
        <f t="shared" si="198"/>
        <v>0</v>
      </c>
      <c r="U123">
        <f t="shared" si="199"/>
        <v>22.641199999999998</v>
      </c>
      <c r="V123">
        <f t="shared" si="200"/>
        <v>0.32200000000000001</v>
      </c>
      <c r="W123">
        <f t="shared" si="201"/>
        <v>0</v>
      </c>
      <c r="X123">
        <f t="shared" si="202"/>
        <v>6150.56</v>
      </c>
      <c r="Y123">
        <f t="shared" si="203"/>
        <v>3523.14</v>
      </c>
      <c r="AA123">
        <v>145033679</v>
      </c>
      <c r="AB123">
        <f t="shared" si="204"/>
        <v>1209.67</v>
      </c>
      <c r="AC123">
        <f t="shared" ref="AC123:AC130" si="237">ROUND((ES123),2)</f>
        <v>935.62</v>
      </c>
      <c r="AD123">
        <f>ROUND(((((ET123*1.15))-((EU123*1.15)))+AE123),2)</f>
        <v>34.619999999999997</v>
      </c>
      <c r="AE123">
        <f>ROUND(((EU123*1.15)),2)</f>
        <v>4.9800000000000004</v>
      </c>
      <c r="AF123">
        <f>ROUND(((EV123*1.15)),2)</f>
        <v>239.43</v>
      </c>
      <c r="AG123">
        <f t="shared" si="205"/>
        <v>0</v>
      </c>
      <c r="AH123">
        <f>((EW123*1.15))</f>
        <v>28.301499999999997</v>
      </c>
      <c r="AI123">
        <f>((EX123*1.15))</f>
        <v>0.40249999999999997</v>
      </c>
      <c r="AJ123">
        <f t="shared" si="206"/>
        <v>0</v>
      </c>
      <c r="AK123">
        <v>1173.92</v>
      </c>
      <c r="AL123">
        <v>935.62</v>
      </c>
      <c r="AM123">
        <v>30.1</v>
      </c>
      <c r="AN123">
        <v>4.33</v>
      </c>
      <c r="AO123">
        <v>208.2</v>
      </c>
      <c r="AP123">
        <v>0</v>
      </c>
      <c r="AQ123">
        <v>24.61</v>
      </c>
      <c r="AR123">
        <v>0.35</v>
      </c>
      <c r="AS123">
        <v>0</v>
      </c>
      <c r="AT123">
        <v>103</v>
      </c>
      <c r="AU123">
        <v>59</v>
      </c>
      <c r="AV123">
        <v>1</v>
      </c>
      <c r="AW123">
        <v>1</v>
      </c>
      <c r="AZ123">
        <v>1</v>
      </c>
      <c r="BA123">
        <v>30.54</v>
      </c>
      <c r="BB123">
        <v>12.13</v>
      </c>
      <c r="BC123">
        <v>8.7100000000000009</v>
      </c>
      <c r="BD123" t="s">
        <v>3</v>
      </c>
      <c r="BE123" t="s">
        <v>3</v>
      </c>
      <c r="BF123" t="s">
        <v>3</v>
      </c>
      <c r="BG123" t="s">
        <v>3</v>
      </c>
      <c r="BH123">
        <v>0</v>
      </c>
      <c r="BI123">
        <v>1</v>
      </c>
      <c r="BJ123" t="s">
        <v>409</v>
      </c>
      <c r="BM123">
        <v>46001</v>
      </c>
      <c r="BN123">
        <v>0</v>
      </c>
      <c r="BO123" t="s">
        <v>3</v>
      </c>
      <c r="BP123">
        <v>0</v>
      </c>
      <c r="BQ123">
        <v>2</v>
      </c>
      <c r="BR123">
        <v>0</v>
      </c>
      <c r="BS123">
        <v>30.54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103</v>
      </c>
      <c r="CA123">
        <v>59</v>
      </c>
      <c r="CB123" t="s">
        <v>3</v>
      </c>
      <c r="CE123">
        <v>0</v>
      </c>
      <c r="CF123">
        <v>0</v>
      </c>
      <c r="CG123">
        <v>0</v>
      </c>
      <c r="CM123">
        <v>0</v>
      </c>
      <c r="CN123" t="s">
        <v>1102</v>
      </c>
      <c r="CO123">
        <v>0</v>
      </c>
      <c r="CP123">
        <f t="shared" si="207"/>
        <v>12705.07</v>
      </c>
      <c r="CQ123">
        <f t="shared" si="208"/>
        <v>8149.2502000000004</v>
      </c>
      <c r="CR123">
        <f>((((ET123*1.15))*BB123-((EU123*1.15))*BS123)+AE123*BS123)</f>
        <v>419.89522000000011</v>
      </c>
      <c r="CS123">
        <f t="shared" si="209"/>
        <v>152.08920000000001</v>
      </c>
      <c r="CT123">
        <f t="shared" si="210"/>
        <v>7312.1922000000004</v>
      </c>
      <c r="CU123">
        <f t="shared" si="211"/>
        <v>0</v>
      </c>
      <c r="CV123">
        <f t="shared" si="212"/>
        <v>28.301499999999997</v>
      </c>
      <c r="CW123">
        <f t="shared" si="213"/>
        <v>0.40249999999999997</v>
      </c>
      <c r="CX123">
        <f t="shared" si="214"/>
        <v>0</v>
      </c>
      <c r="CY123">
        <f t="shared" si="215"/>
        <v>6150.5626000000002</v>
      </c>
      <c r="CZ123">
        <f t="shared" si="216"/>
        <v>3523.1378000000004</v>
      </c>
      <c r="DC123" t="s">
        <v>3</v>
      </c>
      <c r="DD123" t="s">
        <v>3</v>
      </c>
      <c r="DE123" t="s">
        <v>21</v>
      </c>
      <c r="DF123" t="s">
        <v>21</v>
      </c>
      <c r="DG123" t="s">
        <v>21</v>
      </c>
      <c r="DH123" t="s">
        <v>3</v>
      </c>
      <c r="DI123" t="s">
        <v>21</v>
      </c>
      <c r="DJ123" t="s">
        <v>21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1007</v>
      </c>
      <c r="DV123" t="s">
        <v>66</v>
      </c>
      <c r="DW123" t="s">
        <v>66</v>
      </c>
      <c r="DX123">
        <v>1</v>
      </c>
      <c r="DZ123" t="s">
        <v>3</v>
      </c>
      <c r="EA123" t="s">
        <v>3</v>
      </c>
      <c r="EB123" t="s">
        <v>3</v>
      </c>
      <c r="EC123" t="s">
        <v>3</v>
      </c>
      <c r="EE123">
        <v>140625131</v>
      </c>
      <c r="EF123">
        <v>2</v>
      </c>
      <c r="EG123" t="s">
        <v>22</v>
      </c>
      <c r="EH123">
        <v>40</v>
      </c>
      <c r="EI123" t="s">
        <v>23</v>
      </c>
      <c r="EJ123">
        <v>1</v>
      </c>
      <c r="EK123">
        <v>46001</v>
      </c>
      <c r="EL123" t="s">
        <v>57</v>
      </c>
      <c r="EM123" t="s">
        <v>25</v>
      </c>
      <c r="EO123" t="s">
        <v>26</v>
      </c>
      <c r="EQ123">
        <v>0</v>
      </c>
      <c r="ER123">
        <v>1173.92</v>
      </c>
      <c r="ES123">
        <v>935.62</v>
      </c>
      <c r="ET123">
        <v>30.1</v>
      </c>
      <c r="EU123">
        <v>4.33</v>
      </c>
      <c r="EV123">
        <v>208.2</v>
      </c>
      <c r="EW123">
        <v>24.61</v>
      </c>
      <c r="EX123">
        <v>0.35</v>
      </c>
      <c r="EY123">
        <v>0</v>
      </c>
      <c r="FQ123">
        <v>0</v>
      </c>
      <c r="FR123">
        <f t="shared" si="217"/>
        <v>0</v>
      </c>
      <c r="FS123">
        <v>0</v>
      </c>
      <c r="FX123">
        <v>103</v>
      </c>
      <c r="FY123">
        <v>59</v>
      </c>
      <c r="GA123" t="s">
        <v>3</v>
      </c>
      <c r="GD123">
        <v>1</v>
      </c>
      <c r="GF123">
        <v>787909626</v>
      </c>
      <c r="GG123">
        <v>2</v>
      </c>
      <c r="GH123">
        <v>1</v>
      </c>
      <c r="GI123">
        <v>4</v>
      </c>
      <c r="GJ123">
        <v>0</v>
      </c>
      <c r="GK123">
        <v>0</v>
      </c>
      <c r="GL123">
        <f t="shared" si="218"/>
        <v>0</v>
      </c>
      <c r="GM123">
        <f t="shared" si="219"/>
        <v>22378.77</v>
      </c>
      <c r="GN123">
        <f t="shared" si="220"/>
        <v>22378.77</v>
      </c>
      <c r="GO123">
        <f t="shared" si="221"/>
        <v>0</v>
      </c>
      <c r="GP123">
        <f t="shared" si="222"/>
        <v>0</v>
      </c>
      <c r="GR123">
        <v>0</v>
      </c>
      <c r="GS123">
        <v>3</v>
      </c>
      <c r="GT123">
        <v>0</v>
      </c>
      <c r="GU123" t="s">
        <v>3</v>
      </c>
      <c r="GV123">
        <f t="shared" si="232"/>
        <v>0</v>
      </c>
      <c r="GW123">
        <v>1</v>
      </c>
      <c r="GX123">
        <f t="shared" si="224"/>
        <v>0</v>
      </c>
      <c r="HA123">
        <v>0</v>
      </c>
      <c r="HB123">
        <v>0</v>
      </c>
      <c r="HC123">
        <f t="shared" si="225"/>
        <v>0</v>
      </c>
      <c r="HE123" t="s">
        <v>3</v>
      </c>
      <c r="HF123" t="s">
        <v>3</v>
      </c>
      <c r="HM123" t="s">
        <v>3</v>
      </c>
      <c r="HN123" t="s">
        <v>58</v>
      </c>
      <c r="HO123" t="s">
        <v>59</v>
      </c>
      <c r="HP123" t="s">
        <v>57</v>
      </c>
      <c r="HQ123" t="s">
        <v>57</v>
      </c>
      <c r="IK123">
        <v>0</v>
      </c>
    </row>
    <row r="124" spans="1:245" x14ac:dyDescent="0.2">
      <c r="A124">
        <v>18</v>
      </c>
      <c r="B124">
        <v>1</v>
      </c>
      <c r="C124">
        <v>270</v>
      </c>
      <c r="E124" t="s">
        <v>410</v>
      </c>
      <c r="F124" t="s">
        <v>411</v>
      </c>
      <c r="G124" t="s">
        <v>412</v>
      </c>
      <c r="H124" t="s">
        <v>105</v>
      </c>
      <c r="I124">
        <f>I123*J124</f>
        <v>-7.1999999999999995E-2</v>
      </c>
      <c r="J124">
        <v>-8.9999999999999983E-2</v>
      </c>
      <c r="K124">
        <v>-0.09</v>
      </c>
      <c r="O124">
        <f t="shared" si="193"/>
        <v>-3543.23</v>
      </c>
      <c r="P124">
        <f t="shared" si="194"/>
        <v>-3543.23</v>
      </c>
      <c r="Q124">
        <f t="shared" si="195"/>
        <v>0</v>
      </c>
      <c r="R124">
        <f t="shared" si="196"/>
        <v>0</v>
      </c>
      <c r="S124">
        <f t="shared" si="197"/>
        <v>0</v>
      </c>
      <c r="T124">
        <f t="shared" si="198"/>
        <v>0</v>
      </c>
      <c r="U124">
        <f t="shared" si="199"/>
        <v>0</v>
      </c>
      <c r="V124">
        <f t="shared" si="200"/>
        <v>0</v>
      </c>
      <c r="W124">
        <f t="shared" si="201"/>
        <v>0</v>
      </c>
      <c r="X124">
        <f t="shared" si="202"/>
        <v>0</v>
      </c>
      <c r="Y124">
        <f t="shared" si="203"/>
        <v>0</v>
      </c>
      <c r="AA124">
        <v>145033679</v>
      </c>
      <c r="AB124">
        <f t="shared" si="204"/>
        <v>5650</v>
      </c>
      <c r="AC124">
        <f t="shared" si="237"/>
        <v>5650</v>
      </c>
      <c r="AD124">
        <f t="shared" ref="AD124:AD129" si="238">ROUND((((ET124)-(EU124))+AE124),2)</f>
        <v>0</v>
      </c>
      <c r="AE124">
        <f t="shared" ref="AE124:AF129" si="239">ROUND((EU124),2)</f>
        <v>0</v>
      </c>
      <c r="AF124">
        <f t="shared" si="239"/>
        <v>0</v>
      </c>
      <c r="AG124">
        <f t="shared" si="205"/>
        <v>0</v>
      </c>
      <c r="AH124">
        <f t="shared" ref="AH124:AI129" si="240">(EW124)</f>
        <v>0</v>
      </c>
      <c r="AI124">
        <f t="shared" si="240"/>
        <v>0</v>
      </c>
      <c r="AJ124">
        <f t="shared" si="206"/>
        <v>0</v>
      </c>
      <c r="AK124">
        <v>5650</v>
      </c>
      <c r="AL124">
        <v>5650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103</v>
      </c>
      <c r="AU124">
        <v>59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8.7100000000000009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1</v>
      </c>
      <c r="BJ124" t="s">
        <v>413</v>
      </c>
      <c r="BM124">
        <v>46001</v>
      </c>
      <c r="BN124">
        <v>0</v>
      </c>
      <c r="BO124" t="s">
        <v>3</v>
      </c>
      <c r="BP124">
        <v>0</v>
      </c>
      <c r="BQ124">
        <v>2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103</v>
      </c>
      <c r="CA124">
        <v>59</v>
      </c>
      <c r="CB124" t="s">
        <v>3</v>
      </c>
      <c r="CE124">
        <v>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207"/>
        <v>-3543.23</v>
      </c>
      <c r="CQ124">
        <f t="shared" si="208"/>
        <v>49211.500000000007</v>
      </c>
      <c r="CR124">
        <f t="shared" ref="CR124:CR129" si="241">(((ET124)*BB124-(EU124)*BS124)+AE124*BS124)</f>
        <v>0</v>
      </c>
      <c r="CS124">
        <f t="shared" si="209"/>
        <v>0</v>
      </c>
      <c r="CT124">
        <f t="shared" si="210"/>
        <v>0</v>
      </c>
      <c r="CU124">
        <f t="shared" si="211"/>
        <v>0</v>
      </c>
      <c r="CV124">
        <f t="shared" si="212"/>
        <v>0</v>
      </c>
      <c r="CW124">
        <f t="shared" si="213"/>
        <v>0</v>
      </c>
      <c r="CX124">
        <f t="shared" si="214"/>
        <v>0</v>
      </c>
      <c r="CY124">
        <f t="shared" si="215"/>
        <v>0</v>
      </c>
      <c r="CZ124">
        <f t="shared" si="216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1009</v>
      </c>
      <c r="DV124" t="s">
        <v>105</v>
      </c>
      <c r="DW124" t="s">
        <v>105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140625131</v>
      </c>
      <c r="EF124">
        <v>2</v>
      </c>
      <c r="EG124" t="s">
        <v>22</v>
      </c>
      <c r="EH124">
        <v>40</v>
      </c>
      <c r="EI124" t="s">
        <v>23</v>
      </c>
      <c r="EJ124">
        <v>1</v>
      </c>
      <c r="EK124">
        <v>46001</v>
      </c>
      <c r="EL124" t="s">
        <v>57</v>
      </c>
      <c r="EM124" t="s">
        <v>25</v>
      </c>
      <c r="EO124" t="s">
        <v>3</v>
      </c>
      <c r="EQ124">
        <v>0</v>
      </c>
      <c r="ER124">
        <v>5650</v>
      </c>
      <c r="ES124">
        <v>5650</v>
      </c>
      <c r="ET124">
        <v>0</v>
      </c>
      <c r="EU124">
        <v>0</v>
      </c>
      <c r="EV124">
        <v>0</v>
      </c>
      <c r="EW124">
        <v>0</v>
      </c>
      <c r="EX124">
        <v>0</v>
      </c>
      <c r="FQ124">
        <v>0</v>
      </c>
      <c r="FR124">
        <f t="shared" si="217"/>
        <v>0</v>
      </c>
      <c r="FS124">
        <v>0</v>
      </c>
      <c r="FX124">
        <v>103</v>
      </c>
      <c r="FY124">
        <v>59</v>
      </c>
      <c r="GA124" t="s">
        <v>3</v>
      </c>
      <c r="GD124">
        <v>1</v>
      </c>
      <c r="GF124">
        <v>1291003592</v>
      </c>
      <c r="GG124">
        <v>2</v>
      </c>
      <c r="GH124">
        <v>1</v>
      </c>
      <c r="GI124">
        <v>4</v>
      </c>
      <c r="GJ124">
        <v>0</v>
      </c>
      <c r="GK124">
        <v>0</v>
      </c>
      <c r="GL124">
        <f t="shared" si="218"/>
        <v>0</v>
      </c>
      <c r="GM124">
        <f t="shared" si="219"/>
        <v>-3543.23</v>
      </c>
      <c r="GN124">
        <f t="shared" si="220"/>
        <v>-3543.23</v>
      </c>
      <c r="GO124">
        <f t="shared" si="221"/>
        <v>0</v>
      </c>
      <c r="GP124">
        <f t="shared" si="222"/>
        <v>0</v>
      </c>
      <c r="GR124">
        <v>0</v>
      </c>
      <c r="GS124">
        <v>3</v>
      </c>
      <c r="GT124">
        <v>0</v>
      </c>
      <c r="GU124" t="s">
        <v>3</v>
      </c>
      <c r="GV124">
        <f t="shared" si="232"/>
        <v>0</v>
      </c>
      <c r="GW124">
        <v>1</v>
      </c>
      <c r="GX124">
        <f t="shared" si="224"/>
        <v>0</v>
      </c>
      <c r="HA124">
        <v>0</v>
      </c>
      <c r="HB124">
        <v>0</v>
      </c>
      <c r="HC124">
        <f t="shared" si="225"/>
        <v>0</v>
      </c>
      <c r="HE124" t="s">
        <v>3</v>
      </c>
      <c r="HF124" t="s">
        <v>3</v>
      </c>
      <c r="HM124" t="s">
        <v>3</v>
      </c>
      <c r="HN124" t="s">
        <v>58</v>
      </c>
      <c r="HO124" t="s">
        <v>59</v>
      </c>
      <c r="HP124" t="s">
        <v>57</v>
      </c>
      <c r="HQ124" t="s">
        <v>57</v>
      </c>
      <c r="IK124">
        <v>0</v>
      </c>
    </row>
    <row r="125" spans="1:245" x14ac:dyDescent="0.2">
      <c r="A125">
        <v>17</v>
      </c>
      <c r="B125">
        <v>1</v>
      </c>
      <c r="E125" t="s">
        <v>414</v>
      </c>
      <c r="F125" t="s">
        <v>46</v>
      </c>
      <c r="G125" t="s">
        <v>113</v>
      </c>
      <c r="H125" t="s">
        <v>105</v>
      </c>
      <c r="I125">
        <f>ROUND(1/1000,9)</f>
        <v>1E-3</v>
      </c>
      <c r="J125">
        <v>0</v>
      </c>
      <c r="K125">
        <f>ROUND(1/1000,9)</f>
        <v>1E-3</v>
      </c>
      <c r="O125">
        <f t="shared" si="193"/>
        <v>58.46</v>
      </c>
      <c r="P125">
        <f t="shared" si="194"/>
        <v>58.46</v>
      </c>
      <c r="Q125">
        <f t="shared" si="195"/>
        <v>0</v>
      </c>
      <c r="R125">
        <f t="shared" si="196"/>
        <v>0</v>
      </c>
      <c r="S125">
        <f t="shared" si="197"/>
        <v>0</v>
      </c>
      <c r="T125">
        <f t="shared" si="198"/>
        <v>0</v>
      </c>
      <c r="U125">
        <f t="shared" si="199"/>
        <v>0</v>
      </c>
      <c r="V125">
        <f t="shared" si="200"/>
        <v>0</v>
      </c>
      <c r="W125">
        <f t="shared" si="201"/>
        <v>0</v>
      </c>
      <c r="X125">
        <f t="shared" si="202"/>
        <v>0</v>
      </c>
      <c r="Y125">
        <f t="shared" si="203"/>
        <v>0</v>
      </c>
      <c r="AA125">
        <v>145033679</v>
      </c>
      <c r="AB125">
        <f t="shared" si="204"/>
        <v>6711.68</v>
      </c>
      <c r="AC125">
        <f t="shared" si="237"/>
        <v>6711.68</v>
      </c>
      <c r="AD125">
        <f t="shared" si="238"/>
        <v>0</v>
      </c>
      <c r="AE125">
        <f t="shared" si="239"/>
        <v>0</v>
      </c>
      <c r="AF125">
        <f t="shared" si="239"/>
        <v>0</v>
      </c>
      <c r="AG125">
        <f t="shared" si="205"/>
        <v>0</v>
      </c>
      <c r="AH125">
        <f t="shared" si="240"/>
        <v>0</v>
      </c>
      <c r="AI125">
        <f t="shared" si="240"/>
        <v>0</v>
      </c>
      <c r="AJ125">
        <f t="shared" si="206"/>
        <v>0</v>
      </c>
      <c r="AK125">
        <v>6711.68</v>
      </c>
      <c r="AL125">
        <v>6711.68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8.7100000000000009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1</v>
      </c>
      <c r="BJ125" t="s">
        <v>3</v>
      </c>
      <c r="BM125">
        <v>1100</v>
      </c>
      <c r="BN125">
        <v>0</v>
      </c>
      <c r="BO125" t="s">
        <v>3</v>
      </c>
      <c r="BP125">
        <v>0</v>
      </c>
      <c r="BQ125">
        <v>8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B125" t="s">
        <v>3</v>
      </c>
      <c r="CE125">
        <v>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207"/>
        <v>58.46</v>
      </c>
      <c r="CQ125">
        <f t="shared" si="208"/>
        <v>58458.732800000005</v>
      </c>
      <c r="CR125">
        <f t="shared" si="241"/>
        <v>0</v>
      </c>
      <c r="CS125">
        <f t="shared" si="209"/>
        <v>0</v>
      </c>
      <c r="CT125">
        <f t="shared" si="210"/>
        <v>0</v>
      </c>
      <c r="CU125">
        <f t="shared" si="211"/>
        <v>0</v>
      </c>
      <c r="CV125">
        <f t="shared" si="212"/>
        <v>0</v>
      </c>
      <c r="CW125">
        <f t="shared" si="213"/>
        <v>0</v>
      </c>
      <c r="CX125">
        <f t="shared" si="214"/>
        <v>0</v>
      </c>
      <c r="CY125">
        <f t="shared" si="215"/>
        <v>0</v>
      </c>
      <c r="CZ125">
        <f t="shared" si="216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105</v>
      </c>
      <c r="DW125" t="s">
        <v>105</v>
      </c>
      <c r="DX125">
        <v>1000</v>
      </c>
      <c r="DZ125" t="s">
        <v>3</v>
      </c>
      <c r="EA125" t="s">
        <v>3</v>
      </c>
      <c r="EB125" t="s">
        <v>3</v>
      </c>
      <c r="EC125" t="s">
        <v>3</v>
      </c>
      <c r="EE125">
        <v>140625274</v>
      </c>
      <c r="EF125">
        <v>8</v>
      </c>
      <c r="EG125" t="s">
        <v>48</v>
      </c>
      <c r="EH125">
        <v>0</v>
      </c>
      <c r="EI125" t="s">
        <v>3</v>
      </c>
      <c r="EJ125">
        <v>1</v>
      </c>
      <c r="EK125">
        <v>1100</v>
      </c>
      <c r="EL125" t="s">
        <v>49</v>
      </c>
      <c r="EM125" t="s">
        <v>50</v>
      </c>
      <c r="EO125" t="s">
        <v>3</v>
      </c>
      <c r="EQ125">
        <v>0</v>
      </c>
      <c r="ER125">
        <v>6711.68</v>
      </c>
      <c r="ES125">
        <v>6711.68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5</v>
      </c>
      <c r="FC125">
        <v>1</v>
      </c>
      <c r="FD125">
        <v>18</v>
      </c>
      <c r="FF125">
        <v>65500</v>
      </c>
      <c r="FQ125">
        <v>0</v>
      </c>
      <c r="FR125">
        <f t="shared" si="217"/>
        <v>0</v>
      </c>
      <c r="FS125">
        <v>0</v>
      </c>
      <c r="FX125">
        <v>0</v>
      </c>
      <c r="FY125">
        <v>0</v>
      </c>
      <c r="GA125" t="s">
        <v>327</v>
      </c>
      <c r="GD125">
        <v>1</v>
      </c>
      <c r="GF125">
        <v>927970815</v>
      </c>
      <c r="GG125">
        <v>2</v>
      </c>
      <c r="GH125">
        <v>3</v>
      </c>
      <c r="GI125">
        <v>4</v>
      </c>
      <c r="GJ125">
        <v>0</v>
      </c>
      <c r="GK125">
        <v>0</v>
      </c>
      <c r="GL125">
        <f t="shared" si="218"/>
        <v>0</v>
      </c>
      <c r="GM125">
        <f t="shared" si="219"/>
        <v>58.46</v>
      </c>
      <c r="GN125">
        <f t="shared" si="220"/>
        <v>58.46</v>
      </c>
      <c r="GO125">
        <f t="shared" si="221"/>
        <v>0</v>
      </c>
      <c r="GP125">
        <f t="shared" si="222"/>
        <v>0</v>
      </c>
      <c r="GR125">
        <v>1</v>
      </c>
      <c r="GS125">
        <v>1</v>
      </c>
      <c r="GT125">
        <v>0</v>
      </c>
      <c r="GU125" t="s">
        <v>3</v>
      </c>
      <c r="GV125">
        <f t="shared" si="232"/>
        <v>0</v>
      </c>
      <c r="GW125">
        <v>1</v>
      </c>
      <c r="GX125">
        <f t="shared" si="224"/>
        <v>0</v>
      </c>
      <c r="HA125">
        <v>0</v>
      </c>
      <c r="HB125">
        <v>0</v>
      </c>
      <c r="HC125">
        <f t="shared" si="225"/>
        <v>0</v>
      </c>
      <c r="HE125" t="s">
        <v>52</v>
      </c>
      <c r="HF125" t="s">
        <v>29</v>
      </c>
      <c r="HM125" t="s">
        <v>3</v>
      </c>
      <c r="HN125" t="s">
        <v>3</v>
      </c>
      <c r="HO125" t="s">
        <v>3</v>
      </c>
      <c r="HP125" t="s">
        <v>3</v>
      </c>
      <c r="HQ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415</v>
      </c>
      <c r="F126" t="s">
        <v>46</v>
      </c>
      <c r="G126" t="s">
        <v>416</v>
      </c>
      <c r="H126" t="s">
        <v>66</v>
      </c>
      <c r="I126">
        <f>ROUND(I123*1.02,9)</f>
        <v>0.81599999999999995</v>
      </c>
      <c r="J126">
        <v>0</v>
      </c>
      <c r="K126">
        <f>ROUND(I123*1.02,9)</f>
        <v>0.81599999999999995</v>
      </c>
      <c r="O126">
        <f t="shared" si="193"/>
        <v>3178.98</v>
      </c>
      <c r="P126">
        <f t="shared" si="194"/>
        <v>3178.98</v>
      </c>
      <c r="Q126">
        <f t="shared" si="195"/>
        <v>0</v>
      </c>
      <c r="R126">
        <f t="shared" si="196"/>
        <v>0</v>
      </c>
      <c r="S126">
        <f t="shared" si="197"/>
        <v>0</v>
      </c>
      <c r="T126">
        <f t="shared" si="198"/>
        <v>0</v>
      </c>
      <c r="U126">
        <f t="shared" si="199"/>
        <v>0</v>
      </c>
      <c r="V126">
        <f t="shared" si="200"/>
        <v>0</v>
      </c>
      <c r="W126">
        <f t="shared" si="201"/>
        <v>0</v>
      </c>
      <c r="X126">
        <f t="shared" si="202"/>
        <v>0</v>
      </c>
      <c r="Y126">
        <f t="shared" si="203"/>
        <v>0</v>
      </c>
      <c r="AA126">
        <v>145033679</v>
      </c>
      <c r="AB126">
        <f t="shared" si="204"/>
        <v>447.28</v>
      </c>
      <c r="AC126">
        <f t="shared" si="237"/>
        <v>447.28</v>
      </c>
      <c r="AD126">
        <f t="shared" si="238"/>
        <v>0</v>
      </c>
      <c r="AE126">
        <f t="shared" si="239"/>
        <v>0</v>
      </c>
      <c r="AF126">
        <f t="shared" si="239"/>
        <v>0</v>
      </c>
      <c r="AG126">
        <f t="shared" si="205"/>
        <v>0</v>
      </c>
      <c r="AH126">
        <f t="shared" si="240"/>
        <v>0</v>
      </c>
      <c r="AI126">
        <f t="shared" si="240"/>
        <v>0</v>
      </c>
      <c r="AJ126">
        <f t="shared" si="206"/>
        <v>0</v>
      </c>
      <c r="AK126">
        <v>447.28</v>
      </c>
      <c r="AL126">
        <v>447.28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8.7100000000000009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1</v>
      </c>
      <c r="BJ126" t="s">
        <v>3</v>
      </c>
      <c r="BM126">
        <v>1100</v>
      </c>
      <c r="BN126">
        <v>0</v>
      </c>
      <c r="BO126" t="s">
        <v>3</v>
      </c>
      <c r="BP126">
        <v>0</v>
      </c>
      <c r="BQ126">
        <v>8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B126" t="s">
        <v>3</v>
      </c>
      <c r="CE126">
        <v>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207"/>
        <v>3178.98</v>
      </c>
      <c r="CQ126">
        <f t="shared" si="208"/>
        <v>3895.8088000000002</v>
      </c>
      <c r="CR126">
        <f t="shared" si="241"/>
        <v>0</v>
      </c>
      <c r="CS126">
        <f t="shared" si="209"/>
        <v>0</v>
      </c>
      <c r="CT126">
        <f t="shared" si="210"/>
        <v>0</v>
      </c>
      <c r="CU126">
        <f t="shared" si="211"/>
        <v>0</v>
      </c>
      <c r="CV126">
        <f t="shared" si="212"/>
        <v>0</v>
      </c>
      <c r="CW126">
        <f t="shared" si="213"/>
        <v>0</v>
      </c>
      <c r="CX126">
        <f t="shared" si="214"/>
        <v>0</v>
      </c>
      <c r="CY126">
        <f t="shared" si="215"/>
        <v>0</v>
      </c>
      <c r="CZ126">
        <f t="shared" si="216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1007</v>
      </c>
      <c r="DV126" t="s">
        <v>66</v>
      </c>
      <c r="DW126" t="s">
        <v>66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140625274</v>
      </c>
      <c r="EF126">
        <v>8</v>
      </c>
      <c r="EG126" t="s">
        <v>48</v>
      </c>
      <c r="EH126">
        <v>0</v>
      </c>
      <c r="EI126" t="s">
        <v>3</v>
      </c>
      <c r="EJ126">
        <v>1</v>
      </c>
      <c r="EK126">
        <v>1100</v>
      </c>
      <c r="EL126" t="s">
        <v>49</v>
      </c>
      <c r="EM126" t="s">
        <v>50</v>
      </c>
      <c r="EO126" t="s">
        <v>3</v>
      </c>
      <c r="EQ126">
        <v>0</v>
      </c>
      <c r="ER126">
        <v>447.28</v>
      </c>
      <c r="ES126">
        <v>447.28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5</v>
      </c>
      <c r="FC126">
        <v>1</v>
      </c>
      <c r="FD126">
        <v>18</v>
      </c>
      <c r="FF126">
        <v>4675</v>
      </c>
      <c r="FQ126">
        <v>0</v>
      </c>
      <c r="FR126">
        <f t="shared" si="217"/>
        <v>0</v>
      </c>
      <c r="FS126">
        <v>0</v>
      </c>
      <c r="FX126">
        <v>0</v>
      </c>
      <c r="FY126">
        <v>0</v>
      </c>
      <c r="GA126" t="s">
        <v>417</v>
      </c>
      <c r="GD126">
        <v>1</v>
      </c>
      <c r="GF126">
        <v>509426189</v>
      </c>
      <c r="GG126">
        <v>2</v>
      </c>
      <c r="GH126">
        <v>3</v>
      </c>
      <c r="GI126">
        <v>4</v>
      </c>
      <c r="GJ126">
        <v>0</v>
      </c>
      <c r="GK126">
        <v>0</v>
      </c>
      <c r="GL126">
        <f t="shared" si="218"/>
        <v>0</v>
      </c>
      <c r="GM126">
        <f t="shared" si="219"/>
        <v>3178.98</v>
      </c>
      <c r="GN126">
        <f t="shared" si="220"/>
        <v>3178.98</v>
      </c>
      <c r="GO126">
        <f t="shared" si="221"/>
        <v>0</v>
      </c>
      <c r="GP126">
        <f t="shared" si="222"/>
        <v>0</v>
      </c>
      <c r="GR126">
        <v>1</v>
      </c>
      <c r="GS126">
        <v>1</v>
      </c>
      <c r="GT126">
        <v>0</v>
      </c>
      <c r="GU126" t="s">
        <v>3</v>
      </c>
      <c r="GV126">
        <f t="shared" si="232"/>
        <v>0</v>
      </c>
      <c r="GW126">
        <v>1</v>
      </c>
      <c r="GX126">
        <f t="shared" si="224"/>
        <v>0</v>
      </c>
      <c r="HA126">
        <v>0</v>
      </c>
      <c r="HB126">
        <v>0</v>
      </c>
      <c r="HC126">
        <f t="shared" si="225"/>
        <v>0</v>
      </c>
      <c r="HE126" t="s">
        <v>258</v>
      </c>
      <c r="HF126" t="s">
        <v>258</v>
      </c>
      <c r="HM126" t="s">
        <v>3</v>
      </c>
      <c r="HN126" t="s">
        <v>3</v>
      </c>
      <c r="HO126" t="s">
        <v>3</v>
      </c>
      <c r="HP126" t="s">
        <v>3</v>
      </c>
      <c r="HQ126" t="s">
        <v>3</v>
      </c>
      <c r="IK126">
        <v>0</v>
      </c>
    </row>
    <row r="127" spans="1:245" x14ac:dyDescent="0.2">
      <c r="A127">
        <v>17</v>
      </c>
      <c r="B127">
        <v>1</v>
      </c>
      <c r="C127">
        <f>ROW(SmtRes!A285)</f>
        <v>285</v>
      </c>
      <c r="D127">
        <f>ROW(EtalonRes!A285)</f>
        <v>285</v>
      </c>
      <c r="E127" t="s">
        <v>418</v>
      </c>
      <c r="F127" t="s">
        <v>419</v>
      </c>
      <c r="G127" t="s">
        <v>420</v>
      </c>
      <c r="H127" t="s">
        <v>105</v>
      </c>
      <c r="I127">
        <f>ROUND(ROUND((322+120.75+631.04)/1000,4),9)</f>
        <v>1.0738000000000001</v>
      </c>
      <c r="J127">
        <v>0</v>
      </c>
      <c r="K127">
        <f>ROUND(ROUND((322+120.75+631.04)/1000,4),9)</f>
        <v>1.0738000000000001</v>
      </c>
      <c r="O127">
        <f t="shared" si="193"/>
        <v>50760.52</v>
      </c>
      <c r="P127">
        <f t="shared" si="194"/>
        <v>2303.5</v>
      </c>
      <c r="Q127">
        <f t="shared" si="195"/>
        <v>19496.11</v>
      </c>
      <c r="R127">
        <f t="shared" si="196"/>
        <v>4174.66</v>
      </c>
      <c r="S127">
        <f t="shared" si="197"/>
        <v>28960.91</v>
      </c>
      <c r="T127">
        <f t="shared" si="198"/>
        <v>0</v>
      </c>
      <c r="U127">
        <f t="shared" si="199"/>
        <v>98.574840000000009</v>
      </c>
      <c r="V127">
        <f t="shared" si="200"/>
        <v>10.2011</v>
      </c>
      <c r="W127">
        <f t="shared" si="201"/>
        <v>0</v>
      </c>
      <c r="X127">
        <f t="shared" si="202"/>
        <v>29822.01</v>
      </c>
      <c r="Y127">
        <f t="shared" si="203"/>
        <v>14911.01</v>
      </c>
      <c r="AA127">
        <v>145033679</v>
      </c>
      <c r="AB127">
        <f t="shared" si="204"/>
        <v>2626.21</v>
      </c>
      <c r="AC127">
        <f t="shared" si="237"/>
        <v>246.29</v>
      </c>
      <c r="AD127">
        <f t="shared" si="238"/>
        <v>1496.8</v>
      </c>
      <c r="AE127">
        <f t="shared" si="239"/>
        <v>127.3</v>
      </c>
      <c r="AF127">
        <f t="shared" si="239"/>
        <v>883.12</v>
      </c>
      <c r="AG127">
        <f t="shared" si="205"/>
        <v>0</v>
      </c>
      <c r="AH127">
        <f t="shared" si="240"/>
        <v>91.8</v>
      </c>
      <c r="AI127">
        <f t="shared" si="240"/>
        <v>9.5</v>
      </c>
      <c r="AJ127">
        <f t="shared" si="206"/>
        <v>0</v>
      </c>
      <c r="AK127">
        <v>2626.21</v>
      </c>
      <c r="AL127">
        <v>246.29</v>
      </c>
      <c r="AM127">
        <v>1496.8</v>
      </c>
      <c r="AN127">
        <v>127.3</v>
      </c>
      <c r="AO127">
        <v>883.12</v>
      </c>
      <c r="AP127">
        <v>0</v>
      </c>
      <c r="AQ127">
        <v>91.8</v>
      </c>
      <c r="AR127">
        <v>9.5</v>
      </c>
      <c r="AS127">
        <v>0</v>
      </c>
      <c r="AT127">
        <v>90</v>
      </c>
      <c r="AU127">
        <v>45</v>
      </c>
      <c r="AV127">
        <v>1</v>
      </c>
      <c r="AW127">
        <v>1</v>
      </c>
      <c r="AZ127">
        <v>1</v>
      </c>
      <c r="BA127">
        <v>30.54</v>
      </c>
      <c r="BB127">
        <v>12.13</v>
      </c>
      <c r="BC127">
        <v>8.7100000000000009</v>
      </c>
      <c r="BD127" t="s">
        <v>3</v>
      </c>
      <c r="BE127" t="s">
        <v>3</v>
      </c>
      <c r="BF127" t="s">
        <v>3</v>
      </c>
      <c r="BG127" t="s">
        <v>3</v>
      </c>
      <c r="BH127">
        <v>0</v>
      </c>
      <c r="BI127">
        <v>2</v>
      </c>
      <c r="BJ127" t="s">
        <v>421</v>
      </c>
      <c r="BM127">
        <v>138001</v>
      </c>
      <c r="BN127">
        <v>0</v>
      </c>
      <c r="BO127" t="s">
        <v>3</v>
      </c>
      <c r="BP127">
        <v>0</v>
      </c>
      <c r="BQ127">
        <v>3</v>
      </c>
      <c r="BR127">
        <v>0</v>
      </c>
      <c r="BS127">
        <v>30.54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90</v>
      </c>
      <c r="CA127">
        <v>45</v>
      </c>
      <c r="CB127" t="s">
        <v>3</v>
      </c>
      <c r="CE127">
        <v>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207"/>
        <v>50760.520000000004</v>
      </c>
      <c r="CQ127">
        <f t="shared" si="208"/>
        <v>2145.1858999999999</v>
      </c>
      <c r="CR127">
        <f t="shared" si="241"/>
        <v>18156.184000000001</v>
      </c>
      <c r="CS127">
        <f t="shared" si="209"/>
        <v>3887.7419999999997</v>
      </c>
      <c r="CT127">
        <f t="shared" si="210"/>
        <v>26970.484799999998</v>
      </c>
      <c r="CU127">
        <f t="shared" si="211"/>
        <v>0</v>
      </c>
      <c r="CV127">
        <f t="shared" si="212"/>
        <v>91.8</v>
      </c>
      <c r="CW127">
        <f t="shared" si="213"/>
        <v>9.5</v>
      </c>
      <c r="CX127">
        <f t="shared" si="214"/>
        <v>0</v>
      </c>
      <c r="CY127">
        <f t="shared" si="215"/>
        <v>29822.012999999999</v>
      </c>
      <c r="CZ127">
        <f t="shared" si="216"/>
        <v>14911.0065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105</v>
      </c>
      <c r="DW127" t="s">
        <v>105</v>
      </c>
      <c r="DX127">
        <v>1000</v>
      </c>
      <c r="DZ127" t="s">
        <v>3</v>
      </c>
      <c r="EA127" t="s">
        <v>3</v>
      </c>
      <c r="EB127" t="s">
        <v>3</v>
      </c>
      <c r="EC127" t="s">
        <v>3</v>
      </c>
      <c r="EE127">
        <v>140624915</v>
      </c>
      <c r="EF127">
        <v>3</v>
      </c>
      <c r="EG127" t="s">
        <v>107</v>
      </c>
      <c r="EH127">
        <v>80</v>
      </c>
      <c r="EI127" t="s">
        <v>108</v>
      </c>
      <c r="EJ127">
        <v>2</v>
      </c>
      <c r="EK127">
        <v>138001</v>
      </c>
      <c r="EL127" t="s">
        <v>108</v>
      </c>
      <c r="EM127" t="s">
        <v>109</v>
      </c>
      <c r="EO127" t="s">
        <v>3</v>
      </c>
      <c r="EQ127">
        <v>0</v>
      </c>
      <c r="ER127">
        <v>2626.21</v>
      </c>
      <c r="ES127">
        <v>246.29</v>
      </c>
      <c r="ET127">
        <v>1496.8</v>
      </c>
      <c r="EU127">
        <v>127.3</v>
      </c>
      <c r="EV127">
        <v>883.12</v>
      </c>
      <c r="EW127">
        <v>91.8</v>
      </c>
      <c r="EX127">
        <v>9.5</v>
      </c>
      <c r="EY127">
        <v>0</v>
      </c>
      <c r="FQ127">
        <v>0</v>
      </c>
      <c r="FR127">
        <f t="shared" si="217"/>
        <v>0</v>
      </c>
      <c r="FS127">
        <v>0</v>
      </c>
      <c r="FX127">
        <v>90</v>
      </c>
      <c r="FY127">
        <v>45</v>
      </c>
      <c r="GA127" t="s">
        <v>3</v>
      </c>
      <c r="GD127">
        <v>1</v>
      </c>
      <c r="GF127">
        <v>1192466529</v>
      </c>
      <c r="GG127">
        <v>2</v>
      </c>
      <c r="GH127">
        <v>1</v>
      </c>
      <c r="GI127">
        <v>4</v>
      </c>
      <c r="GJ127">
        <v>0</v>
      </c>
      <c r="GK127">
        <v>0</v>
      </c>
      <c r="GL127">
        <f t="shared" si="218"/>
        <v>0</v>
      </c>
      <c r="GM127">
        <f t="shared" si="219"/>
        <v>95493.54</v>
      </c>
      <c r="GN127">
        <f t="shared" si="220"/>
        <v>0</v>
      </c>
      <c r="GO127">
        <f t="shared" si="221"/>
        <v>95493.54</v>
      </c>
      <c r="GP127">
        <f t="shared" si="222"/>
        <v>0</v>
      </c>
      <c r="GR127">
        <v>0</v>
      </c>
      <c r="GS127">
        <v>3</v>
      </c>
      <c r="GT127">
        <v>0</v>
      </c>
      <c r="GU127" t="s">
        <v>3</v>
      </c>
      <c r="GV127">
        <f t="shared" si="232"/>
        <v>0</v>
      </c>
      <c r="GW127">
        <v>1</v>
      </c>
      <c r="GX127">
        <f t="shared" si="224"/>
        <v>0</v>
      </c>
      <c r="HA127">
        <v>0</v>
      </c>
      <c r="HB127">
        <v>0</v>
      </c>
      <c r="HC127">
        <f t="shared" si="225"/>
        <v>0</v>
      </c>
      <c r="HE127" t="s">
        <v>3</v>
      </c>
      <c r="HF127" t="s">
        <v>3</v>
      </c>
      <c r="HM127" t="s">
        <v>3</v>
      </c>
      <c r="HN127" t="s">
        <v>110</v>
      </c>
      <c r="HO127" t="s">
        <v>111</v>
      </c>
      <c r="HP127" t="s">
        <v>108</v>
      </c>
      <c r="HQ127" t="s">
        <v>108</v>
      </c>
      <c r="IK127">
        <v>0</v>
      </c>
    </row>
    <row r="128" spans="1:245" x14ac:dyDescent="0.2">
      <c r="A128">
        <v>17</v>
      </c>
      <c r="B128">
        <v>1</v>
      </c>
      <c r="E128" t="s">
        <v>422</v>
      </c>
      <c r="F128" t="s">
        <v>46</v>
      </c>
      <c r="G128" t="s">
        <v>423</v>
      </c>
      <c r="H128" t="s">
        <v>105</v>
      </c>
      <c r="I128">
        <f>ROUND(ROUND((322+120.75)/1000*1.042,4),9)</f>
        <v>0.46129999999999999</v>
      </c>
      <c r="J128">
        <v>0</v>
      </c>
      <c r="K128">
        <f>ROUND(ROUND((322+120.75)/1000*1.042,4),9)</f>
        <v>0.46129999999999999</v>
      </c>
      <c r="O128">
        <f t="shared" si="193"/>
        <v>30499.85</v>
      </c>
      <c r="P128">
        <f t="shared" si="194"/>
        <v>30499.85</v>
      </c>
      <c r="Q128">
        <f t="shared" si="195"/>
        <v>0</v>
      </c>
      <c r="R128">
        <f t="shared" si="196"/>
        <v>0</v>
      </c>
      <c r="S128">
        <f t="shared" si="197"/>
        <v>0</v>
      </c>
      <c r="T128">
        <f t="shared" si="198"/>
        <v>0</v>
      </c>
      <c r="U128">
        <f t="shared" si="199"/>
        <v>0</v>
      </c>
      <c r="V128">
        <f t="shared" si="200"/>
        <v>0</v>
      </c>
      <c r="W128">
        <f t="shared" si="201"/>
        <v>0</v>
      </c>
      <c r="X128">
        <f t="shared" si="202"/>
        <v>0</v>
      </c>
      <c r="Y128">
        <f t="shared" si="203"/>
        <v>0</v>
      </c>
      <c r="AA128">
        <v>145033679</v>
      </c>
      <c r="AB128">
        <f t="shared" si="204"/>
        <v>7590.95</v>
      </c>
      <c r="AC128">
        <f t="shared" si="237"/>
        <v>7590.95</v>
      </c>
      <c r="AD128">
        <f t="shared" si="238"/>
        <v>0</v>
      </c>
      <c r="AE128">
        <f t="shared" si="239"/>
        <v>0</v>
      </c>
      <c r="AF128">
        <f t="shared" si="239"/>
        <v>0</v>
      </c>
      <c r="AG128">
        <f t="shared" si="205"/>
        <v>0</v>
      </c>
      <c r="AH128">
        <f t="shared" si="240"/>
        <v>0</v>
      </c>
      <c r="AI128">
        <f t="shared" si="240"/>
        <v>0</v>
      </c>
      <c r="AJ128">
        <f t="shared" si="206"/>
        <v>0</v>
      </c>
      <c r="AK128">
        <v>7590.95</v>
      </c>
      <c r="AL128">
        <v>7590.95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8.7100000000000009</v>
      </c>
      <c r="BD128" t="s">
        <v>3</v>
      </c>
      <c r="BE128" t="s">
        <v>3</v>
      </c>
      <c r="BF128" t="s">
        <v>3</v>
      </c>
      <c r="BG128" t="s">
        <v>3</v>
      </c>
      <c r="BH128">
        <v>3</v>
      </c>
      <c r="BI128">
        <v>1</v>
      </c>
      <c r="BJ128" t="s">
        <v>3</v>
      </c>
      <c r="BM128">
        <v>1100</v>
      </c>
      <c r="BN128">
        <v>0</v>
      </c>
      <c r="BO128" t="s">
        <v>3</v>
      </c>
      <c r="BP128">
        <v>0</v>
      </c>
      <c r="BQ128">
        <v>8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B128" t="s">
        <v>3</v>
      </c>
      <c r="CE128">
        <v>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207"/>
        <v>30499.85</v>
      </c>
      <c r="CQ128">
        <f t="shared" si="208"/>
        <v>66117.174500000008</v>
      </c>
      <c r="CR128">
        <f t="shared" si="241"/>
        <v>0</v>
      </c>
      <c r="CS128">
        <f t="shared" si="209"/>
        <v>0</v>
      </c>
      <c r="CT128">
        <f t="shared" si="210"/>
        <v>0</v>
      </c>
      <c r="CU128">
        <f t="shared" si="211"/>
        <v>0</v>
      </c>
      <c r="CV128">
        <f t="shared" si="212"/>
        <v>0</v>
      </c>
      <c r="CW128">
        <f t="shared" si="213"/>
        <v>0</v>
      </c>
      <c r="CX128">
        <f t="shared" si="214"/>
        <v>0</v>
      </c>
      <c r="CY128">
        <f t="shared" si="215"/>
        <v>0</v>
      </c>
      <c r="CZ128">
        <f t="shared" si="216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1009</v>
      </c>
      <c r="DV128" t="s">
        <v>105</v>
      </c>
      <c r="DW128" t="s">
        <v>105</v>
      </c>
      <c r="DX128">
        <v>1000</v>
      </c>
      <c r="DZ128" t="s">
        <v>3</v>
      </c>
      <c r="EA128" t="s">
        <v>3</v>
      </c>
      <c r="EB128" t="s">
        <v>3</v>
      </c>
      <c r="EC128" t="s">
        <v>3</v>
      </c>
      <c r="EE128">
        <v>140625274</v>
      </c>
      <c r="EF128">
        <v>8</v>
      </c>
      <c r="EG128" t="s">
        <v>48</v>
      </c>
      <c r="EH128">
        <v>0</v>
      </c>
      <c r="EI128" t="s">
        <v>3</v>
      </c>
      <c r="EJ128">
        <v>1</v>
      </c>
      <c r="EK128">
        <v>1100</v>
      </c>
      <c r="EL128" t="s">
        <v>49</v>
      </c>
      <c r="EM128" t="s">
        <v>50</v>
      </c>
      <c r="EO128" t="s">
        <v>3</v>
      </c>
      <c r="EQ128">
        <v>0</v>
      </c>
      <c r="ER128">
        <v>7590.95</v>
      </c>
      <c r="ES128">
        <v>7590.95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5</v>
      </c>
      <c r="FC128">
        <v>1</v>
      </c>
      <c r="FD128">
        <v>18</v>
      </c>
      <c r="FF128">
        <v>75000</v>
      </c>
      <c r="FQ128">
        <v>0</v>
      </c>
      <c r="FR128">
        <f t="shared" si="217"/>
        <v>0</v>
      </c>
      <c r="FS128">
        <v>0</v>
      </c>
      <c r="FX128">
        <v>0</v>
      </c>
      <c r="FY128">
        <v>0</v>
      </c>
      <c r="GA128" t="s">
        <v>424</v>
      </c>
      <c r="GD128">
        <v>1</v>
      </c>
      <c r="GF128">
        <v>84907458</v>
      </c>
      <c r="GG128">
        <v>2</v>
      </c>
      <c r="GH128">
        <v>3</v>
      </c>
      <c r="GI128">
        <v>4</v>
      </c>
      <c r="GJ128">
        <v>0</v>
      </c>
      <c r="GK128">
        <v>0</v>
      </c>
      <c r="GL128">
        <f t="shared" si="218"/>
        <v>0</v>
      </c>
      <c r="GM128">
        <f t="shared" si="219"/>
        <v>30499.85</v>
      </c>
      <c r="GN128">
        <f t="shared" si="220"/>
        <v>30499.85</v>
      </c>
      <c r="GO128">
        <f t="shared" si="221"/>
        <v>0</v>
      </c>
      <c r="GP128">
        <f t="shared" si="222"/>
        <v>0</v>
      </c>
      <c r="GR128">
        <v>1</v>
      </c>
      <c r="GS128">
        <v>1</v>
      </c>
      <c r="GT128">
        <v>0</v>
      </c>
      <c r="GU128" t="s">
        <v>3</v>
      </c>
      <c r="GV128">
        <f t="shared" si="232"/>
        <v>0</v>
      </c>
      <c r="GW128">
        <v>1</v>
      </c>
      <c r="GX128">
        <f t="shared" si="224"/>
        <v>0</v>
      </c>
      <c r="HA128">
        <v>0</v>
      </c>
      <c r="HB128">
        <v>0</v>
      </c>
      <c r="HC128">
        <f t="shared" si="225"/>
        <v>0</v>
      </c>
      <c r="HE128" t="s">
        <v>52</v>
      </c>
      <c r="HF128" t="s">
        <v>115</v>
      </c>
      <c r="HM128" t="s">
        <v>3</v>
      </c>
      <c r="HN128" t="s">
        <v>3</v>
      </c>
      <c r="HO128" t="s">
        <v>3</v>
      </c>
      <c r="HP128" t="s">
        <v>3</v>
      </c>
      <c r="HQ128" t="s">
        <v>3</v>
      </c>
      <c r="IK128">
        <v>0</v>
      </c>
    </row>
    <row r="129" spans="1:245" x14ac:dyDescent="0.2">
      <c r="A129">
        <v>17</v>
      </c>
      <c r="B129">
        <v>1</v>
      </c>
      <c r="E129" t="s">
        <v>425</v>
      </c>
      <c r="F129" t="s">
        <v>46</v>
      </c>
      <c r="G129" t="s">
        <v>426</v>
      </c>
      <c r="H129" t="s">
        <v>105</v>
      </c>
      <c r="I129">
        <f>ROUND(ROUND(0.63104*1.042,4),9)</f>
        <v>0.65749999999999997</v>
      </c>
      <c r="J129">
        <v>0</v>
      </c>
      <c r="K129">
        <f>ROUND(ROUND(0.63104*1.042,4),9)</f>
        <v>0.65749999999999997</v>
      </c>
      <c r="O129">
        <f t="shared" si="193"/>
        <v>44051.71</v>
      </c>
      <c r="P129">
        <f t="shared" si="194"/>
        <v>44051.71</v>
      </c>
      <c r="Q129">
        <f t="shared" si="195"/>
        <v>0</v>
      </c>
      <c r="R129">
        <f t="shared" si="196"/>
        <v>0</v>
      </c>
      <c r="S129">
        <f t="shared" si="197"/>
        <v>0</v>
      </c>
      <c r="T129">
        <f t="shared" si="198"/>
        <v>0</v>
      </c>
      <c r="U129">
        <f t="shared" si="199"/>
        <v>0</v>
      </c>
      <c r="V129">
        <f t="shared" si="200"/>
        <v>0</v>
      </c>
      <c r="W129">
        <f t="shared" si="201"/>
        <v>0</v>
      </c>
      <c r="X129">
        <f t="shared" si="202"/>
        <v>0</v>
      </c>
      <c r="Y129">
        <f t="shared" si="203"/>
        <v>0</v>
      </c>
      <c r="AA129">
        <v>145033679</v>
      </c>
      <c r="AB129">
        <f t="shared" si="204"/>
        <v>7692.17</v>
      </c>
      <c r="AC129">
        <f t="shared" si="237"/>
        <v>7692.17</v>
      </c>
      <c r="AD129">
        <f t="shared" si="238"/>
        <v>0</v>
      </c>
      <c r="AE129">
        <f t="shared" si="239"/>
        <v>0</v>
      </c>
      <c r="AF129">
        <f t="shared" si="239"/>
        <v>0</v>
      </c>
      <c r="AG129">
        <f t="shared" si="205"/>
        <v>0</v>
      </c>
      <c r="AH129">
        <f t="shared" si="240"/>
        <v>0</v>
      </c>
      <c r="AI129">
        <f t="shared" si="240"/>
        <v>0</v>
      </c>
      <c r="AJ129">
        <f t="shared" si="206"/>
        <v>0</v>
      </c>
      <c r="AK129">
        <v>7692.17</v>
      </c>
      <c r="AL129">
        <v>7692.17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8.7100000000000009</v>
      </c>
      <c r="BD129" t="s">
        <v>3</v>
      </c>
      <c r="BE129" t="s">
        <v>3</v>
      </c>
      <c r="BF129" t="s">
        <v>3</v>
      </c>
      <c r="BG129" t="s">
        <v>3</v>
      </c>
      <c r="BH129">
        <v>3</v>
      </c>
      <c r="BI129">
        <v>1</v>
      </c>
      <c r="BJ129" t="s">
        <v>3</v>
      </c>
      <c r="BM129">
        <v>1100</v>
      </c>
      <c r="BN129">
        <v>0</v>
      </c>
      <c r="BO129" t="s">
        <v>3</v>
      </c>
      <c r="BP129">
        <v>0</v>
      </c>
      <c r="BQ129">
        <v>8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0</v>
      </c>
      <c r="CA129">
        <v>0</v>
      </c>
      <c r="CB129" t="s">
        <v>3</v>
      </c>
      <c r="CE129">
        <v>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 t="shared" si="207"/>
        <v>44051.71</v>
      </c>
      <c r="CQ129">
        <f t="shared" si="208"/>
        <v>66998.800700000007</v>
      </c>
      <c r="CR129">
        <f t="shared" si="241"/>
        <v>0</v>
      </c>
      <c r="CS129">
        <f t="shared" si="209"/>
        <v>0</v>
      </c>
      <c r="CT129">
        <f t="shared" si="210"/>
        <v>0</v>
      </c>
      <c r="CU129">
        <f t="shared" si="211"/>
        <v>0</v>
      </c>
      <c r="CV129">
        <f t="shared" si="212"/>
        <v>0</v>
      </c>
      <c r="CW129">
        <f t="shared" si="213"/>
        <v>0</v>
      </c>
      <c r="CX129">
        <f t="shared" si="214"/>
        <v>0</v>
      </c>
      <c r="CY129">
        <f t="shared" si="215"/>
        <v>0</v>
      </c>
      <c r="CZ129">
        <f t="shared" si="216"/>
        <v>0</v>
      </c>
      <c r="DC129" t="s">
        <v>3</v>
      </c>
      <c r="DD129" t="s">
        <v>3</v>
      </c>
      <c r="DE129" t="s">
        <v>3</v>
      </c>
      <c r="DF129" t="s">
        <v>3</v>
      </c>
      <c r="DG129" t="s">
        <v>3</v>
      </c>
      <c r="DH129" t="s">
        <v>3</v>
      </c>
      <c r="DI129" t="s">
        <v>3</v>
      </c>
      <c r="DJ129" t="s">
        <v>3</v>
      </c>
      <c r="DK129" t="s">
        <v>3</v>
      </c>
      <c r="DL129" t="s">
        <v>3</v>
      </c>
      <c r="DM129" t="s">
        <v>3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105</v>
      </c>
      <c r="DW129" t="s">
        <v>105</v>
      </c>
      <c r="DX129">
        <v>1000</v>
      </c>
      <c r="DZ129" t="s">
        <v>3</v>
      </c>
      <c r="EA129" t="s">
        <v>3</v>
      </c>
      <c r="EB129" t="s">
        <v>3</v>
      </c>
      <c r="EC129" t="s">
        <v>3</v>
      </c>
      <c r="EE129">
        <v>140625274</v>
      </c>
      <c r="EF129">
        <v>8</v>
      </c>
      <c r="EG129" t="s">
        <v>48</v>
      </c>
      <c r="EH129">
        <v>0</v>
      </c>
      <c r="EI129" t="s">
        <v>3</v>
      </c>
      <c r="EJ129">
        <v>1</v>
      </c>
      <c r="EK129">
        <v>1100</v>
      </c>
      <c r="EL129" t="s">
        <v>49</v>
      </c>
      <c r="EM129" t="s">
        <v>50</v>
      </c>
      <c r="EO129" t="s">
        <v>3</v>
      </c>
      <c r="EQ129">
        <v>0</v>
      </c>
      <c r="ER129">
        <v>7692.17</v>
      </c>
      <c r="ES129">
        <v>7692.17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5</v>
      </c>
      <c r="FC129">
        <v>1</v>
      </c>
      <c r="FD129">
        <v>18</v>
      </c>
      <c r="FF129">
        <v>76000</v>
      </c>
      <c r="FQ129">
        <v>0</v>
      </c>
      <c r="FR129">
        <f t="shared" si="217"/>
        <v>0</v>
      </c>
      <c r="FS129">
        <v>0</v>
      </c>
      <c r="FX129">
        <v>0</v>
      </c>
      <c r="FY129">
        <v>0</v>
      </c>
      <c r="GA129" t="s">
        <v>427</v>
      </c>
      <c r="GD129">
        <v>1</v>
      </c>
      <c r="GF129">
        <v>735223581</v>
      </c>
      <c r="GG129">
        <v>2</v>
      </c>
      <c r="GH129">
        <v>3</v>
      </c>
      <c r="GI129">
        <v>4</v>
      </c>
      <c r="GJ129">
        <v>0</v>
      </c>
      <c r="GK129">
        <v>0</v>
      </c>
      <c r="GL129">
        <f t="shared" si="218"/>
        <v>0</v>
      </c>
      <c r="GM129">
        <f t="shared" si="219"/>
        <v>44051.71</v>
      </c>
      <c r="GN129">
        <f t="shared" si="220"/>
        <v>44051.71</v>
      </c>
      <c r="GO129">
        <f t="shared" si="221"/>
        <v>0</v>
      </c>
      <c r="GP129">
        <f t="shared" si="222"/>
        <v>0</v>
      </c>
      <c r="GR129">
        <v>1</v>
      </c>
      <c r="GS129">
        <v>1</v>
      </c>
      <c r="GT129">
        <v>0</v>
      </c>
      <c r="GU129" t="s">
        <v>3</v>
      </c>
      <c r="GV129">
        <f t="shared" si="232"/>
        <v>0</v>
      </c>
      <c r="GW129">
        <v>1</v>
      </c>
      <c r="GX129">
        <f t="shared" si="224"/>
        <v>0</v>
      </c>
      <c r="HA129">
        <v>0</v>
      </c>
      <c r="HB129">
        <v>0</v>
      </c>
      <c r="HC129">
        <f t="shared" si="225"/>
        <v>0</v>
      </c>
      <c r="HE129" t="s">
        <v>52</v>
      </c>
      <c r="HF129" t="s">
        <v>115</v>
      </c>
      <c r="HM129" t="s">
        <v>3</v>
      </c>
      <c r="HN129" t="s">
        <v>3</v>
      </c>
      <c r="HO129" t="s">
        <v>3</v>
      </c>
      <c r="HP129" t="s">
        <v>3</v>
      </c>
      <c r="HQ129" t="s">
        <v>3</v>
      </c>
      <c r="IK129">
        <v>0</v>
      </c>
    </row>
    <row r="130" spans="1:245" x14ac:dyDescent="0.2">
      <c r="A130">
        <v>17</v>
      </c>
      <c r="B130">
        <v>1</v>
      </c>
      <c r="C130">
        <f>ROW(SmtRes!A302)</f>
        <v>302</v>
      </c>
      <c r="D130">
        <f>ROW(EtalonRes!A302)</f>
        <v>302</v>
      </c>
      <c r="E130" t="s">
        <v>428</v>
      </c>
      <c r="F130" t="s">
        <v>429</v>
      </c>
      <c r="G130" t="s">
        <v>430</v>
      </c>
      <c r="H130" t="s">
        <v>105</v>
      </c>
      <c r="I130">
        <f>ROUND(I127,9)</f>
        <v>1.0738000000000001</v>
      </c>
      <c r="J130">
        <v>0</v>
      </c>
      <c r="K130">
        <f>ROUND(I127,9)</f>
        <v>1.0738000000000001</v>
      </c>
      <c r="O130">
        <f t="shared" si="193"/>
        <v>32862.21</v>
      </c>
      <c r="P130">
        <f t="shared" si="194"/>
        <v>341.94</v>
      </c>
      <c r="Q130">
        <f t="shared" si="195"/>
        <v>2147.92</v>
      </c>
      <c r="R130">
        <f t="shared" si="196"/>
        <v>711.3</v>
      </c>
      <c r="S130">
        <f t="shared" si="197"/>
        <v>30372.35</v>
      </c>
      <c r="T130">
        <f t="shared" si="198"/>
        <v>0</v>
      </c>
      <c r="U130">
        <f t="shared" si="199"/>
        <v>116.59025104999999</v>
      </c>
      <c r="V130">
        <f t="shared" si="200"/>
        <v>1.8831767499999998</v>
      </c>
      <c r="W130">
        <f t="shared" si="201"/>
        <v>0</v>
      </c>
      <c r="X130">
        <f t="shared" si="202"/>
        <v>28907.79</v>
      </c>
      <c r="Y130">
        <f t="shared" si="203"/>
        <v>16381.08</v>
      </c>
      <c r="AA130">
        <v>145033679</v>
      </c>
      <c r="AB130">
        <f t="shared" si="204"/>
        <v>1127.6300000000001</v>
      </c>
      <c r="AC130">
        <f t="shared" si="237"/>
        <v>36.56</v>
      </c>
      <c r="AD130">
        <f>ROUND((((((ET130*1.25)*1.15))-(((EU130*1.25)*1.15)))+AE130),2)</f>
        <v>164.91</v>
      </c>
      <c r="AE130">
        <f>ROUND((((EU130*1.25)*1.15)),2)</f>
        <v>21.69</v>
      </c>
      <c r="AF130">
        <f>ROUND((((EV130*1.15)*1.15)),2)</f>
        <v>926.16</v>
      </c>
      <c r="AG130">
        <f t="shared" si="205"/>
        <v>0</v>
      </c>
      <c r="AH130">
        <f>(((EW130*1.15)*1.15))</f>
        <v>108.57724999999998</v>
      </c>
      <c r="AI130">
        <f>(((EX130*1.25)*1.15))</f>
        <v>1.7537499999999997</v>
      </c>
      <c r="AJ130">
        <f t="shared" si="206"/>
        <v>0</v>
      </c>
      <c r="AK130">
        <v>851.59</v>
      </c>
      <c r="AL130">
        <v>36.56</v>
      </c>
      <c r="AM130">
        <v>114.72</v>
      </c>
      <c r="AN130">
        <v>15.09</v>
      </c>
      <c r="AO130">
        <v>700.31</v>
      </c>
      <c r="AP130">
        <v>0</v>
      </c>
      <c r="AQ130">
        <v>82.1</v>
      </c>
      <c r="AR130">
        <v>1.22</v>
      </c>
      <c r="AS130">
        <v>0</v>
      </c>
      <c r="AT130">
        <v>93</v>
      </c>
      <c r="AU130">
        <v>52.7</v>
      </c>
      <c r="AV130">
        <v>1</v>
      </c>
      <c r="AW130">
        <v>1</v>
      </c>
      <c r="AZ130">
        <v>1</v>
      </c>
      <c r="BA130">
        <v>30.54</v>
      </c>
      <c r="BB130">
        <v>12.13</v>
      </c>
      <c r="BC130">
        <v>8.7100000000000009</v>
      </c>
      <c r="BD130" t="s">
        <v>3</v>
      </c>
      <c r="BE130" t="s">
        <v>3</v>
      </c>
      <c r="BF130" t="s">
        <v>3</v>
      </c>
      <c r="BG130" t="s">
        <v>3</v>
      </c>
      <c r="BH130">
        <v>0</v>
      </c>
      <c r="BI130">
        <v>1</v>
      </c>
      <c r="BJ130" t="s">
        <v>431</v>
      </c>
      <c r="BM130">
        <v>9001</v>
      </c>
      <c r="BN130">
        <v>0</v>
      </c>
      <c r="BO130" t="s">
        <v>3</v>
      </c>
      <c r="BP130">
        <v>0</v>
      </c>
      <c r="BQ130">
        <v>2</v>
      </c>
      <c r="BR130">
        <v>0</v>
      </c>
      <c r="BS130">
        <v>30.54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93</v>
      </c>
      <c r="CA130">
        <v>62</v>
      </c>
      <c r="CB130" t="s">
        <v>3</v>
      </c>
      <c r="CE130">
        <v>0</v>
      </c>
      <c r="CF130">
        <v>0</v>
      </c>
      <c r="CG130">
        <v>0</v>
      </c>
      <c r="CM130">
        <v>0</v>
      </c>
      <c r="CN130" t="s">
        <v>1104</v>
      </c>
      <c r="CO130">
        <v>0</v>
      </c>
      <c r="CP130">
        <f t="shared" si="207"/>
        <v>32862.21</v>
      </c>
      <c r="CQ130">
        <f t="shared" si="208"/>
        <v>318.43760000000003</v>
      </c>
      <c r="CR130">
        <f>(((((ET130*1.25)*1.15))*BB130-(((EU130*1.25)*1.15))*BS130)+AE130*BS130)</f>
        <v>2000.3010375000003</v>
      </c>
      <c r="CS130">
        <f t="shared" si="209"/>
        <v>662.4126</v>
      </c>
      <c r="CT130">
        <f t="shared" si="210"/>
        <v>28284.926399999997</v>
      </c>
      <c r="CU130">
        <f t="shared" si="211"/>
        <v>0</v>
      </c>
      <c r="CV130">
        <f t="shared" si="212"/>
        <v>108.57724999999998</v>
      </c>
      <c r="CW130">
        <f t="shared" si="213"/>
        <v>1.7537499999999997</v>
      </c>
      <c r="CX130">
        <f t="shared" si="214"/>
        <v>0</v>
      </c>
      <c r="CY130">
        <f t="shared" si="215"/>
        <v>28907.794499999996</v>
      </c>
      <c r="CZ130">
        <f t="shared" si="216"/>
        <v>16381.083549999999</v>
      </c>
      <c r="DC130" t="s">
        <v>3</v>
      </c>
      <c r="DD130" t="s">
        <v>3</v>
      </c>
      <c r="DE130" t="s">
        <v>90</v>
      </c>
      <c r="DF130" t="s">
        <v>90</v>
      </c>
      <c r="DG130" t="s">
        <v>91</v>
      </c>
      <c r="DH130" t="s">
        <v>3</v>
      </c>
      <c r="DI130" t="s">
        <v>91</v>
      </c>
      <c r="DJ130" t="s">
        <v>90</v>
      </c>
      <c r="DK130" t="s">
        <v>3</v>
      </c>
      <c r="DL130" t="s">
        <v>3</v>
      </c>
      <c r="DM130" t="s">
        <v>92</v>
      </c>
      <c r="DN130">
        <v>0</v>
      </c>
      <c r="DO130">
        <v>0</v>
      </c>
      <c r="DP130">
        <v>1</v>
      </c>
      <c r="DQ130">
        <v>1</v>
      </c>
      <c r="DU130">
        <v>1009</v>
      </c>
      <c r="DV130" t="s">
        <v>105</v>
      </c>
      <c r="DW130" t="s">
        <v>105</v>
      </c>
      <c r="DX130">
        <v>1000</v>
      </c>
      <c r="DZ130" t="s">
        <v>3</v>
      </c>
      <c r="EA130" t="s">
        <v>3</v>
      </c>
      <c r="EB130" t="s">
        <v>3</v>
      </c>
      <c r="EC130" t="s">
        <v>3</v>
      </c>
      <c r="EE130">
        <v>140625026</v>
      </c>
      <c r="EF130">
        <v>2</v>
      </c>
      <c r="EG130" t="s">
        <v>22</v>
      </c>
      <c r="EH130">
        <v>9</v>
      </c>
      <c r="EI130" t="s">
        <v>263</v>
      </c>
      <c r="EJ130">
        <v>1</v>
      </c>
      <c r="EK130">
        <v>9001</v>
      </c>
      <c r="EL130" t="s">
        <v>263</v>
      </c>
      <c r="EM130" t="s">
        <v>264</v>
      </c>
      <c r="EO130" t="s">
        <v>95</v>
      </c>
      <c r="EQ130">
        <v>0</v>
      </c>
      <c r="ER130">
        <v>851.59</v>
      </c>
      <c r="ES130">
        <v>36.56</v>
      </c>
      <c r="ET130">
        <v>114.72</v>
      </c>
      <c r="EU130">
        <v>15.09</v>
      </c>
      <c r="EV130">
        <v>700.31</v>
      </c>
      <c r="EW130">
        <v>82.1</v>
      </c>
      <c r="EX130">
        <v>1.22</v>
      </c>
      <c r="EY130">
        <v>0</v>
      </c>
      <c r="FQ130">
        <v>0</v>
      </c>
      <c r="FR130">
        <f t="shared" si="217"/>
        <v>0</v>
      </c>
      <c r="FS130">
        <v>0</v>
      </c>
      <c r="FX130">
        <v>93</v>
      </c>
      <c r="FY130">
        <v>52.7</v>
      </c>
      <c r="GA130" t="s">
        <v>3</v>
      </c>
      <c r="GD130">
        <v>1</v>
      </c>
      <c r="GF130">
        <v>-1674563377</v>
      </c>
      <c r="GG130">
        <v>2</v>
      </c>
      <c r="GH130">
        <v>1</v>
      </c>
      <c r="GI130">
        <v>4</v>
      </c>
      <c r="GJ130">
        <v>0</v>
      </c>
      <c r="GK130">
        <v>0</v>
      </c>
      <c r="GL130">
        <f t="shared" si="218"/>
        <v>0</v>
      </c>
      <c r="GM130">
        <f t="shared" si="219"/>
        <v>78151.08</v>
      </c>
      <c r="GN130">
        <f t="shared" si="220"/>
        <v>78151.08</v>
      </c>
      <c r="GO130">
        <f t="shared" si="221"/>
        <v>0</v>
      </c>
      <c r="GP130">
        <f t="shared" si="222"/>
        <v>0</v>
      </c>
      <c r="GR130">
        <v>0</v>
      </c>
      <c r="GS130">
        <v>3</v>
      </c>
      <c r="GT130">
        <v>0</v>
      </c>
      <c r="GU130" t="s">
        <v>3</v>
      </c>
      <c r="GV130">
        <f t="shared" si="232"/>
        <v>0</v>
      </c>
      <c r="GW130">
        <v>1</v>
      </c>
      <c r="GX130">
        <f t="shared" si="224"/>
        <v>0</v>
      </c>
      <c r="HA130">
        <v>0</v>
      </c>
      <c r="HB130">
        <v>0</v>
      </c>
      <c r="HC130">
        <f t="shared" si="225"/>
        <v>0</v>
      </c>
      <c r="HE130" t="s">
        <v>3</v>
      </c>
      <c r="HF130" t="s">
        <v>3</v>
      </c>
      <c r="HM130" t="s">
        <v>3</v>
      </c>
      <c r="HN130" t="s">
        <v>265</v>
      </c>
      <c r="HO130" t="s">
        <v>266</v>
      </c>
      <c r="HP130" t="s">
        <v>263</v>
      </c>
      <c r="HQ130" t="s">
        <v>263</v>
      </c>
      <c r="IK130">
        <v>0</v>
      </c>
    </row>
    <row r="131" spans="1:245" x14ac:dyDescent="0.2">
      <c r="A131">
        <v>19</v>
      </c>
      <c r="B131">
        <v>1</v>
      </c>
      <c r="F131" t="s">
        <v>3</v>
      </c>
      <c r="G131" t="s">
        <v>432</v>
      </c>
      <c r="H131" t="s">
        <v>3</v>
      </c>
      <c r="AA131">
        <v>1</v>
      </c>
      <c r="IK131">
        <v>0</v>
      </c>
    </row>
    <row r="132" spans="1:245" x14ac:dyDescent="0.2">
      <c r="A132">
        <v>17</v>
      </c>
      <c r="B132">
        <v>1</v>
      </c>
      <c r="C132">
        <f>ROW(SmtRes!A307)</f>
        <v>307</v>
      </c>
      <c r="D132">
        <f>ROW(EtalonRes!A307)</f>
        <v>307</v>
      </c>
      <c r="E132" t="s">
        <v>433</v>
      </c>
      <c r="F132" t="s">
        <v>434</v>
      </c>
      <c r="G132" t="s">
        <v>435</v>
      </c>
      <c r="H132" t="s">
        <v>436</v>
      </c>
      <c r="I132">
        <f>ROUND(18/1000,9)</f>
        <v>1.7999999999999999E-2</v>
      </c>
      <c r="J132">
        <v>0</v>
      </c>
      <c r="K132">
        <f>ROUND(18/1000,9)</f>
        <v>1.7999999999999999E-2</v>
      </c>
      <c r="O132">
        <f>ROUND(CP132,2)</f>
        <v>1007.66</v>
      </c>
      <c r="P132">
        <f>ROUND(CQ132*I132,2)</f>
        <v>0.68</v>
      </c>
      <c r="Q132">
        <f>ROUND(CR132*I132,2)</f>
        <v>951.18</v>
      </c>
      <c r="R132">
        <f>ROUND(CS132*I132,2)</f>
        <v>304.36</v>
      </c>
      <c r="S132">
        <f>ROUND(CT132*I132,2)</f>
        <v>55.8</v>
      </c>
      <c r="T132">
        <f>ROUND(CU132*I132,2)</f>
        <v>0</v>
      </c>
      <c r="U132">
        <f>CV132*I132</f>
        <v>0.23424119999999993</v>
      </c>
      <c r="V132">
        <f>CW132*I132</f>
        <v>0.73821375</v>
      </c>
      <c r="W132">
        <f>ROUND(CX132*I132,2)</f>
        <v>0</v>
      </c>
      <c r="X132">
        <f>ROUND(CY132,2)</f>
        <v>331.35</v>
      </c>
      <c r="Y132">
        <f>ROUND(CZ132,2)</f>
        <v>140.82</v>
      </c>
      <c r="AA132">
        <v>145033679</v>
      </c>
      <c r="AB132">
        <f>ROUND((AC132+AD132+AF132),2)</f>
        <v>4462.26</v>
      </c>
      <c r="AC132">
        <f>ROUND((ES132),2)</f>
        <v>4.34</v>
      </c>
      <c r="AD132">
        <f>ROUND((((((ET132*1.15)*1.25))-(((EU132*1.15)*1.25)))+AE132),2)</f>
        <v>4356.42</v>
      </c>
      <c r="AE132">
        <f>ROUND((((EU132*1.15)*1.25)),2)</f>
        <v>553.66999999999996</v>
      </c>
      <c r="AF132">
        <f>ROUND((((EV132*1.15)*1.15)),2)</f>
        <v>101.5</v>
      </c>
      <c r="AG132">
        <f>ROUND((AP132),2)</f>
        <v>0</v>
      </c>
      <c r="AH132">
        <f>(((EW132*1.15)*1.15))</f>
        <v>13.013399999999997</v>
      </c>
      <c r="AI132">
        <f>(((EX132*1.15)*1.25))</f>
        <v>41.011875000000003</v>
      </c>
      <c r="AJ132">
        <f>(AS132)</f>
        <v>0</v>
      </c>
      <c r="AK132">
        <v>3111.64</v>
      </c>
      <c r="AL132">
        <v>4.34</v>
      </c>
      <c r="AM132">
        <v>3030.55</v>
      </c>
      <c r="AN132">
        <v>385.16</v>
      </c>
      <c r="AO132">
        <v>76.75</v>
      </c>
      <c r="AP132">
        <v>0</v>
      </c>
      <c r="AQ132">
        <v>9.84</v>
      </c>
      <c r="AR132">
        <v>28.53</v>
      </c>
      <c r="AS132">
        <v>0</v>
      </c>
      <c r="AT132">
        <v>92</v>
      </c>
      <c r="AU132">
        <v>39.1</v>
      </c>
      <c r="AV132">
        <v>1</v>
      </c>
      <c r="AW132">
        <v>1</v>
      </c>
      <c r="AZ132">
        <v>1</v>
      </c>
      <c r="BA132">
        <v>30.54</v>
      </c>
      <c r="BB132">
        <v>12.13</v>
      </c>
      <c r="BC132">
        <v>8.7100000000000009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1</v>
      </c>
      <c r="BJ132" t="s">
        <v>437</v>
      </c>
      <c r="BM132">
        <v>1001</v>
      </c>
      <c r="BN132">
        <v>0</v>
      </c>
      <c r="BO132" t="s">
        <v>3</v>
      </c>
      <c r="BP132">
        <v>0</v>
      </c>
      <c r="BQ132">
        <v>2</v>
      </c>
      <c r="BR132">
        <v>0</v>
      </c>
      <c r="BS132">
        <v>30.54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92</v>
      </c>
      <c r="CA132">
        <v>46</v>
      </c>
      <c r="CB132" t="s">
        <v>3</v>
      </c>
      <c r="CE132">
        <v>0</v>
      </c>
      <c r="CF132">
        <v>0</v>
      </c>
      <c r="CG132">
        <v>0</v>
      </c>
      <c r="CM132">
        <v>0</v>
      </c>
      <c r="CN132" t="s">
        <v>1106</v>
      </c>
      <c r="CO132">
        <v>0</v>
      </c>
      <c r="CP132">
        <f>(P132+Q132+S132)</f>
        <v>1007.6599999999999</v>
      </c>
      <c r="CQ132">
        <f>AC132*BC132</f>
        <v>37.801400000000001</v>
      </c>
      <c r="CR132">
        <f>(((((ET132*1.15)*1.25))*BB132-(((EU132*1.15)*1.25))*BS132)+AE132*BS132)</f>
        <v>52843.397881250014</v>
      </c>
      <c r="CS132">
        <f>AE132*BS132</f>
        <v>16909.0818</v>
      </c>
      <c r="CT132">
        <f>AF132*BA132</f>
        <v>3099.81</v>
      </c>
      <c r="CU132">
        <f>AG132</f>
        <v>0</v>
      </c>
      <c r="CV132">
        <f>AH132</f>
        <v>13.013399999999997</v>
      </c>
      <c r="CW132">
        <f>AI132</f>
        <v>41.011875000000003</v>
      </c>
      <c r="CX132">
        <f>AJ132</f>
        <v>0</v>
      </c>
      <c r="CY132">
        <f>(((S132+R132)*AT132)/100)</f>
        <v>331.34719999999999</v>
      </c>
      <c r="CZ132">
        <f>(((S132+R132)*AU132)/100)</f>
        <v>140.82256000000001</v>
      </c>
      <c r="DC132" t="s">
        <v>3</v>
      </c>
      <c r="DD132" t="s">
        <v>3</v>
      </c>
      <c r="DE132" t="s">
        <v>339</v>
      </c>
      <c r="DF132" t="s">
        <v>339</v>
      </c>
      <c r="DG132" t="s">
        <v>91</v>
      </c>
      <c r="DH132" t="s">
        <v>3</v>
      </c>
      <c r="DI132" t="s">
        <v>91</v>
      </c>
      <c r="DJ132" t="s">
        <v>339</v>
      </c>
      <c r="DK132" t="s">
        <v>3</v>
      </c>
      <c r="DL132" t="s">
        <v>3</v>
      </c>
      <c r="DM132" t="s">
        <v>92</v>
      </c>
      <c r="DN132">
        <v>0</v>
      </c>
      <c r="DO132">
        <v>0</v>
      </c>
      <c r="DP132">
        <v>1</v>
      </c>
      <c r="DQ132">
        <v>1</v>
      </c>
      <c r="DU132">
        <v>1007</v>
      </c>
      <c r="DV132" t="s">
        <v>436</v>
      </c>
      <c r="DW132" t="s">
        <v>436</v>
      </c>
      <c r="DX132">
        <v>1000</v>
      </c>
      <c r="DZ132" t="s">
        <v>3</v>
      </c>
      <c r="EA132" t="s">
        <v>3</v>
      </c>
      <c r="EB132" t="s">
        <v>3</v>
      </c>
      <c r="EC132" t="s">
        <v>3</v>
      </c>
      <c r="EE132">
        <v>140624985</v>
      </c>
      <c r="EF132">
        <v>2</v>
      </c>
      <c r="EG132" t="s">
        <v>22</v>
      </c>
      <c r="EH132">
        <v>1</v>
      </c>
      <c r="EI132" t="s">
        <v>438</v>
      </c>
      <c r="EJ132">
        <v>1</v>
      </c>
      <c r="EK132">
        <v>1001</v>
      </c>
      <c r="EL132" t="s">
        <v>439</v>
      </c>
      <c r="EM132" t="s">
        <v>440</v>
      </c>
      <c r="EO132" t="s">
        <v>342</v>
      </c>
      <c r="EQ132">
        <v>0</v>
      </c>
      <c r="ER132">
        <v>3111.64</v>
      </c>
      <c r="ES132">
        <v>4.34</v>
      </c>
      <c r="ET132">
        <v>3030.55</v>
      </c>
      <c r="EU132">
        <v>385.16</v>
      </c>
      <c r="EV132">
        <v>76.75</v>
      </c>
      <c r="EW132">
        <v>9.84</v>
      </c>
      <c r="EX132">
        <v>28.53</v>
      </c>
      <c r="EY132">
        <v>0</v>
      </c>
      <c r="FQ132">
        <v>0</v>
      </c>
      <c r="FR132">
        <f>ROUND(IF(BI132=3,GM132,0),2)</f>
        <v>0</v>
      </c>
      <c r="FS132">
        <v>0</v>
      </c>
      <c r="FX132">
        <v>92</v>
      </c>
      <c r="FY132">
        <v>39.1</v>
      </c>
      <c r="GA132" t="s">
        <v>3</v>
      </c>
      <c r="GD132">
        <v>1</v>
      </c>
      <c r="GF132">
        <v>715723525</v>
      </c>
      <c r="GG132">
        <v>2</v>
      </c>
      <c r="GH132">
        <v>1</v>
      </c>
      <c r="GI132">
        <v>4</v>
      </c>
      <c r="GJ132">
        <v>0</v>
      </c>
      <c r="GK132">
        <v>0</v>
      </c>
      <c r="GL132">
        <f>ROUND(IF(AND(BH132=3,BI132=3,FS132&lt;&gt;0),P132,0),2)</f>
        <v>0</v>
      </c>
      <c r="GM132">
        <f>ROUND(O132+X132+Y132,2)+GX132</f>
        <v>1479.83</v>
      </c>
      <c r="GN132">
        <f>IF(OR(BI132=0,BI132=1),ROUND(O132+X132+Y132,2),0)</f>
        <v>1479.83</v>
      </c>
      <c r="GO132">
        <f>IF(BI132=2,ROUND(O132+X132+Y132,2),0)</f>
        <v>0</v>
      </c>
      <c r="GP132">
        <f>IF(BI132=4,ROUND(O132+X132+Y132,2)+GX132,0)</f>
        <v>0</v>
      </c>
      <c r="GR132">
        <v>0</v>
      </c>
      <c r="GS132">
        <v>3</v>
      </c>
      <c r="GT132">
        <v>0</v>
      </c>
      <c r="GU132" t="s">
        <v>3</v>
      </c>
      <c r="GV132">
        <f>ROUND((GT132),2)</f>
        <v>0</v>
      </c>
      <c r="GW132">
        <v>1</v>
      </c>
      <c r="GX132">
        <f>ROUND(HC132*I132,2)</f>
        <v>0</v>
      </c>
      <c r="HA132">
        <v>0</v>
      </c>
      <c r="HB132">
        <v>0</v>
      </c>
      <c r="HC132">
        <f>GV132*GW132</f>
        <v>0</v>
      </c>
      <c r="HE132" t="s">
        <v>3</v>
      </c>
      <c r="HF132" t="s">
        <v>3</v>
      </c>
      <c r="HM132" t="s">
        <v>3</v>
      </c>
      <c r="HN132" t="s">
        <v>441</v>
      </c>
      <c r="HO132" t="s">
        <v>442</v>
      </c>
      <c r="HP132" t="s">
        <v>439</v>
      </c>
      <c r="HQ132" t="s">
        <v>439</v>
      </c>
      <c r="IK132">
        <v>0</v>
      </c>
    </row>
    <row r="133" spans="1:245" x14ac:dyDescent="0.2">
      <c r="A133">
        <v>17</v>
      </c>
      <c r="B133">
        <v>1</v>
      </c>
      <c r="E133" t="s">
        <v>443</v>
      </c>
      <c r="F133" t="s">
        <v>444</v>
      </c>
      <c r="G133" t="s">
        <v>445</v>
      </c>
      <c r="H133" t="s">
        <v>446</v>
      </c>
      <c r="I133">
        <f>ROUND(18*1.75,9)</f>
        <v>31.5</v>
      </c>
      <c r="J133">
        <v>0</v>
      </c>
      <c r="K133">
        <f>ROUND(18*1.75,9)</f>
        <v>31.5</v>
      </c>
      <c r="O133">
        <f>0</f>
        <v>0</v>
      </c>
      <c r="P133">
        <f>0</f>
        <v>0</v>
      </c>
      <c r="Q133">
        <f>0</f>
        <v>0</v>
      </c>
      <c r="R133">
        <f>0</f>
        <v>0</v>
      </c>
      <c r="S133">
        <f>0</f>
        <v>0</v>
      </c>
      <c r="T133">
        <f>0</f>
        <v>0</v>
      </c>
      <c r="U133">
        <f>0</f>
        <v>0</v>
      </c>
      <c r="V133">
        <f>0</f>
        <v>0</v>
      </c>
      <c r="W133">
        <f>0</f>
        <v>0</v>
      </c>
      <c r="X133">
        <f>0</f>
        <v>0</v>
      </c>
      <c r="Y133">
        <f>0</f>
        <v>0</v>
      </c>
      <c r="AA133">
        <v>145033679</v>
      </c>
      <c r="AB133">
        <f>ROUND((AK133),2)</f>
        <v>3.86</v>
      </c>
      <c r="AC133">
        <f>0</f>
        <v>0</v>
      </c>
      <c r="AD133">
        <f>0</f>
        <v>0</v>
      </c>
      <c r="AE133">
        <f>0</f>
        <v>0</v>
      </c>
      <c r="AF133">
        <f>0</f>
        <v>0</v>
      </c>
      <c r="AG133">
        <f>0</f>
        <v>0</v>
      </c>
      <c r="AH133">
        <f>0</f>
        <v>0</v>
      </c>
      <c r="AI133">
        <f>0</f>
        <v>0</v>
      </c>
      <c r="AJ133">
        <f>0</f>
        <v>0</v>
      </c>
      <c r="AK133">
        <v>3.86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12.02</v>
      </c>
      <c r="BA133">
        <v>1</v>
      </c>
      <c r="BB133">
        <v>1</v>
      </c>
      <c r="BC133">
        <v>1</v>
      </c>
      <c r="BD133" t="s">
        <v>3</v>
      </c>
      <c r="BE133" t="s">
        <v>3</v>
      </c>
      <c r="BF133" t="s">
        <v>3</v>
      </c>
      <c r="BG133" t="s">
        <v>3</v>
      </c>
      <c r="BH133">
        <v>0</v>
      </c>
      <c r="BI133">
        <v>1</v>
      </c>
      <c r="BJ133" t="s">
        <v>447</v>
      </c>
      <c r="BM133">
        <v>700011</v>
      </c>
      <c r="BN133">
        <v>0</v>
      </c>
      <c r="BO133" t="s">
        <v>3</v>
      </c>
      <c r="BP133">
        <v>0</v>
      </c>
      <c r="BQ133">
        <v>40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3</v>
      </c>
      <c r="BZ133">
        <v>0</v>
      </c>
      <c r="CA133">
        <v>0</v>
      </c>
      <c r="CB133" t="s">
        <v>3</v>
      </c>
      <c r="CE133">
        <v>0</v>
      </c>
      <c r="CF133">
        <v>0</v>
      </c>
      <c r="CG133">
        <v>0</v>
      </c>
      <c r="CM133">
        <v>0</v>
      </c>
      <c r="CN133" t="s">
        <v>3</v>
      </c>
      <c r="CO133">
        <v>0</v>
      </c>
      <c r="CP133">
        <f>AB133*AZ133</f>
        <v>46.397199999999998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C133" t="s">
        <v>3</v>
      </c>
      <c r="DD133" t="s">
        <v>3</v>
      </c>
      <c r="DE133" t="s">
        <v>3</v>
      </c>
      <c r="DF133" t="s">
        <v>3</v>
      </c>
      <c r="DG133" t="s">
        <v>3</v>
      </c>
      <c r="DH133" t="s">
        <v>3</v>
      </c>
      <c r="DI133" t="s">
        <v>3</v>
      </c>
      <c r="DJ133" t="s">
        <v>3</v>
      </c>
      <c r="DK133" t="s">
        <v>3</v>
      </c>
      <c r="DL133" t="s">
        <v>3</v>
      </c>
      <c r="DM133" t="s">
        <v>3</v>
      </c>
      <c r="DN133">
        <v>0</v>
      </c>
      <c r="DO133">
        <v>0</v>
      </c>
      <c r="DP133">
        <v>1</v>
      </c>
      <c r="DQ133">
        <v>1</v>
      </c>
      <c r="DU133">
        <v>1013</v>
      </c>
      <c r="DV133" t="s">
        <v>446</v>
      </c>
      <c r="DW133" t="s">
        <v>446</v>
      </c>
      <c r="DX133">
        <v>1</v>
      </c>
      <c r="DZ133" t="s">
        <v>3</v>
      </c>
      <c r="EA133" t="s">
        <v>3</v>
      </c>
      <c r="EB133" t="s">
        <v>3</v>
      </c>
      <c r="EC133" t="s">
        <v>3</v>
      </c>
      <c r="EE133">
        <v>140625621</v>
      </c>
      <c r="EF133">
        <v>40</v>
      </c>
      <c r="EG133" t="s">
        <v>448</v>
      </c>
      <c r="EH133">
        <v>107</v>
      </c>
      <c r="EI133" t="s">
        <v>449</v>
      </c>
      <c r="EJ133">
        <v>1</v>
      </c>
      <c r="EK133">
        <v>700011</v>
      </c>
      <c r="EL133" t="s">
        <v>450</v>
      </c>
      <c r="EM133" t="s">
        <v>451</v>
      </c>
      <c r="EO133" t="s">
        <v>3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FQ133">
        <v>0</v>
      </c>
      <c r="FR133">
        <f>ROUND(IF(BI133=3,GM133,0),2)</f>
        <v>0</v>
      </c>
      <c r="FS133">
        <v>0</v>
      </c>
      <c r="FX133">
        <v>0</v>
      </c>
      <c r="FY133">
        <v>0</v>
      </c>
      <c r="GA133" t="s">
        <v>3</v>
      </c>
      <c r="GD133">
        <v>1</v>
      </c>
      <c r="GF133">
        <v>-1332390239</v>
      </c>
      <c r="GG133">
        <v>2</v>
      </c>
      <c r="GH133">
        <v>1</v>
      </c>
      <c r="GI133">
        <v>4</v>
      </c>
      <c r="GJ133">
        <v>2</v>
      </c>
      <c r="GK133">
        <v>0</v>
      </c>
      <c r="GL133">
        <f>ROUND(IF(AND(BH133=3,BI133=3,FS133&lt;&gt;0),P133,0),2)</f>
        <v>0</v>
      </c>
      <c r="GM133">
        <f>ROUND(CP133*I133,2)</f>
        <v>1461.51</v>
      </c>
      <c r="GN133">
        <f>IF(OR(BI133=0,BI133=1),ROUND(CP133*I133,2),0)</f>
        <v>1461.51</v>
      </c>
      <c r="GO133">
        <f>IF(BI133=2,ROUND(CP133*I133,2),0)</f>
        <v>0</v>
      </c>
      <c r="GP133">
        <f>IF(BI133=4,ROUND(CP133*I133,2)+GX133,0)</f>
        <v>0</v>
      </c>
      <c r="GR133">
        <v>0</v>
      </c>
      <c r="GS133">
        <v>3</v>
      </c>
      <c r="GT133">
        <v>0</v>
      </c>
      <c r="GU133" t="s">
        <v>3</v>
      </c>
      <c r="GV133">
        <f>0</f>
        <v>0</v>
      </c>
      <c r="GW133">
        <v>1</v>
      </c>
      <c r="GX133">
        <f>0</f>
        <v>0</v>
      </c>
      <c r="HA133">
        <v>0</v>
      </c>
      <c r="HB133">
        <v>0</v>
      </c>
      <c r="HC133">
        <v>0</v>
      </c>
      <c r="HD133">
        <f>GM133</f>
        <v>1461.51</v>
      </c>
      <c r="HE133" t="s">
        <v>3</v>
      </c>
      <c r="HF133" t="s">
        <v>3</v>
      </c>
      <c r="HM133" t="s">
        <v>3</v>
      </c>
      <c r="HN133" t="s">
        <v>3</v>
      </c>
      <c r="HO133" t="s">
        <v>3</v>
      </c>
      <c r="HP133" t="s">
        <v>3</v>
      </c>
      <c r="HQ133" t="s">
        <v>3</v>
      </c>
      <c r="IK133">
        <v>0</v>
      </c>
    </row>
    <row r="134" spans="1:245" x14ac:dyDescent="0.2">
      <c r="A134">
        <v>17</v>
      </c>
      <c r="B134">
        <v>1</v>
      </c>
      <c r="C134">
        <f>ROW(SmtRes!A312)</f>
        <v>312</v>
      </c>
      <c r="D134">
        <f>ROW(EtalonRes!A312)</f>
        <v>312</v>
      </c>
      <c r="E134" t="s">
        <v>452</v>
      </c>
      <c r="F134" t="s">
        <v>453</v>
      </c>
      <c r="G134" t="s">
        <v>454</v>
      </c>
      <c r="H134" t="s">
        <v>436</v>
      </c>
      <c r="I134">
        <f>ROUND(18/1000,9)</f>
        <v>1.7999999999999999E-2</v>
      </c>
      <c r="J134">
        <v>0</v>
      </c>
      <c r="K134">
        <f>ROUND(18/1000,9)</f>
        <v>1.7999999999999999E-2</v>
      </c>
      <c r="O134">
        <f>ROUND(CP134,2)</f>
        <v>78.81</v>
      </c>
      <c r="P134">
        <f>ROUND(CQ134*I134,2)</f>
        <v>0.68</v>
      </c>
      <c r="Q134">
        <f>ROUND(CR134*I134,2)</f>
        <v>63.89</v>
      </c>
      <c r="R134">
        <f>ROUND(CS134*I134,2)</f>
        <v>27.3</v>
      </c>
      <c r="S134">
        <f>ROUND(CT134*I134,2)</f>
        <v>14.24</v>
      </c>
      <c r="T134">
        <f>ROUND(CU134*I134,2)</f>
        <v>0</v>
      </c>
      <c r="U134">
        <f>CV134*I134</f>
        <v>5.9759999999999994E-2</v>
      </c>
      <c r="V134">
        <f>CW134*I134</f>
        <v>6.6419999999999993E-2</v>
      </c>
      <c r="W134">
        <f>ROUND(CX134*I134,2)</f>
        <v>0</v>
      </c>
      <c r="X134">
        <f>ROUND(CY134,2)</f>
        <v>38.22</v>
      </c>
      <c r="Y134">
        <f>ROUND(CZ134,2)</f>
        <v>19.11</v>
      </c>
      <c r="AA134">
        <v>145033679</v>
      </c>
      <c r="AB134">
        <f>ROUND((AC134+AD134+AF134),2)</f>
        <v>322.83999999999997</v>
      </c>
      <c r="AC134">
        <f>ROUND((ES134),2)</f>
        <v>4.34</v>
      </c>
      <c r="AD134">
        <f>ROUND((((ET134)-(EU134))+AE134),2)</f>
        <v>292.60000000000002</v>
      </c>
      <c r="AE134">
        <f>ROUND((EU134),2)</f>
        <v>49.67</v>
      </c>
      <c r="AF134">
        <f>ROUND((EV134),2)</f>
        <v>25.9</v>
      </c>
      <c r="AG134">
        <f>ROUND((AP134),2)</f>
        <v>0</v>
      </c>
      <c r="AH134">
        <f>(EW134)</f>
        <v>3.32</v>
      </c>
      <c r="AI134">
        <f>(EX134)</f>
        <v>3.69</v>
      </c>
      <c r="AJ134">
        <f>(AS134)</f>
        <v>0</v>
      </c>
      <c r="AK134">
        <v>322.83999999999997</v>
      </c>
      <c r="AL134">
        <v>4.34</v>
      </c>
      <c r="AM134">
        <v>292.60000000000002</v>
      </c>
      <c r="AN134">
        <v>49.67</v>
      </c>
      <c r="AO134">
        <v>25.9</v>
      </c>
      <c r="AP134">
        <v>0</v>
      </c>
      <c r="AQ134">
        <v>3.32</v>
      </c>
      <c r="AR134">
        <v>3.69</v>
      </c>
      <c r="AS134">
        <v>0</v>
      </c>
      <c r="AT134">
        <v>92</v>
      </c>
      <c r="AU134">
        <v>46</v>
      </c>
      <c r="AV134">
        <v>1</v>
      </c>
      <c r="AW134">
        <v>1</v>
      </c>
      <c r="AZ134">
        <v>1</v>
      </c>
      <c r="BA134">
        <v>30.54</v>
      </c>
      <c r="BB134">
        <v>12.13</v>
      </c>
      <c r="BC134">
        <v>8.7100000000000009</v>
      </c>
      <c r="BD134" t="s">
        <v>3</v>
      </c>
      <c r="BE134" t="s">
        <v>3</v>
      </c>
      <c r="BF134" t="s">
        <v>3</v>
      </c>
      <c r="BG134" t="s">
        <v>3</v>
      </c>
      <c r="BH134">
        <v>0</v>
      </c>
      <c r="BI134">
        <v>1</v>
      </c>
      <c r="BJ134" t="s">
        <v>455</v>
      </c>
      <c r="BM134">
        <v>1001</v>
      </c>
      <c r="BN134">
        <v>0</v>
      </c>
      <c r="BO134" t="s">
        <v>3</v>
      </c>
      <c r="BP134">
        <v>0</v>
      </c>
      <c r="BQ134">
        <v>2</v>
      </c>
      <c r="BR134">
        <v>0</v>
      </c>
      <c r="BS134">
        <v>30.54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92</v>
      </c>
      <c r="CA134">
        <v>46</v>
      </c>
      <c r="CB134" t="s">
        <v>3</v>
      </c>
      <c r="CE134">
        <v>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>(P134+Q134+S134)</f>
        <v>78.81</v>
      </c>
      <c r="CQ134">
        <f>AC134*BC134</f>
        <v>37.801400000000001</v>
      </c>
      <c r="CR134">
        <f>(((ET134)*BB134-(EU134)*BS134)+AE134*BS134)</f>
        <v>3549.2380000000003</v>
      </c>
      <c r="CS134">
        <f>AE134*BS134</f>
        <v>1516.9218000000001</v>
      </c>
      <c r="CT134">
        <f>AF134*BA134</f>
        <v>790.98599999999999</v>
      </c>
      <c r="CU134">
        <f>AG134</f>
        <v>0</v>
      </c>
      <c r="CV134">
        <f>AH134</f>
        <v>3.32</v>
      </c>
      <c r="CW134">
        <f>AI134</f>
        <v>3.69</v>
      </c>
      <c r="CX134">
        <f>AJ134</f>
        <v>0</v>
      </c>
      <c r="CY134">
        <f>(((S134+R134)*AT134)/100)</f>
        <v>38.216799999999999</v>
      </c>
      <c r="CZ134">
        <f>(((S134+R134)*AU134)/100)</f>
        <v>19.1084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1007</v>
      </c>
      <c r="DV134" t="s">
        <v>436</v>
      </c>
      <c r="DW134" t="s">
        <v>436</v>
      </c>
      <c r="DX134">
        <v>1000</v>
      </c>
      <c r="DZ134" t="s">
        <v>3</v>
      </c>
      <c r="EA134" t="s">
        <v>3</v>
      </c>
      <c r="EB134" t="s">
        <v>3</v>
      </c>
      <c r="EC134" t="s">
        <v>3</v>
      </c>
      <c r="EE134">
        <v>140624985</v>
      </c>
      <c r="EF134">
        <v>2</v>
      </c>
      <c r="EG134" t="s">
        <v>22</v>
      </c>
      <c r="EH134">
        <v>1</v>
      </c>
      <c r="EI134" t="s">
        <v>438</v>
      </c>
      <c r="EJ134">
        <v>1</v>
      </c>
      <c r="EK134">
        <v>1001</v>
      </c>
      <c r="EL134" t="s">
        <v>439</v>
      </c>
      <c r="EM134" t="s">
        <v>440</v>
      </c>
      <c r="EO134" t="s">
        <v>3</v>
      </c>
      <c r="EQ134">
        <v>0</v>
      </c>
      <c r="ER134">
        <v>322.83999999999997</v>
      </c>
      <c r="ES134">
        <v>4.34</v>
      </c>
      <c r="ET134">
        <v>292.60000000000002</v>
      </c>
      <c r="EU134">
        <v>49.67</v>
      </c>
      <c r="EV134">
        <v>25.9</v>
      </c>
      <c r="EW134">
        <v>3.32</v>
      </c>
      <c r="EX134">
        <v>3.69</v>
      </c>
      <c r="EY134">
        <v>0</v>
      </c>
      <c r="FQ134">
        <v>0</v>
      </c>
      <c r="FR134">
        <f>ROUND(IF(BI134=3,GM134,0),2)</f>
        <v>0</v>
      </c>
      <c r="FS134">
        <v>0</v>
      </c>
      <c r="FX134">
        <v>92</v>
      </c>
      <c r="FY134">
        <v>46</v>
      </c>
      <c r="GA134" t="s">
        <v>3</v>
      </c>
      <c r="GD134">
        <v>1</v>
      </c>
      <c r="GF134">
        <v>2033095450</v>
      </c>
      <c r="GG134">
        <v>2</v>
      </c>
      <c r="GH134">
        <v>1</v>
      </c>
      <c r="GI134">
        <v>4</v>
      </c>
      <c r="GJ134">
        <v>0</v>
      </c>
      <c r="GK134">
        <v>0</v>
      </c>
      <c r="GL134">
        <f>ROUND(IF(AND(BH134=3,BI134=3,FS134&lt;&gt;0),P134,0),2)</f>
        <v>0</v>
      </c>
      <c r="GM134">
        <f>ROUND(O134+X134+Y134,2)+GX134</f>
        <v>136.13999999999999</v>
      </c>
      <c r="GN134">
        <f>IF(OR(BI134=0,BI134=1),ROUND(O134+X134+Y134,2),0)</f>
        <v>136.13999999999999</v>
      </c>
      <c r="GO134">
        <f>IF(BI134=2,ROUND(O134+X134+Y134,2),0)</f>
        <v>0</v>
      </c>
      <c r="GP134">
        <f>IF(BI134=4,ROUND(O134+X134+Y134,2)+GX134,0)</f>
        <v>0</v>
      </c>
      <c r="GR134">
        <v>0</v>
      </c>
      <c r="GS134">
        <v>3</v>
      </c>
      <c r="GT134">
        <v>0</v>
      </c>
      <c r="GU134" t="s">
        <v>3</v>
      </c>
      <c r="GV134">
        <f>ROUND((GT134),2)</f>
        <v>0</v>
      </c>
      <c r="GW134">
        <v>1</v>
      </c>
      <c r="GX134">
        <f>ROUND(HC134*I134,2)</f>
        <v>0</v>
      </c>
      <c r="HA134">
        <v>0</v>
      </c>
      <c r="HB134">
        <v>0</v>
      </c>
      <c r="HC134">
        <f>GV134*GW134</f>
        <v>0</v>
      </c>
      <c r="HE134" t="s">
        <v>3</v>
      </c>
      <c r="HF134" t="s">
        <v>3</v>
      </c>
      <c r="HM134" t="s">
        <v>3</v>
      </c>
      <c r="HN134" t="s">
        <v>441</v>
      </c>
      <c r="HO134" t="s">
        <v>442</v>
      </c>
      <c r="HP134" t="s">
        <v>439</v>
      </c>
      <c r="HQ134" t="s">
        <v>439</v>
      </c>
      <c r="IK134">
        <v>0</v>
      </c>
    </row>
    <row r="135" spans="1:245" x14ac:dyDescent="0.2">
      <c r="A135">
        <v>19</v>
      </c>
      <c r="B135">
        <v>1</v>
      </c>
      <c r="F135" t="s">
        <v>3</v>
      </c>
      <c r="G135" t="s">
        <v>456</v>
      </c>
      <c r="H135" t="s">
        <v>3</v>
      </c>
      <c r="AA135">
        <v>1</v>
      </c>
      <c r="IK135">
        <v>0</v>
      </c>
    </row>
    <row r="136" spans="1:245" x14ac:dyDescent="0.2">
      <c r="A136">
        <v>17</v>
      </c>
      <c r="B136">
        <v>1</v>
      </c>
      <c r="C136">
        <f>ROW(SmtRes!A317)</f>
        <v>317</v>
      </c>
      <c r="D136">
        <f>ROW(EtalonRes!A317)</f>
        <v>317</v>
      </c>
      <c r="E136" t="s">
        <v>457</v>
      </c>
      <c r="F136" t="s">
        <v>434</v>
      </c>
      <c r="G136" t="s">
        <v>435</v>
      </c>
      <c r="H136" t="s">
        <v>436</v>
      </c>
      <c r="I136">
        <f>ROUND(ROUND((46.08*0.9)/1000,5),9)</f>
        <v>4.147E-2</v>
      </c>
      <c r="J136">
        <v>0</v>
      </c>
      <c r="K136">
        <f>ROUND(ROUND((46.08*0.9)/1000,5),9)</f>
        <v>4.147E-2</v>
      </c>
      <c r="O136">
        <f>ROUND(CP136,2)</f>
        <v>2321.54</v>
      </c>
      <c r="P136">
        <f>ROUND(CQ136*I136,2)</f>
        <v>1.57</v>
      </c>
      <c r="Q136">
        <f>ROUND(CR136*I136,2)</f>
        <v>2191.42</v>
      </c>
      <c r="R136">
        <f>ROUND(CS136*I136,2)</f>
        <v>701.22</v>
      </c>
      <c r="S136">
        <f>ROUND(CT136*I136,2)</f>
        <v>128.55000000000001</v>
      </c>
      <c r="T136">
        <f>ROUND(CU136*I136,2)</f>
        <v>0</v>
      </c>
      <c r="U136">
        <f>CV136*I136</f>
        <v>0.53966569799999986</v>
      </c>
      <c r="V136">
        <f>CW136*I136</f>
        <v>1.7007624562500001</v>
      </c>
      <c r="W136">
        <f>ROUND(CX136*I136,2)</f>
        <v>0</v>
      </c>
      <c r="X136">
        <f t="shared" ref="X136:Y138" si="242">ROUND(CY136,2)</f>
        <v>763.39</v>
      </c>
      <c r="Y136">
        <f t="shared" si="242"/>
        <v>324.44</v>
      </c>
      <c r="AA136">
        <v>145033679</v>
      </c>
      <c r="AB136">
        <f>ROUND((AC136+AD136+AF136),2)</f>
        <v>4462.26</v>
      </c>
      <c r="AC136">
        <f>ROUND((ES136),2)</f>
        <v>4.34</v>
      </c>
      <c r="AD136">
        <f>ROUND((((((ET136*1.15)*1.25))-(((EU136*1.15)*1.25)))+AE136),2)</f>
        <v>4356.42</v>
      </c>
      <c r="AE136">
        <f>ROUND((((EU136*1.15)*1.25)),2)</f>
        <v>553.66999999999996</v>
      </c>
      <c r="AF136">
        <f>ROUND((((EV136*1.15)*1.15)),2)</f>
        <v>101.5</v>
      </c>
      <c r="AG136">
        <f>ROUND((AP136),2)</f>
        <v>0</v>
      </c>
      <c r="AH136">
        <f>(((EW136*1.15)*1.15))</f>
        <v>13.013399999999997</v>
      </c>
      <c r="AI136">
        <f>(((EX136*1.15)*1.25))</f>
        <v>41.011875000000003</v>
      </c>
      <c r="AJ136">
        <f>(AS136)</f>
        <v>0</v>
      </c>
      <c r="AK136">
        <v>3111.64</v>
      </c>
      <c r="AL136">
        <v>4.34</v>
      </c>
      <c r="AM136">
        <v>3030.55</v>
      </c>
      <c r="AN136">
        <v>385.16</v>
      </c>
      <c r="AO136">
        <v>76.75</v>
      </c>
      <c r="AP136">
        <v>0</v>
      </c>
      <c r="AQ136">
        <v>9.84</v>
      </c>
      <c r="AR136">
        <v>28.53</v>
      </c>
      <c r="AS136">
        <v>0</v>
      </c>
      <c r="AT136">
        <v>92</v>
      </c>
      <c r="AU136">
        <v>39.1</v>
      </c>
      <c r="AV136">
        <v>1</v>
      </c>
      <c r="AW136">
        <v>1</v>
      </c>
      <c r="AZ136">
        <v>1</v>
      </c>
      <c r="BA136">
        <v>30.54</v>
      </c>
      <c r="BB136">
        <v>12.13</v>
      </c>
      <c r="BC136">
        <v>8.7100000000000009</v>
      </c>
      <c r="BD136" t="s">
        <v>3</v>
      </c>
      <c r="BE136" t="s">
        <v>3</v>
      </c>
      <c r="BF136" t="s">
        <v>3</v>
      </c>
      <c r="BG136" t="s">
        <v>3</v>
      </c>
      <c r="BH136">
        <v>0</v>
      </c>
      <c r="BI136">
        <v>1</v>
      </c>
      <c r="BJ136" t="s">
        <v>437</v>
      </c>
      <c r="BM136">
        <v>1001</v>
      </c>
      <c r="BN136">
        <v>0</v>
      </c>
      <c r="BO136" t="s">
        <v>3</v>
      </c>
      <c r="BP136">
        <v>0</v>
      </c>
      <c r="BQ136">
        <v>2</v>
      </c>
      <c r="BR136">
        <v>0</v>
      </c>
      <c r="BS136">
        <v>30.54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92</v>
      </c>
      <c r="CA136">
        <v>46</v>
      </c>
      <c r="CB136" t="s">
        <v>3</v>
      </c>
      <c r="CE136">
        <v>0</v>
      </c>
      <c r="CF136">
        <v>0</v>
      </c>
      <c r="CG136">
        <v>0</v>
      </c>
      <c r="CM136">
        <v>0</v>
      </c>
      <c r="CN136" t="s">
        <v>1106</v>
      </c>
      <c r="CO136">
        <v>0</v>
      </c>
      <c r="CP136">
        <f>(P136+Q136+S136)</f>
        <v>2321.5400000000004</v>
      </c>
      <c r="CQ136">
        <f>AC136*BC136</f>
        <v>37.801400000000001</v>
      </c>
      <c r="CR136">
        <f>(((((ET136*1.15)*1.25))*BB136-(((EU136*1.15)*1.25))*BS136)+AE136*BS136)</f>
        <v>52843.397881250014</v>
      </c>
      <c r="CS136">
        <f>AE136*BS136</f>
        <v>16909.0818</v>
      </c>
      <c r="CT136">
        <f>AF136*BA136</f>
        <v>3099.81</v>
      </c>
      <c r="CU136">
        <f t="shared" ref="CU136:CX138" si="243">AG136</f>
        <v>0</v>
      </c>
      <c r="CV136">
        <f t="shared" si="243"/>
        <v>13.013399999999997</v>
      </c>
      <c r="CW136">
        <f t="shared" si="243"/>
        <v>41.011875000000003</v>
      </c>
      <c r="CX136">
        <f t="shared" si="243"/>
        <v>0</v>
      </c>
      <c r="CY136">
        <f>(((S136+R136)*AT136)/100)</f>
        <v>763.38839999999993</v>
      </c>
      <c r="CZ136">
        <f>(((S136+R136)*AU136)/100)</f>
        <v>324.44006999999999</v>
      </c>
      <c r="DC136" t="s">
        <v>3</v>
      </c>
      <c r="DD136" t="s">
        <v>3</v>
      </c>
      <c r="DE136" t="s">
        <v>339</v>
      </c>
      <c r="DF136" t="s">
        <v>339</v>
      </c>
      <c r="DG136" t="s">
        <v>91</v>
      </c>
      <c r="DH136" t="s">
        <v>3</v>
      </c>
      <c r="DI136" t="s">
        <v>91</v>
      </c>
      <c r="DJ136" t="s">
        <v>339</v>
      </c>
      <c r="DK136" t="s">
        <v>3</v>
      </c>
      <c r="DL136" t="s">
        <v>3</v>
      </c>
      <c r="DM136" t="s">
        <v>92</v>
      </c>
      <c r="DN136">
        <v>0</v>
      </c>
      <c r="DO136">
        <v>0</v>
      </c>
      <c r="DP136">
        <v>1</v>
      </c>
      <c r="DQ136">
        <v>1</v>
      </c>
      <c r="DU136">
        <v>1007</v>
      </c>
      <c r="DV136" t="s">
        <v>436</v>
      </c>
      <c r="DW136" t="s">
        <v>436</v>
      </c>
      <c r="DX136">
        <v>1000</v>
      </c>
      <c r="DZ136" t="s">
        <v>3</v>
      </c>
      <c r="EA136" t="s">
        <v>3</v>
      </c>
      <c r="EB136" t="s">
        <v>3</v>
      </c>
      <c r="EC136" t="s">
        <v>3</v>
      </c>
      <c r="EE136">
        <v>140624985</v>
      </c>
      <c r="EF136">
        <v>2</v>
      </c>
      <c r="EG136" t="s">
        <v>22</v>
      </c>
      <c r="EH136">
        <v>1</v>
      </c>
      <c r="EI136" t="s">
        <v>438</v>
      </c>
      <c r="EJ136">
        <v>1</v>
      </c>
      <c r="EK136">
        <v>1001</v>
      </c>
      <c r="EL136" t="s">
        <v>439</v>
      </c>
      <c r="EM136" t="s">
        <v>440</v>
      </c>
      <c r="EO136" t="s">
        <v>342</v>
      </c>
      <c r="EQ136">
        <v>0</v>
      </c>
      <c r="ER136">
        <v>3111.64</v>
      </c>
      <c r="ES136">
        <v>4.34</v>
      </c>
      <c r="ET136">
        <v>3030.55</v>
      </c>
      <c r="EU136">
        <v>385.16</v>
      </c>
      <c r="EV136">
        <v>76.75</v>
      </c>
      <c r="EW136">
        <v>9.84</v>
      </c>
      <c r="EX136">
        <v>28.53</v>
      </c>
      <c r="EY136">
        <v>0</v>
      </c>
      <c r="FQ136">
        <v>0</v>
      </c>
      <c r="FR136">
        <f t="shared" ref="FR136:FR150" si="244">ROUND(IF(BI136=3,GM136,0),2)</f>
        <v>0</v>
      </c>
      <c r="FS136">
        <v>0</v>
      </c>
      <c r="FX136">
        <v>92</v>
      </c>
      <c r="FY136">
        <v>39.1</v>
      </c>
      <c r="GA136" t="s">
        <v>3</v>
      </c>
      <c r="GD136">
        <v>1</v>
      </c>
      <c r="GF136">
        <v>715723525</v>
      </c>
      <c r="GG136">
        <v>2</v>
      </c>
      <c r="GH136">
        <v>1</v>
      </c>
      <c r="GI136">
        <v>4</v>
      </c>
      <c r="GJ136">
        <v>0</v>
      </c>
      <c r="GK136">
        <v>0</v>
      </c>
      <c r="GL136">
        <f t="shared" ref="GL136:GL150" si="245">ROUND(IF(AND(BH136=3,BI136=3,FS136&lt;&gt;0),P136,0),2)</f>
        <v>0</v>
      </c>
      <c r="GM136">
        <f>ROUND(O136+X136+Y136,2)+GX136</f>
        <v>3409.37</v>
      </c>
      <c r="GN136">
        <f>IF(OR(BI136=0,BI136=1),ROUND(O136+X136+Y136,2),0)</f>
        <v>3409.37</v>
      </c>
      <c r="GO136">
        <f>IF(BI136=2,ROUND(O136+X136+Y136,2),0)</f>
        <v>0</v>
      </c>
      <c r="GP136">
        <f>IF(BI136=4,ROUND(O136+X136+Y136,2)+GX136,0)</f>
        <v>0</v>
      </c>
      <c r="GR136">
        <v>0</v>
      </c>
      <c r="GS136">
        <v>3</v>
      </c>
      <c r="GT136">
        <v>0</v>
      </c>
      <c r="GU136" t="s">
        <v>3</v>
      </c>
      <c r="GV136">
        <f>ROUND((GT136),2)</f>
        <v>0</v>
      </c>
      <c r="GW136">
        <v>1</v>
      </c>
      <c r="GX136">
        <f>ROUND(HC136*I136,2)</f>
        <v>0</v>
      </c>
      <c r="HA136">
        <v>0</v>
      </c>
      <c r="HB136">
        <v>0</v>
      </c>
      <c r="HC136">
        <f>GV136*GW136</f>
        <v>0</v>
      </c>
      <c r="HE136" t="s">
        <v>3</v>
      </c>
      <c r="HF136" t="s">
        <v>3</v>
      </c>
      <c r="HM136" t="s">
        <v>3</v>
      </c>
      <c r="HN136" t="s">
        <v>441</v>
      </c>
      <c r="HO136" t="s">
        <v>442</v>
      </c>
      <c r="HP136" t="s">
        <v>439</v>
      </c>
      <c r="HQ136" t="s">
        <v>439</v>
      </c>
      <c r="IK136">
        <v>0</v>
      </c>
    </row>
    <row r="137" spans="1:245" x14ac:dyDescent="0.2">
      <c r="A137">
        <v>17</v>
      </c>
      <c r="B137">
        <v>1</v>
      </c>
      <c r="C137">
        <f>ROW(SmtRes!A318)</f>
        <v>318</v>
      </c>
      <c r="D137">
        <f>ROW(EtalonRes!A318)</f>
        <v>318</v>
      </c>
      <c r="E137" t="s">
        <v>458</v>
      </c>
      <c r="F137" t="s">
        <v>459</v>
      </c>
      <c r="G137" t="s">
        <v>460</v>
      </c>
      <c r="H137" t="s">
        <v>461</v>
      </c>
      <c r="I137">
        <f>ROUND(ROUND((46.08*0.1)/100,4),9)</f>
        <v>4.6100000000000002E-2</v>
      </c>
      <c r="J137">
        <v>0</v>
      </c>
      <c r="K137">
        <f>ROUND(ROUND((46.08*0.1)/100,4),9)</f>
        <v>4.6100000000000002E-2</v>
      </c>
      <c r="O137">
        <f>ROUND(CP137,2)</f>
        <v>2683.87</v>
      </c>
      <c r="P137">
        <f>ROUND(CQ137*I137,2)</f>
        <v>0</v>
      </c>
      <c r="Q137">
        <f>ROUND(CR137*I137,2)</f>
        <v>0</v>
      </c>
      <c r="R137">
        <f>ROUND(CS137*I137,2)</f>
        <v>0</v>
      </c>
      <c r="S137">
        <f>ROUND(CT137*I137,2)</f>
        <v>2683.87</v>
      </c>
      <c r="T137">
        <f>ROUND(CU137*I137,2)</f>
        <v>0</v>
      </c>
      <c r="U137">
        <f>CV137*I137</f>
        <v>11.266747799999997</v>
      </c>
      <c r="V137">
        <f>CW137*I137</f>
        <v>0</v>
      </c>
      <c r="W137">
        <f>ROUND(CX137*I137,2)</f>
        <v>0</v>
      </c>
      <c r="X137">
        <f t="shared" si="242"/>
        <v>2388.64</v>
      </c>
      <c r="Y137">
        <f t="shared" si="242"/>
        <v>912.52</v>
      </c>
      <c r="AA137">
        <v>145033679</v>
      </c>
      <c r="AB137">
        <f>ROUND((AC137+AD137+AF137),2)</f>
        <v>1906.3</v>
      </c>
      <c r="AC137">
        <f>ROUND((ES137),2)</f>
        <v>0</v>
      </c>
      <c r="AD137">
        <f>ROUND((((((ET137*1.15)*1.25))-(((EU137*1.15)*1.25)))+AE137),2)</f>
        <v>0</v>
      </c>
      <c r="AE137">
        <f>ROUND((((EU137*1.15)*1.25)),2)</f>
        <v>0</v>
      </c>
      <c r="AF137">
        <f>ROUND(((((EV137*1.15)*1.15)*1.2)),2)</f>
        <v>1906.3</v>
      </c>
      <c r="AG137">
        <f>ROUND((AP137),2)</f>
        <v>0</v>
      </c>
      <c r="AH137">
        <f>((((EW137*1.15)*1.15)*1.2))</f>
        <v>244.39799999999994</v>
      </c>
      <c r="AI137">
        <f>(((EX137*1.15)*1.25))</f>
        <v>0</v>
      </c>
      <c r="AJ137">
        <f>(AS137)</f>
        <v>0</v>
      </c>
      <c r="AK137">
        <v>1201.2</v>
      </c>
      <c r="AL137">
        <v>0</v>
      </c>
      <c r="AM137">
        <v>0</v>
      </c>
      <c r="AN137">
        <v>0</v>
      </c>
      <c r="AO137">
        <v>1201.2</v>
      </c>
      <c r="AP137">
        <v>0</v>
      </c>
      <c r="AQ137">
        <v>154</v>
      </c>
      <c r="AR137">
        <v>0</v>
      </c>
      <c r="AS137">
        <v>0</v>
      </c>
      <c r="AT137">
        <v>89</v>
      </c>
      <c r="AU137">
        <v>34</v>
      </c>
      <c r="AV137">
        <v>1</v>
      </c>
      <c r="AW137">
        <v>1</v>
      </c>
      <c r="AZ137">
        <v>1</v>
      </c>
      <c r="BA137">
        <v>30.54</v>
      </c>
      <c r="BB137">
        <v>12.13</v>
      </c>
      <c r="BC137">
        <v>8.7100000000000009</v>
      </c>
      <c r="BD137" t="s">
        <v>3</v>
      </c>
      <c r="BE137" t="s">
        <v>3</v>
      </c>
      <c r="BF137" t="s">
        <v>3</v>
      </c>
      <c r="BG137" t="s">
        <v>3</v>
      </c>
      <c r="BH137">
        <v>0</v>
      </c>
      <c r="BI137">
        <v>1</v>
      </c>
      <c r="BJ137" t="s">
        <v>462</v>
      </c>
      <c r="BM137">
        <v>1003</v>
      </c>
      <c r="BN137">
        <v>0</v>
      </c>
      <c r="BO137" t="s">
        <v>3</v>
      </c>
      <c r="BP137">
        <v>0</v>
      </c>
      <c r="BQ137">
        <v>2</v>
      </c>
      <c r="BR137">
        <v>0</v>
      </c>
      <c r="BS137">
        <v>30.54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89</v>
      </c>
      <c r="CA137">
        <v>40</v>
      </c>
      <c r="CB137" t="s">
        <v>3</v>
      </c>
      <c r="CE137">
        <v>0</v>
      </c>
      <c r="CF137">
        <v>0</v>
      </c>
      <c r="CG137">
        <v>0</v>
      </c>
      <c r="CM137">
        <v>0</v>
      </c>
      <c r="CN137" t="s">
        <v>1108</v>
      </c>
      <c r="CO137">
        <v>0</v>
      </c>
      <c r="CP137">
        <f>(P137+Q137+S137)</f>
        <v>2683.87</v>
      </c>
      <c r="CQ137">
        <f>AC137*BC137</f>
        <v>0</v>
      </c>
      <c r="CR137">
        <f>(((((ET137*1.15)*1.25))*BB137-(((EU137*1.15)*1.25))*BS137)+AE137*BS137)</f>
        <v>0</v>
      </c>
      <c r="CS137">
        <f>AE137*BS137</f>
        <v>0</v>
      </c>
      <c r="CT137">
        <f>AF137*BA137</f>
        <v>58218.401999999995</v>
      </c>
      <c r="CU137">
        <f t="shared" si="243"/>
        <v>0</v>
      </c>
      <c r="CV137">
        <f t="shared" si="243"/>
        <v>244.39799999999994</v>
      </c>
      <c r="CW137">
        <f t="shared" si="243"/>
        <v>0</v>
      </c>
      <c r="CX137">
        <f t="shared" si="243"/>
        <v>0</v>
      </c>
      <c r="CY137">
        <f>(((S137+R137)*AT137)/100)</f>
        <v>2388.6442999999999</v>
      </c>
      <c r="CZ137">
        <f>(((S137+R137)*AU137)/100)</f>
        <v>912.51580000000001</v>
      </c>
      <c r="DC137" t="s">
        <v>3</v>
      </c>
      <c r="DD137" t="s">
        <v>3</v>
      </c>
      <c r="DE137" t="s">
        <v>339</v>
      </c>
      <c r="DF137" t="s">
        <v>339</v>
      </c>
      <c r="DG137" t="s">
        <v>463</v>
      </c>
      <c r="DH137" t="s">
        <v>3</v>
      </c>
      <c r="DI137" t="s">
        <v>463</v>
      </c>
      <c r="DJ137" t="s">
        <v>339</v>
      </c>
      <c r="DK137" t="s">
        <v>3</v>
      </c>
      <c r="DL137" t="s">
        <v>3</v>
      </c>
      <c r="DM137" t="s">
        <v>92</v>
      </c>
      <c r="DN137">
        <v>0</v>
      </c>
      <c r="DO137">
        <v>0</v>
      </c>
      <c r="DP137">
        <v>1</v>
      </c>
      <c r="DQ137">
        <v>1</v>
      </c>
      <c r="DU137">
        <v>1007</v>
      </c>
      <c r="DV137" t="s">
        <v>461</v>
      </c>
      <c r="DW137" t="s">
        <v>461</v>
      </c>
      <c r="DX137">
        <v>100</v>
      </c>
      <c r="DZ137" t="s">
        <v>3</v>
      </c>
      <c r="EA137" t="s">
        <v>3</v>
      </c>
      <c r="EB137" t="s">
        <v>3</v>
      </c>
      <c r="EC137" t="s">
        <v>3</v>
      </c>
      <c r="EE137">
        <v>140624988</v>
      </c>
      <c r="EF137">
        <v>2</v>
      </c>
      <c r="EG137" t="s">
        <v>22</v>
      </c>
      <c r="EH137">
        <v>1</v>
      </c>
      <c r="EI137" t="s">
        <v>438</v>
      </c>
      <c r="EJ137">
        <v>1</v>
      </c>
      <c r="EK137">
        <v>1003</v>
      </c>
      <c r="EL137" t="s">
        <v>464</v>
      </c>
      <c r="EM137" t="s">
        <v>440</v>
      </c>
      <c r="EO137" t="s">
        <v>465</v>
      </c>
      <c r="EQ137">
        <v>0</v>
      </c>
      <c r="ER137">
        <v>1201.2</v>
      </c>
      <c r="ES137">
        <v>0</v>
      </c>
      <c r="ET137">
        <v>0</v>
      </c>
      <c r="EU137">
        <v>0</v>
      </c>
      <c r="EV137">
        <v>1201.2</v>
      </c>
      <c r="EW137">
        <v>154</v>
      </c>
      <c r="EX137">
        <v>0</v>
      </c>
      <c r="EY137">
        <v>0</v>
      </c>
      <c r="FQ137">
        <v>0</v>
      </c>
      <c r="FR137">
        <f t="shared" si="244"/>
        <v>0</v>
      </c>
      <c r="FS137">
        <v>0</v>
      </c>
      <c r="FX137">
        <v>89</v>
      </c>
      <c r="FY137">
        <v>34</v>
      </c>
      <c r="GA137" t="s">
        <v>3</v>
      </c>
      <c r="GD137">
        <v>1</v>
      </c>
      <c r="GF137">
        <v>-130306796</v>
      </c>
      <c r="GG137">
        <v>2</v>
      </c>
      <c r="GH137">
        <v>1</v>
      </c>
      <c r="GI137">
        <v>4</v>
      </c>
      <c r="GJ137">
        <v>0</v>
      </c>
      <c r="GK137">
        <v>0</v>
      </c>
      <c r="GL137">
        <f t="shared" si="245"/>
        <v>0</v>
      </c>
      <c r="GM137">
        <f>ROUND(O137+X137+Y137,2)+GX137</f>
        <v>5985.03</v>
      </c>
      <c r="GN137">
        <f>IF(OR(BI137=0,BI137=1),ROUND(O137+X137+Y137,2),0)</f>
        <v>5985.03</v>
      </c>
      <c r="GO137">
        <f>IF(BI137=2,ROUND(O137+X137+Y137,2),0)</f>
        <v>0</v>
      </c>
      <c r="GP137">
        <f>IF(BI137=4,ROUND(O137+X137+Y137,2)+GX137,0)</f>
        <v>0</v>
      </c>
      <c r="GR137">
        <v>0</v>
      </c>
      <c r="GS137">
        <v>3</v>
      </c>
      <c r="GT137">
        <v>0</v>
      </c>
      <c r="GU137" t="s">
        <v>3</v>
      </c>
      <c r="GV137">
        <f>ROUND((GT137),2)</f>
        <v>0</v>
      </c>
      <c r="GW137">
        <v>1</v>
      </c>
      <c r="GX137">
        <f>ROUND(HC137*I137,2)</f>
        <v>0</v>
      </c>
      <c r="HA137">
        <v>0</v>
      </c>
      <c r="HB137">
        <v>0</v>
      </c>
      <c r="HC137">
        <f>GV137*GW137</f>
        <v>0</v>
      </c>
      <c r="HE137" t="s">
        <v>3</v>
      </c>
      <c r="HF137" t="s">
        <v>3</v>
      </c>
      <c r="HM137" t="s">
        <v>3</v>
      </c>
      <c r="HN137" t="s">
        <v>466</v>
      </c>
      <c r="HO137" t="s">
        <v>467</v>
      </c>
      <c r="HP137" t="s">
        <v>464</v>
      </c>
      <c r="HQ137" t="s">
        <v>464</v>
      </c>
      <c r="IK137">
        <v>0</v>
      </c>
    </row>
    <row r="138" spans="1:245" x14ac:dyDescent="0.2">
      <c r="A138">
        <v>17</v>
      </c>
      <c r="B138">
        <v>1</v>
      </c>
      <c r="C138">
        <f>ROW(SmtRes!A319)</f>
        <v>319</v>
      </c>
      <c r="D138">
        <f>ROW(EtalonRes!A319)</f>
        <v>319</v>
      </c>
      <c r="E138" t="s">
        <v>468</v>
      </c>
      <c r="F138" t="s">
        <v>469</v>
      </c>
      <c r="G138" t="s">
        <v>470</v>
      </c>
      <c r="H138" t="s">
        <v>461</v>
      </c>
      <c r="I138">
        <f>ROUND(I137,9)</f>
        <v>4.6100000000000002E-2</v>
      </c>
      <c r="J138">
        <v>0</v>
      </c>
      <c r="K138">
        <f>ROUND(I137,9)</f>
        <v>4.6100000000000002E-2</v>
      </c>
      <c r="O138">
        <f>ROUND(CP138,2)</f>
        <v>652.55999999999995</v>
      </c>
      <c r="P138">
        <f>ROUND(CQ138*I138,2)</f>
        <v>0</v>
      </c>
      <c r="Q138">
        <f>ROUND(CR138*I138,2)</f>
        <v>0</v>
      </c>
      <c r="R138">
        <f>ROUND(CS138*I138,2)</f>
        <v>0</v>
      </c>
      <c r="S138">
        <f>ROUND(CT138*I138,2)</f>
        <v>652.55999999999995</v>
      </c>
      <c r="T138">
        <f>ROUND(CU138*I138,2)</f>
        <v>0</v>
      </c>
      <c r="U138">
        <f>CV138*I138</f>
        <v>2.8489800000000001</v>
      </c>
      <c r="V138">
        <f>CW138*I138</f>
        <v>0</v>
      </c>
      <c r="W138">
        <f>ROUND(CX138*I138,2)</f>
        <v>0</v>
      </c>
      <c r="X138">
        <f t="shared" si="242"/>
        <v>580.78</v>
      </c>
      <c r="Y138">
        <f t="shared" si="242"/>
        <v>261.02</v>
      </c>
      <c r="AA138">
        <v>145033679</v>
      </c>
      <c r="AB138">
        <f>ROUND((AC138+AD138+AF138),2)</f>
        <v>463.5</v>
      </c>
      <c r="AC138">
        <f>ROUND((ES138),2)</f>
        <v>0</v>
      </c>
      <c r="AD138">
        <f>ROUND((((ET138)-(EU138))+AE138),2)</f>
        <v>0</v>
      </c>
      <c r="AE138">
        <f>ROUND((EU138),2)</f>
        <v>0</v>
      </c>
      <c r="AF138">
        <f>ROUND((EV138),2)</f>
        <v>463.5</v>
      </c>
      <c r="AG138">
        <f>ROUND((AP138),2)</f>
        <v>0</v>
      </c>
      <c r="AH138">
        <f>(EW138)</f>
        <v>61.8</v>
      </c>
      <c r="AI138">
        <f>(EX138)</f>
        <v>0</v>
      </c>
      <c r="AJ138">
        <f>(AS138)</f>
        <v>0</v>
      </c>
      <c r="AK138">
        <v>463.5</v>
      </c>
      <c r="AL138">
        <v>0</v>
      </c>
      <c r="AM138">
        <v>0</v>
      </c>
      <c r="AN138">
        <v>0</v>
      </c>
      <c r="AO138">
        <v>463.5</v>
      </c>
      <c r="AP138">
        <v>0</v>
      </c>
      <c r="AQ138">
        <v>61.8</v>
      </c>
      <c r="AR138">
        <v>0</v>
      </c>
      <c r="AS138">
        <v>0</v>
      </c>
      <c r="AT138">
        <v>89</v>
      </c>
      <c r="AU138">
        <v>40</v>
      </c>
      <c r="AV138">
        <v>1</v>
      </c>
      <c r="AW138">
        <v>1</v>
      </c>
      <c r="AZ138">
        <v>1</v>
      </c>
      <c r="BA138">
        <v>30.54</v>
      </c>
      <c r="BB138">
        <v>12.13</v>
      </c>
      <c r="BC138">
        <v>8.7100000000000009</v>
      </c>
      <c r="BD138" t="s">
        <v>3</v>
      </c>
      <c r="BE138" t="s">
        <v>3</v>
      </c>
      <c r="BF138" t="s">
        <v>3</v>
      </c>
      <c r="BG138" t="s">
        <v>3</v>
      </c>
      <c r="BH138">
        <v>0</v>
      </c>
      <c r="BI138">
        <v>1</v>
      </c>
      <c r="BJ138" t="s">
        <v>471</v>
      </c>
      <c r="BM138">
        <v>1003</v>
      </c>
      <c r="BN138">
        <v>0</v>
      </c>
      <c r="BO138" t="s">
        <v>3</v>
      </c>
      <c r="BP138">
        <v>0</v>
      </c>
      <c r="BQ138">
        <v>2</v>
      </c>
      <c r="BR138">
        <v>0</v>
      </c>
      <c r="BS138">
        <v>30.54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89</v>
      </c>
      <c r="CA138">
        <v>40</v>
      </c>
      <c r="CB138" t="s">
        <v>3</v>
      </c>
      <c r="CE138">
        <v>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>(P138+Q138+S138)</f>
        <v>652.55999999999995</v>
      </c>
      <c r="CQ138">
        <f>AC138*BC138</f>
        <v>0</v>
      </c>
      <c r="CR138">
        <f>(((ET138)*BB138-(EU138)*BS138)+AE138*BS138)</f>
        <v>0</v>
      </c>
      <c r="CS138">
        <f>AE138*BS138</f>
        <v>0</v>
      </c>
      <c r="CT138">
        <f>AF138*BA138</f>
        <v>14155.289999999999</v>
      </c>
      <c r="CU138">
        <f t="shared" si="243"/>
        <v>0</v>
      </c>
      <c r="CV138">
        <f t="shared" si="243"/>
        <v>61.8</v>
      </c>
      <c r="CW138">
        <f t="shared" si="243"/>
        <v>0</v>
      </c>
      <c r="CX138">
        <f t="shared" si="243"/>
        <v>0</v>
      </c>
      <c r="CY138">
        <f>(((S138+R138)*AT138)/100)</f>
        <v>580.77839999999992</v>
      </c>
      <c r="CZ138">
        <f>(((S138+R138)*AU138)/100)</f>
        <v>261.024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1007</v>
      </c>
      <c r="DV138" t="s">
        <v>461</v>
      </c>
      <c r="DW138" t="s">
        <v>461</v>
      </c>
      <c r="DX138">
        <v>100</v>
      </c>
      <c r="DZ138" t="s">
        <v>3</v>
      </c>
      <c r="EA138" t="s">
        <v>3</v>
      </c>
      <c r="EB138" t="s">
        <v>3</v>
      </c>
      <c r="EC138" t="s">
        <v>3</v>
      </c>
      <c r="EE138">
        <v>140624988</v>
      </c>
      <c r="EF138">
        <v>2</v>
      </c>
      <c r="EG138" t="s">
        <v>22</v>
      </c>
      <c r="EH138">
        <v>1</v>
      </c>
      <c r="EI138" t="s">
        <v>438</v>
      </c>
      <c r="EJ138">
        <v>1</v>
      </c>
      <c r="EK138">
        <v>1003</v>
      </c>
      <c r="EL138" t="s">
        <v>464</v>
      </c>
      <c r="EM138" t="s">
        <v>440</v>
      </c>
      <c r="EO138" t="s">
        <v>3</v>
      </c>
      <c r="EQ138">
        <v>0</v>
      </c>
      <c r="ER138">
        <v>463.5</v>
      </c>
      <c r="ES138">
        <v>0</v>
      </c>
      <c r="ET138">
        <v>0</v>
      </c>
      <c r="EU138">
        <v>0</v>
      </c>
      <c r="EV138">
        <v>463.5</v>
      </c>
      <c r="EW138">
        <v>61.8</v>
      </c>
      <c r="EX138">
        <v>0</v>
      </c>
      <c r="EY138">
        <v>0</v>
      </c>
      <c r="FQ138">
        <v>0</v>
      </c>
      <c r="FR138">
        <f t="shared" si="244"/>
        <v>0</v>
      </c>
      <c r="FS138">
        <v>0</v>
      </c>
      <c r="FX138">
        <v>89</v>
      </c>
      <c r="FY138">
        <v>40</v>
      </c>
      <c r="GA138" t="s">
        <v>3</v>
      </c>
      <c r="GD138">
        <v>1</v>
      </c>
      <c r="GF138">
        <v>-799038348</v>
      </c>
      <c r="GG138">
        <v>2</v>
      </c>
      <c r="GH138">
        <v>1</v>
      </c>
      <c r="GI138">
        <v>4</v>
      </c>
      <c r="GJ138">
        <v>0</v>
      </c>
      <c r="GK138">
        <v>0</v>
      </c>
      <c r="GL138">
        <f t="shared" si="245"/>
        <v>0</v>
      </c>
      <c r="GM138">
        <f>ROUND(O138+X138+Y138,2)+GX138</f>
        <v>1494.36</v>
      </c>
      <c r="GN138">
        <f>IF(OR(BI138=0,BI138=1),ROUND(O138+X138+Y138,2),0)</f>
        <v>1494.36</v>
      </c>
      <c r="GO138">
        <f>IF(BI138=2,ROUND(O138+X138+Y138,2),0)</f>
        <v>0</v>
      </c>
      <c r="GP138">
        <f>IF(BI138=4,ROUND(O138+X138+Y138,2)+GX138,0)</f>
        <v>0</v>
      </c>
      <c r="GR138">
        <v>0</v>
      </c>
      <c r="GS138">
        <v>3</v>
      </c>
      <c r="GT138">
        <v>0</v>
      </c>
      <c r="GU138" t="s">
        <v>3</v>
      </c>
      <c r="GV138">
        <f>ROUND((GT138),2)</f>
        <v>0</v>
      </c>
      <c r="GW138">
        <v>1</v>
      </c>
      <c r="GX138">
        <f>ROUND(HC138*I138,2)</f>
        <v>0</v>
      </c>
      <c r="HA138">
        <v>0</v>
      </c>
      <c r="HB138">
        <v>0</v>
      </c>
      <c r="HC138">
        <f>GV138*GW138</f>
        <v>0</v>
      </c>
      <c r="HE138" t="s">
        <v>3</v>
      </c>
      <c r="HF138" t="s">
        <v>3</v>
      </c>
      <c r="HM138" t="s">
        <v>3</v>
      </c>
      <c r="HN138" t="s">
        <v>466</v>
      </c>
      <c r="HO138" t="s">
        <v>467</v>
      </c>
      <c r="HP138" t="s">
        <v>464</v>
      </c>
      <c r="HQ138" t="s">
        <v>464</v>
      </c>
      <c r="IK138">
        <v>0</v>
      </c>
    </row>
    <row r="139" spans="1:245" x14ac:dyDescent="0.2">
      <c r="A139">
        <v>17</v>
      </c>
      <c r="B139">
        <v>1</v>
      </c>
      <c r="E139" t="s">
        <v>472</v>
      </c>
      <c r="F139" t="s">
        <v>444</v>
      </c>
      <c r="G139" t="s">
        <v>445</v>
      </c>
      <c r="H139" t="s">
        <v>446</v>
      </c>
      <c r="I139">
        <f>ROUND(46.08*1.75,9)</f>
        <v>80.64</v>
      </c>
      <c r="J139">
        <v>0</v>
      </c>
      <c r="K139">
        <f>ROUND(46.08*1.75,9)</f>
        <v>80.64</v>
      </c>
      <c r="O139">
        <f>0</f>
        <v>0</v>
      </c>
      <c r="P139">
        <f>0</f>
        <v>0</v>
      </c>
      <c r="Q139">
        <f>0</f>
        <v>0</v>
      </c>
      <c r="R139">
        <f>0</f>
        <v>0</v>
      </c>
      <c r="S139">
        <f>0</f>
        <v>0</v>
      </c>
      <c r="T139">
        <f>0</f>
        <v>0</v>
      </c>
      <c r="U139">
        <f>0</f>
        <v>0</v>
      </c>
      <c r="V139">
        <f>0</f>
        <v>0</v>
      </c>
      <c r="W139">
        <f>0</f>
        <v>0</v>
      </c>
      <c r="X139">
        <f>0</f>
        <v>0</v>
      </c>
      <c r="Y139">
        <f>0</f>
        <v>0</v>
      </c>
      <c r="AA139">
        <v>145033679</v>
      </c>
      <c r="AB139">
        <f>ROUND((AK139),2)</f>
        <v>3.86</v>
      </c>
      <c r="AC139">
        <f>0</f>
        <v>0</v>
      </c>
      <c r="AD139">
        <f>0</f>
        <v>0</v>
      </c>
      <c r="AE139">
        <f>0</f>
        <v>0</v>
      </c>
      <c r="AF139">
        <f>0</f>
        <v>0</v>
      </c>
      <c r="AG139">
        <f>0</f>
        <v>0</v>
      </c>
      <c r="AH139">
        <f>0</f>
        <v>0</v>
      </c>
      <c r="AI139">
        <f>0</f>
        <v>0</v>
      </c>
      <c r="AJ139">
        <f>0</f>
        <v>0</v>
      </c>
      <c r="AK139">
        <v>3.86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12.02</v>
      </c>
      <c r="BA139">
        <v>1</v>
      </c>
      <c r="BB139">
        <v>1</v>
      </c>
      <c r="BC139">
        <v>1</v>
      </c>
      <c r="BD139" t="s">
        <v>3</v>
      </c>
      <c r="BE139" t="s">
        <v>3</v>
      </c>
      <c r="BF139" t="s">
        <v>3</v>
      </c>
      <c r="BG139" t="s">
        <v>3</v>
      </c>
      <c r="BH139">
        <v>0</v>
      </c>
      <c r="BI139">
        <v>1</v>
      </c>
      <c r="BJ139" t="s">
        <v>447</v>
      </c>
      <c r="BM139">
        <v>700011</v>
      </c>
      <c r="BN139">
        <v>0</v>
      </c>
      <c r="BO139" t="s">
        <v>3</v>
      </c>
      <c r="BP139">
        <v>0</v>
      </c>
      <c r="BQ139">
        <v>40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3</v>
      </c>
      <c r="BZ139">
        <v>0</v>
      </c>
      <c r="CA139">
        <v>0</v>
      </c>
      <c r="CB139" t="s">
        <v>3</v>
      </c>
      <c r="CE139">
        <v>0</v>
      </c>
      <c r="CF139">
        <v>0</v>
      </c>
      <c r="CG139">
        <v>0</v>
      </c>
      <c r="CM139">
        <v>0</v>
      </c>
      <c r="CN139" t="s">
        <v>3</v>
      </c>
      <c r="CO139">
        <v>0</v>
      </c>
      <c r="CP139">
        <f>AB139*AZ139</f>
        <v>46.397199999999998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C139" t="s">
        <v>3</v>
      </c>
      <c r="DD139" t="s">
        <v>3</v>
      </c>
      <c r="DE139" t="s">
        <v>3</v>
      </c>
      <c r="DF139" t="s">
        <v>3</v>
      </c>
      <c r="DG139" t="s">
        <v>3</v>
      </c>
      <c r="DH139" t="s">
        <v>3</v>
      </c>
      <c r="DI139" t="s">
        <v>3</v>
      </c>
      <c r="DJ139" t="s">
        <v>3</v>
      </c>
      <c r="DK139" t="s">
        <v>3</v>
      </c>
      <c r="DL139" t="s">
        <v>3</v>
      </c>
      <c r="DM139" t="s">
        <v>3</v>
      </c>
      <c r="DN139">
        <v>0</v>
      </c>
      <c r="DO139">
        <v>0</v>
      </c>
      <c r="DP139">
        <v>1</v>
      </c>
      <c r="DQ139">
        <v>1</v>
      </c>
      <c r="DU139">
        <v>1013</v>
      </c>
      <c r="DV139" t="s">
        <v>446</v>
      </c>
      <c r="DW139" t="s">
        <v>446</v>
      </c>
      <c r="DX139">
        <v>1</v>
      </c>
      <c r="DZ139" t="s">
        <v>3</v>
      </c>
      <c r="EA139" t="s">
        <v>3</v>
      </c>
      <c r="EB139" t="s">
        <v>3</v>
      </c>
      <c r="EC139" t="s">
        <v>3</v>
      </c>
      <c r="EE139">
        <v>140625621</v>
      </c>
      <c r="EF139">
        <v>40</v>
      </c>
      <c r="EG139" t="s">
        <v>448</v>
      </c>
      <c r="EH139">
        <v>107</v>
      </c>
      <c r="EI139" t="s">
        <v>449</v>
      </c>
      <c r="EJ139">
        <v>1</v>
      </c>
      <c r="EK139">
        <v>700011</v>
      </c>
      <c r="EL139" t="s">
        <v>450</v>
      </c>
      <c r="EM139" t="s">
        <v>451</v>
      </c>
      <c r="EO139" t="s">
        <v>3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FQ139">
        <v>0</v>
      </c>
      <c r="FR139">
        <f t="shared" si="244"/>
        <v>0</v>
      </c>
      <c r="FS139">
        <v>0</v>
      </c>
      <c r="FX139">
        <v>0</v>
      </c>
      <c r="FY139">
        <v>0</v>
      </c>
      <c r="GA139" t="s">
        <v>3</v>
      </c>
      <c r="GD139">
        <v>1</v>
      </c>
      <c r="GF139">
        <v>-1332390239</v>
      </c>
      <c r="GG139">
        <v>2</v>
      </c>
      <c r="GH139">
        <v>1</v>
      </c>
      <c r="GI139">
        <v>4</v>
      </c>
      <c r="GJ139">
        <v>2</v>
      </c>
      <c r="GK139">
        <v>0</v>
      </c>
      <c r="GL139">
        <f t="shared" si="245"/>
        <v>0</v>
      </c>
      <c r="GM139">
        <f>ROUND(CP139*I139,2)</f>
        <v>3741.47</v>
      </c>
      <c r="GN139">
        <f>IF(OR(BI139=0,BI139=1),ROUND(CP139*I139,2),0)</f>
        <v>3741.47</v>
      </c>
      <c r="GO139">
        <f>IF(BI139=2,ROUND(CP139*I139,2),0)</f>
        <v>0</v>
      </c>
      <c r="GP139">
        <f>IF(BI139=4,ROUND(CP139*I139,2)+GX139,0)</f>
        <v>0</v>
      </c>
      <c r="GR139">
        <v>0</v>
      </c>
      <c r="GS139">
        <v>3</v>
      </c>
      <c r="GT139">
        <v>0</v>
      </c>
      <c r="GU139" t="s">
        <v>3</v>
      </c>
      <c r="GV139">
        <f>0</f>
        <v>0</v>
      </c>
      <c r="GW139">
        <v>1</v>
      </c>
      <c r="GX139">
        <f>0</f>
        <v>0</v>
      </c>
      <c r="HA139">
        <v>0</v>
      </c>
      <c r="HB139">
        <v>0</v>
      </c>
      <c r="HC139">
        <v>0</v>
      </c>
      <c r="HD139">
        <f>GM139</f>
        <v>3741.47</v>
      </c>
      <c r="HE139" t="s">
        <v>3</v>
      </c>
      <c r="HF139" t="s">
        <v>3</v>
      </c>
      <c r="HM139" t="s">
        <v>3</v>
      </c>
      <c r="HN139" t="s">
        <v>3</v>
      </c>
      <c r="HO139" t="s">
        <v>3</v>
      </c>
      <c r="HP139" t="s">
        <v>3</v>
      </c>
      <c r="HQ139" t="s">
        <v>3</v>
      </c>
      <c r="IK139">
        <v>0</v>
      </c>
    </row>
    <row r="140" spans="1:245" x14ac:dyDescent="0.2">
      <c r="A140">
        <v>17</v>
      </c>
      <c r="B140">
        <v>1</v>
      </c>
      <c r="C140">
        <f>ROW(SmtRes!A324)</f>
        <v>324</v>
      </c>
      <c r="D140">
        <f>ROW(EtalonRes!A324)</f>
        <v>324</v>
      </c>
      <c r="E140" t="s">
        <v>473</v>
      </c>
      <c r="F140" t="s">
        <v>453</v>
      </c>
      <c r="G140" t="s">
        <v>454</v>
      </c>
      <c r="H140" t="s">
        <v>436</v>
      </c>
      <c r="I140">
        <f>ROUND(46.08/1000,9)</f>
        <v>4.6080000000000003E-2</v>
      </c>
      <c r="J140">
        <v>0</v>
      </c>
      <c r="K140">
        <f>ROUND(46.08/1000,9)</f>
        <v>4.6080000000000003E-2</v>
      </c>
      <c r="O140">
        <f t="shared" ref="O140:O150" si="246">ROUND(CP140,2)</f>
        <v>201.74</v>
      </c>
      <c r="P140">
        <f t="shared" ref="P140:P150" si="247">ROUND(CQ140*I140,2)</f>
        <v>1.74</v>
      </c>
      <c r="Q140">
        <f t="shared" ref="Q140:Q150" si="248">ROUND(CR140*I140,2)</f>
        <v>163.55000000000001</v>
      </c>
      <c r="R140">
        <f t="shared" ref="R140:R150" si="249">ROUND(CS140*I140,2)</f>
        <v>69.900000000000006</v>
      </c>
      <c r="S140">
        <f t="shared" ref="S140:S150" si="250">ROUND(CT140*I140,2)</f>
        <v>36.450000000000003</v>
      </c>
      <c r="T140">
        <f t="shared" ref="T140:T150" si="251">ROUND(CU140*I140,2)</f>
        <v>0</v>
      </c>
      <c r="U140">
        <f t="shared" ref="U140:U150" si="252">CV140*I140</f>
        <v>0.1529856</v>
      </c>
      <c r="V140">
        <f t="shared" ref="V140:V150" si="253">CW140*I140</f>
        <v>0.1700352</v>
      </c>
      <c r="W140">
        <f t="shared" ref="W140:W150" si="254">ROUND(CX140*I140,2)</f>
        <v>0</v>
      </c>
      <c r="X140">
        <f t="shared" ref="X140:X150" si="255">ROUND(CY140,2)</f>
        <v>97.84</v>
      </c>
      <c r="Y140">
        <f t="shared" ref="Y140:Y150" si="256">ROUND(CZ140,2)</f>
        <v>48.92</v>
      </c>
      <c r="AA140">
        <v>145033679</v>
      </c>
      <c r="AB140">
        <f t="shared" ref="AB140:AB150" si="257">ROUND((AC140+AD140+AF140),2)</f>
        <v>322.83999999999997</v>
      </c>
      <c r="AC140">
        <f t="shared" ref="AC140:AC150" si="258">ROUND((ES140),2)</f>
        <v>4.34</v>
      </c>
      <c r="AD140">
        <f>ROUND((((ET140)-(EU140))+AE140),2)</f>
        <v>292.60000000000002</v>
      </c>
      <c r="AE140">
        <f>ROUND((EU140),2)</f>
        <v>49.67</v>
      </c>
      <c r="AF140">
        <f>ROUND((EV140),2)</f>
        <v>25.9</v>
      </c>
      <c r="AG140">
        <f t="shared" ref="AG140:AG150" si="259">ROUND((AP140),2)</f>
        <v>0</v>
      </c>
      <c r="AH140">
        <f>(EW140)</f>
        <v>3.32</v>
      </c>
      <c r="AI140">
        <f>(EX140)</f>
        <v>3.69</v>
      </c>
      <c r="AJ140">
        <f t="shared" ref="AJ140:AJ150" si="260">(AS140)</f>
        <v>0</v>
      </c>
      <c r="AK140">
        <v>322.83999999999997</v>
      </c>
      <c r="AL140">
        <v>4.34</v>
      </c>
      <c r="AM140">
        <v>292.60000000000002</v>
      </c>
      <c r="AN140">
        <v>49.67</v>
      </c>
      <c r="AO140">
        <v>25.9</v>
      </c>
      <c r="AP140">
        <v>0</v>
      </c>
      <c r="AQ140">
        <v>3.32</v>
      </c>
      <c r="AR140">
        <v>3.69</v>
      </c>
      <c r="AS140">
        <v>0</v>
      </c>
      <c r="AT140">
        <v>92</v>
      </c>
      <c r="AU140">
        <v>46</v>
      </c>
      <c r="AV140">
        <v>1</v>
      </c>
      <c r="AW140">
        <v>1</v>
      </c>
      <c r="AZ140">
        <v>1</v>
      </c>
      <c r="BA140">
        <v>30.54</v>
      </c>
      <c r="BB140">
        <v>12.13</v>
      </c>
      <c r="BC140">
        <v>8.7100000000000009</v>
      </c>
      <c r="BD140" t="s">
        <v>3</v>
      </c>
      <c r="BE140" t="s">
        <v>3</v>
      </c>
      <c r="BF140" t="s">
        <v>3</v>
      </c>
      <c r="BG140" t="s">
        <v>3</v>
      </c>
      <c r="BH140">
        <v>0</v>
      </c>
      <c r="BI140">
        <v>1</v>
      </c>
      <c r="BJ140" t="s">
        <v>455</v>
      </c>
      <c r="BM140">
        <v>1001</v>
      </c>
      <c r="BN140">
        <v>0</v>
      </c>
      <c r="BO140" t="s">
        <v>3</v>
      </c>
      <c r="BP140">
        <v>0</v>
      </c>
      <c r="BQ140">
        <v>2</v>
      </c>
      <c r="BR140">
        <v>0</v>
      </c>
      <c r="BS140">
        <v>30.54</v>
      </c>
      <c r="BT140">
        <v>1</v>
      </c>
      <c r="BU140">
        <v>1</v>
      </c>
      <c r="BV140">
        <v>1</v>
      </c>
      <c r="BW140">
        <v>1</v>
      </c>
      <c r="BX140">
        <v>1</v>
      </c>
      <c r="BY140" t="s">
        <v>3</v>
      </c>
      <c r="BZ140">
        <v>92</v>
      </c>
      <c r="CA140">
        <v>46</v>
      </c>
      <c r="CB140" t="s">
        <v>3</v>
      </c>
      <c r="CE140">
        <v>0</v>
      </c>
      <c r="CF140">
        <v>0</v>
      </c>
      <c r="CG140">
        <v>0</v>
      </c>
      <c r="CM140">
        <v>0</v>
      </c>
      <c r="CN140" t="s">
        <v>3</v>
      </c>
      <c r="CO140">
        <v>0</v>
      </c>
      <c r="CP140">
        <f t="shared" ref="CP140:CP150" si="261">(P140+Q140+S140)</f>
        <v>201.74</v>
      </c>
      <c r="CQ140">
        <f t="shared" ref="CQ140:CQ150" si="262">AC140*BC140</f>
        <v>37.801400000000001</v>
      </c>
      <c r="CR140">
        <f>(((ET140)*BB140-(EU140)*BS140)+AE140*BS140)</f>
        <v>3549.2380000000003</v>
      </c>
      <c r="CS140">
        <f t="shared" ref="CS140:CS150" si="263">AE140*BS140</f>
        <v>1516.9218000000001</v>
      </c>
      <c r="CT140">
        <f t="shared" ref="CT140:CT150" si="264">AF140*BA140</f>
        <v>790.98599999999999</v>
      </c>
      <c r="CU140">
        <f t="shared" ref="CU140:CU150" si="265">AG140</f>
        <v>0</v>
      </c>
      <c r="CV140">
        <f t="shared" ref="CV140:CV150" si="266">AH140</f>
        <v>3.32</v>
      </c>
      <c r="CW140">
        <f t="shared" ref="CW140:CW150" si="267">AI140</f>
        <v>3.69</v>
      </c>
      <c r="CX140">
        <f t="shared" ref="CX140:CX150" si="268">AJ140</f>
        <v>0</v>
      </c>
      <c r="CY140">
        <f t="shared" ref="CY140:CY150" si="269">(((S140+R140)*AT140)/100)</f>
        <v>97.842000000000013</v>
      </c>
      <c r="CZ140">
        <f t="shared" ref="CZ140:CZ150" si="270">(((S140+R140)*AU140)/100)</f>
        <v>48.921000000000006</v>
      </c>
      <c r="DC140" t="s">
        <v>3</v>
      </c>
      <c r="DD140" t="s">
        <v>3</v>
      </c>
      <c r="DE140" t="s">
        <v>3</v>
      </c>
      <c r="DF140" t="s">
        <v>3</v>
      </c>
      <c r="DG140" t="s">
        <v>3</v>
      </c>
      <c r="DH140" t="s">
        <v>3</v>
      </c>
      <c r="DI140" t="s">
        <v>3</v>
      </c>
      <c r="DJ140" t="s">
        <v>3</v>
      </c>
      <c r="DK140" t="s">
        <v>3</v>
      </c>
      <c r="DL140" t="s">
        <v>3</v>
      </c>
      <c r="DM140" t="s">
        <v>3</v>
      </c>
      <c r="DN140">
        <v>0</v>
      </c>
      <c r="DO140">
        <v>0</v>
      </c>
      <c r="DP140">
        <v>1</v>
      </c>
      <c r="DQ140">
        <v>1</v>
      </c>
      <c r="DU140">
        <v>1007</v>
      </c>
      <c r="DV140" t="s">
        <v>436</v>
      </c>
      <c r="DW140" t="s">
        <v>436</v>
      </c>
      <c r="DX140">
        <v>1000</v>
      </c>
      <c r="DZ140" t="s">
        <v>3</v>
      </c>
      <c r="EA140" t="s">
        <v>3</v>
      </c>
      <c r="EB140" t="s">
        <v>3</v>
      </c>
      <c r="EC140" t="s">
        <v>3</v>
      </c>
      <c r="EE140">
        <v>140624985</v>
      </c>
      <c r="EF140">
        <v>2</v>
      </c>
      <c r="EG140" t="s">
        <v>22</v>
      </c>
      <c r="EH140">
        <v>1</v>
      </c>
      <c r="EI140" t="s">
        <v>438</v>
      </c>
      <c r="EJ140">
        <v>1</v>
      </c>
      <c r="EK140">
        <v>1001</v>
      </c>
      <c r="EL140" t="s">
        <v>439</v>
      </c>
      <c r="EM140" t="s">
        <v>440</v>
      </c>
      <c r="EO140" t="s">
        <v>3</v>
      </c>
      <c r="EQ140">
        <v>0</v>
      </c>
      <c r="ER140">
        <v>322.83999999999997</v>
      </c>
      <c r="ES140">
        <v>4.34</v>
      </c>
      <c r="ET140">
        <v>292.60000000000002</v>
      </c>
      <c r="EU140">
        <v>49.67</v>
      </c>
      <c r="EV140">
        <v>25.9</v>
      </c>
      <c r="EW140">
        <v>3.32</v>
      </c>
      <c r="EX140">
        <v>3.69</v>
      </c>
      <c r="EY140">
        <v>0</v>
      </c>
      <c r="FQ140">
        <v>0</v>
      </c>
      <c r="FR140">
        <f t="shared" si="244"/>
        <v>0</v>
      </c>
      <c r="FS140">
        <v>0</v>
      </c>
      <c r="FX140">
        <v>92</v>
      </c>
      <c r="FY140">
        <v>46</v>
      </c>
      <c r="GA140" t="s">
        <v>3</v>
      </c>
      <c r="GD140">
        <v>1</v>
      </c>
      <c r="GF140">
        <v>2033095450</v>
      </c>
      <c r="GG140">
        <v>2</v>
      </c>
      <c r="GH140">
        <v>1</v>
      </c>
      <c r="GI140">
        <v>4</v>
      </c>
      <c r="GJ140">
        <v>0</v>
      </c>
      <c r="GK140">
        <v>0</v>
      </c>
      <c r="GL140">
        <f t="shared" si="245"/>
        <v>0</v>
      </c>
      <c r="GM140">
        <f t="shared" ref="GM140:GM150" si="271">ROUND(O140+X140+Y140,2)+GX140</f>
        <v>348.5</v>
      </c>
      <c r="GN140">
        <f t="shared" ref="GN140:GN150" si="272">IF(OR(BI140=0,BI140=1),ROUND(O140+X140+Y140,2),0)</f>
        <v>348.5</v>
      </c>
      <c r="GO140">
        <f t="shared" ref="GO140:GO150" si="273">IF(BI140=2,ROUND(O140+X140+Y140,2),0)</f>
        <v>0</v>
      </c>
      <c r="GP140">
        <f t="shared" ref="GP140:GP150" si="274">IF(BI140=4,ROUND(O140+X140+Y140,2)+GX140,0)</f>
        <v>0</v>
      </c>
      <c r="GR140">
        <v>0</v>
      </c>
      <c r="GS140">
        <v>3</v>
      </c>
      <c r="GT140">
        <v>0</v>
      </c>
      <c r="GU140" t="s">
        <v>3</v>
      </c>
      <c r="GV140">
        <f t="shared" ref="GV140:GV150" si="275">ROUND((GT140),2)</f>
        <v>0</v>
      </c>
      <c r="GW140">
        <v>1</v>
      </c>
      <c r="GX140">
        <f t="shared" ref="GX140:GX150" si="276">ROUND(HC140*I140,2)</f>
        <v>0</v>
      </c>
      <c r="HA140">
        <v>0</v>
      </c>
      <c r="HB140">
        <v>0</v>
      </c>
      <c r="HC140">
        <f t="shared" ref="HC140:HC150" si="277">GV140*GW140</f>
        <v>0</v>
      </c>
      <c r="HE140" t="s">
        <v>3</v>
      </c>
      <c r="HF140" t="s">
        <v>3</v>
      </c>
      <c r="HM140" t="s">
        <v>3</v>
      </c>
      <c r="HN140" t="s">
        <v>441</v>
      </c>
      <c r="HO140" t="s">
        <v>442</v>
      </c>
      <c r="HP140" t="s">
        <v>439</v>
      </c>
      <c r="HQ140" t="s">
        <v>439</v>
      </c>
      <c r="IK140">
        <v>0</v>
      </c>
    </row>
    <row r="141" spans="1:245" x14ac:dyDescent="0.2">
      <c r="A141">
        <v>17</v>
      </c>
      <c r="B141">
        <v>1</v>
      </c>
      <c r="C141">
        <f>ROW(SmtRes!A330)</f>
        <v>330</v>
      </c>
      <c r="D141">
        <f>ROW(EtalonRes!A330)</f>
        <v>330</v>
      </c>
      <c r="E141" t="s">
        <v>474</v>
      </c>
      <c r="F141" t="s">
        <v>475</v>
      </c>
      <c r="G141" t="s">
        <v>476</v>
      </c>
      <c r="H141" t="s">
        <v>66</v>
      </c>
      <c r="I141">
        <f>ROUND(115.2*0.15,9)</f>
        <v>17.28</v>
      </c>
      <c r="J141">
        <v>0</v>
      </c>
      <c r="K141">
        <f>ROUND(115.2*0.15,9)</f>
        <v>17.28</v>
      </c>
      <c r="O141">
        <f t="shared" si="246"/>
        <v>6816.11</v>
      </c>
      <c r="P141">
        <f t="shared" si="247"/>
        <v>55.69</v>
      </c>
      <c r="Q141">
        <f t="shared" si="248"/>
        <v>2438.3000000000002</v>
      </c>
      <c r="R141">
        <f t="shared" si="249"/>
        <v>612.16999999999996</v>
      </c>
      <c r="S141">
        <f t="shared" si="250"/>
        <v>4322.12</v>
      </c>
      <c r="T141">
        <f t="shared" si="251"/>
        <v>0</v>
      </c>
      <c r="U141">
        <f t="shared" si="252"/>
        <v>17.825183999999997</v>
      </c>
      <c r="V141">
        <f t="shared" si="253"/>
        <v>1.7388000000000001</v>
      </c>
      <c r="W141">
        <f t="shared" si="254"/>
        <v>0</v>
      </c>
      <c r="X141">
        <f t="shared" si="255"/>
        <v>5427.72</v>
      </c>
      <c r="Y141">
        <f t="shared" si="256"/>
        <v>2893.96</v>
      </c>
      <c r="AA141">
        <v>145033679</v>
      </c>
      <c r="AB141">
        <f t="shared" si="257"/>
        <v>20.2</v>
      </c>
      <c r="AC141">
        <f t="shared" si="258"/>
        <v>0.37</v>
      </c>
      <c r="AD141">
        <f>ROUND((((((ET141*1.25)*1.15))-(((EU141*1.25)*1.15)))+AE141),2)</f>
        <v>11.64</v>
      </c>
      <c r="AE141">
        <f>ROUND((((EU141*1.25)*1.15)),2)</f>
        <v>1.1599999999999999</v>
      </c>
      <c r="AF141">
        <f>ROUND((((EV141*1.15)*1.15)),2)</f>
        <v>8.19</v>
      </c>
      <c r="AG141">
        <f t="shared" si="259"/>
        <v>0</v>
      </c>
      <c r="AH141">
        <f>(((EW141*1.15)*1.15))</f>
        <v>1.0315499999999997</v>
      </c>
      <c r="AI141">
        <f>(((EX141*1.25)*1.15))</f>
        <v>0.10062500000000001</v>
      </c>
      <c r="AJ141">
        <f t="shared" si="260"/>
        <v>0</v>
      </c>
      <c r="AK141">
        <v>14.66</v>
      </c>
      <c r="AL141">
        <v>0.37</v>
      </c>
      <c r="AM141">
        <v>8.1</v>
      </c>
      <c r="AN141">
        <v>0.81</v>
      </c>
      <c r="AO141">
        <v>6.19</v>
      </c>
      <c r="AP141">
        <v>0</v>
      </c>
      <c r="AQ141">
        <v>0.78</v>
      </c>
      <c r="AR141">
        <v>7.0000000000000007E-2</v>
      </c>
      <c r="AS141">
        <v>0</v>
      </c>
      <c r="AT141">
        <v>110</v>
      </c>
      <c r="AU141">
        <v>58.65</v>
      </c>
      <c r="AV141">
        <v>1</v>
      </c>
      <c r="AW141">
        <v>1</v>
      </c>
      <c r="AZ141">
        <v>1</v>
      </c>
      <c r="BA141">
        <v>30.54</v>
      </c>
      <c r="BB141">
        <v>12.13</v>
      </c>
      <c r="BC141">
        <v>8.7100000000000009</v>
      </c>
      <c r="BD141" t="s">
        <v>3</v>
      </c>
      <c r="BE141" t="s">
        <v>3</v>
      </c>
      <c r="BF141" t="s">
        <v>3</v>
      </c>
      <c r="BG141" t="s">
        <v>3</v>
      </c>
      <c r="BH141">
        <v>0</v>
      </c>
      <c r="BI141">
        <v>1</v>
      </c>
      <c r="BJ141" t="s">
        <v>477</v>
      </c>
      <c r="BM141">
        <v>8001</v>
      </c>
      <c r="BN141">
        <v>0</v>
      </c>
      <c r="BO141" t="s">
        <v>3</v>
      </c>
      <c r="BP141">
        <v>0</v>
      </c>
      <c r="BQ141">
        <v>2</v>
      </c>
      <c r="BR141">
        <v>0</v>
      </c>
      <c r="BS141">
        <v>30.54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110</v>
      </c>
      <c r="CA141">
        <v>69</v>
      </c>
      <c r="CB141" t="s">
        <v>3</v>
      </c>
      <c r="CE141">
        <v>0</v>
      </c>
      <c r="CF141">
        <v>0</v>
      </c>
      <c r="CG141">
        <v>0</v>
      </c>
      <c r="CM141">
        <v>0</v>
      </c>
      <c r="CN141" t="s">
        <v>1104</v>
      </c>
      <c r="CO141">
        <v>0</v>
      </c>
      <c r="CP141">
        <f t="shared" si="261"/>
        <v>6816.1100000000006</v>
      </c>
      <c r="CQ141">
        <f t="shared" si="262"/>
        <v>3.2227000000000001</v>
      </c>
      <c r="CR141">
        <f>(((((ET141*1.25)*1.15))*BB141-(((EU141*1.25)*1.15))*BS141)+AE141*BS141)</f>
        <v>141.105075</v>
      </c>
      <c r="CS141">
        <f t="shared" si="263"/>
        <v>35.426399999999994</v>
      </c>
      <c r="CT141">
        <f t="shared" si="264"/>
        <v>250.12259999999998</v>
      </c>
      <c r="CU141">
        <f t="shared" si="265"/>
        <v>0</v>
      </c>
      <c r="CV141">
        <f t="shared" si="266"/>
        <v>1.0315499999999997</v>
      </c>
      <c r="CW141">
        <f t="shared" si="267"/>
        <v>0.10062500000000001</v>
      </c>
      <c r="CX141">
        <f t="shared" si="268"/>
        <v>0</v>
      </c>
      <c r="CY141">
        <f t="shared" si="269"/>
        <v>5427.7190000000001</v>
      </c>
      <c r="CZ141">
        <f t="shared" si="270"/>
        <v>2893.9610849999999</v>
      </c>
      <c r="DC141" t="s">
        <v>3</v>
      </c>
      <c r="DD141" t="s">
        <v>3</v>
      </c>
      <c r="DE141" t="s">
        <v>90</v>
      </c>
      <c r="DF141" t="s">
        <v>90</v>
      </c>
      <c r="DG141" t="s">
        <v>91</v>
      </c>
      <c r="DH141" t="s">
        <v>3</v>
      </c>
      <c r="DI141" t="s">
        <v>91</v>
      </c>
      <c r="DJ141" t="s">
        <v>90</v>
      </c>
      <c r="DK141" t="s">
        <v>3</v>
      </c>
      <c r="DL141" t="s">
        <v>3</v>
      </c>
      <c r="DM141" t="s">
        <v>92</v>
      </c>
      <c r="DN141">
        <v>0</v>
      </c>
      <c r="DO141">
        <v>0</v>
      </c>
      <c r="DP141">
        <v>1</v>
      </c>
      <c r="DQ141">
        <v>1</v>
      </c>
      <c r="DU141">
        <v>1007</v>
      </c>
      <c r="DV141" t="s">
        <v>66</v>
      </c>
      <c r="DW141" t="s">
        <v>66</v>
      </c>
      <c r="DX141">
        <v>1</v>
      </c>
      <c r="DZ141" t="s">
        <v>3</v>
      </c>
      <c r="EA141" t="s">
        <v>3</v>
      </c>
      <c r="EB141" t="s">
        <v>3</v>
      </c>
      <c r="EC141" t="s">
        <v>3</v>
      </c>
      <c r="EE141">
        <v>140625024</v>
      </c>
      <c r="EF141">
        <v>2</v>
      </c>
      <c r="EG141" t="s">
        <v>22</v>
      </c>
      <c r="EH141">
        <v>8</v>
      </c>
      <c r="EI141" t="s">
        <v>124</v>
      </c>
      <c r="EJ141">
        <v>1</v>
      </c>
      <c r="EK141">
        <v>8001</v>
      </c>
      <c r="EL141" t="s">
        <v>124</v>
      </c>
      <c r="EM141" t="s">
        <v>125</v>
      </c>
      <c r="EO141" t="s">
        <v>95</v>
      </c>
      <c r="EQ141">
        <v>0</v>
      </c>
      <c r="ER141">
        <v>14.66</v>
      </c>
      <c r="ES141">
        <v>0.37</v>
      </c>
      <c r="ET141">
        <v>8.1</v>
      </c>
      <c r="EU141">
        <v>0.81</v>
      </c>
      <c r="EV141">
        <v>6.19</v>
      </c>
      <c r="EW141">
        <v>0.78</v>
      </c>
      <c r="EX141">
        <v>7.0000000000000007E-2</v>
      </c>
      <c r="EY141">
        <v>0</v>
      </c>
      <c r="FQ141">
        <v>0</v>
      </c>
      <c r="FR141">
        <f t="shared" si="244"/>
        <v>0</v>
      </c>
      <c r="FS141">
        <v>0</v>
      </c>
      <c r="FX141">
        <v>110</v>
      </c>
      <c r="FY141">
        <v>58.65</v>
      </c>
      <c r="GA141" t="s">
        <v>3</v>
      </c>
      <c r="GD141">
        <v>1</v>
      </c>
      <c r="GF141">
        <v>-1563423511</v>
      </c>
      <c r="GG141">
        <v>2</v>
      </c>
      <c r="GH141">
        <v>1</v>
      </c>
      <c r="GI141">
        <v>4</v>
      </c>
      <c r="GJ141">
        <v>0</v>
      </c>
      <c r="GK141">
        <v>0</v>
      </c>
      <c r="GL141">
        <f t="shared" si="245"/>
        <v>0</v>
      </c>
      <c r="GM141">
        <f t="shared" si="271"/>
        <v>15137.79</v>
      </c>
      <c r="GN141">
        <f t="shared" si="272"/>
        <v>15137.79</v>
      </c>
      <c r="GO141">
        <f t="shared" si="273"/>
        <v>0</v>
      </c>
      <c r="GP141">
        <f t="shared" si="274"/>
        <v>0</v>
      </c>
      <c r="GR141">
        <v>0</v>
      </c>
      <c r="GS141">
        <v>3</v>
      </c>
      <c r="GT141">
        <v>0</v>
      </c>
      <c r="GU141" t="s">
        <v>3</v>
      </c>
      <c r="GV141">
        <f t="shared" si="275"/>
        <v>0</v>
      </c>
      <c r="GW141">
        <v>1</v>
      </c>
      <c r="GX141">
        <f t="shared" si="276"/>
        <v>0</v>
      </c>
      <c r="HA141">
        <v>0</v>
      </c>
      <c r="HB141">
        <v>0</v>
      </c>
      <c r="HC141">
        <f t="shared" si="277"/>
        <v>0</v>
      </c>
      <c r="HE141" t="s">
        <v>3</v>
      </c>
      <c r="HF141" t="s">
        <v>3</v>
      </c>
      <c r="HM141" t="s">
        <v>3</v>
      </c>
      <c r="HN141" t="s">
        <v>126</v>
      </c>
      <c r="HO141" t="s">
        <v>127</v>
      </c>
      <c r="HP141" t="s">
        <v>124</v>
      </c>
      <c r="HQ141" t="s">
        <v>124</v>
      </c>
      <c r="IK141">
        <v>0</v>
      </c>
    </row>
    <row r="142" spans="1:245" x14ac:dyDescent="0.2">
      <c r="A142">
        <v>17</v>
      </c>
      <c r="B142">
        <v>1</v>
      </c>
      <c r="E142" t="s">
        <v>478</v>
      </c>
      <c r="F142" t="s">
        <v>46</v>
      </c>
      <c r="G142" t="s">
        <v>479</v>
      </c>
      <c r="H142" t="s">
        <v>66</v>
      </c>
      <c r="I142">
        <f>ROUND(I141*1.1,9)</f>
        <v>19.007999999999999</v>
      </c>
      <c r="J142">
        <v>0</v>
      </c>
      <c r="K142">
        <f>ROUND(I141*1.1,9)</f>
        <v>19.007999999999999</v>
      </c>
      <c r="O142">
        <f t="shared" si="246"/>
        <v>5936.97</v>
      </c>
      <c r="P142">
        <f t="shared" si="247"/>
        <v>5936.97</v>
      </c>
      <c r="Q142">
        <f t="shared" si="248"/>
        <v>0</v>
      </c>
      <c r="R142">
        <f t="shared" si="249"/>
        <v>0</v>
      </c>
      <c r="S142">
        <f t="shared" si="250"/>
        <v>0</v>
      </c>
      <c r="T142">
        <f t="shared" si="251"/>
        <v>0</v>
      </c>
      <c r="U142">
        <f t="shared" si="252"/>
        <v>0</v>
      </c>
      <c r="V142">
        <f t="shared" si="253"/>
        <v>0</v>
      </c>
      <c r="W142">
        <f t="shared" si="254"/>
        <v>0</v>
      </c>
      <c r="X142">
        <f t="shared" si="255"/>
        <v>0</v>
      </c>
      <c r="Y142">
        <f t="shared" si="256"/>
        <v>0</v>
      </c>
      <c r="AA142">
        <v>145033679</v>
      </c>
      <c r="AB142">
        <f t="shared" si="257"/>
        <v>35.86</v>
      </c>
      <c r="AC142">
        <f t="shared" si="258"/>
        <v>35.86</v>
      </c>
      <c r="AD142">
        <f>ROUND((((ET142)-(EU142))+AE142),2)</f>
        <v>0</v>
      </c>
      <c r="AE142">
        <f>ROUND((EU142),2)</f>
        <v>0</v>
      </c>
      <c r="AF142">
        <f>ROUND((EV142),2)</f>
        <v>0</v>
      </c>
      <c r="AG142">
        <f t="shared" si="259"/>
        <v>0</v>
      </c>
      <c r="AH142">
        <f>(EW142)</f>
        <v>0</v>
      </c>
      <c r="AI142">
        <f>(EX142)</f>
        <v>0</v>
      </c>
      <c r="AJ142">
        <f t="shared" si="260"/>
        <v>0</v>
      </c>
      <c r="AK142">
        <v>35.860000000000007</v>
      </c>
      <c r="AL142">
        <v>35.860000000000007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1</v>
      </c>
      <c r="AW142">
        <v>1</v>
      </c>
      <c r="AZ142">
        <v>1</v>
      </c>
      <c r="BA142">
        <v>1</v>
      </c>
      <c r="BB142">
        <v>1</v>
      </c>
      <c r="BC142">
        <v>8.7100000000000009</v>
      </c>
      <c r="BD142" t="s">
        <v>3</v>
      </c>
      <c r="BE142" t="s">
        <v>3</v>
      </c>
      <c r="BF142" t="s">
        <v>3</v>
      </c>
      <c r="BG142" t="s">
        <v>3</v>
      </c>
      <c r="BH142">
        <v>3</v>
      </c>
      <c r="BI142">
        <v>1</v>
      </c>
      <c r="BJ142" t="s">
        <v>3</v>
      </c>
      <c r="BM142">
        <v>1100</v>
      </c>
      <c r="BN142">
        <v>0</v>
      </c>
      <c r="BO142" t="s">
        <v>3</v>
      </c>
      <c r="BP142">
        <v>0</v>
      </c>
      <c r="BQ142">
        <v>8</v>
      </c>
      <c r="BR142">
        <v>0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0</v>
      </c>
      <c r="CA142">
        <v>0</v>
      </c>
      <c r="CB142" t="s">
        <v>3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261"/>
        <v>5936.97</v>
      </c>
      <c r="CQ142">
        <f t="shared" si="262"/>
        <v>312.34060000000005</v>
      </c>
      <c r="CR142">
        <f>(((ET142)*BB142-(EU142)*BS142)+AE142*BS142)</f>
        <v>0</v>
      </c>
      <c r="CS142">
        <f t="shared" si="263"/>
        <v>0</v>
      </c>
      <c r="CT142">
        <f t="shared" si="264"/>
        <v>0</v>
      </c>
      <c r="CU142">
        <f t="shared" si="265"/>
        <v>0</v>
      </c>
      <c r="CV142">
        <f t="shared" si="266"/>
        <v>0</v>
      </c>
      <c r="CW142">
        <f t="shared" si="267"/>
        <v>0</v>
      </c>
      <c r="CX142">
        <f t="shared" si="268"/>
        <v>0</v>
      </c>
      <c r="CY142">
        <f t="shared" si="269"/>
        <v>0</v>
      </c>
      <c r="CZ142">
        <f t="shared" si="270"/>
        <v>0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1007</v>
      </c>
      <c r="DV142" t="s">
        <v>66</v>
      </c>
      <c r="DW142" t="s">
        <v>66</v>
      </c>
      <c r="DX142">
        <v>1</v>
      </c>
      <c r="DZ142" t="s">
        <v>3</v>
      </c>
      <c r="EA142" t="s">
        <v>3</v>
      </c>
      <c r="EB142" t="s">
        <v>3</v>
      </c>
      <c r="EC142" t="s">
        <v>3</v>
      </c>
      <c r="EE142">
        <v>140625274</v>
      </c>
      <c r="EF142">
        <v>8</v>
      </c>
      <c r="EG142" t="s">
        <v>48</v>
      </c>
      <c r="EH142">
        <v>0</v>
      </c>
      <c r="EI142" t="s">
        <v>3</v>
      </c>
      <c r="EJ142">
        <v>1</v>
      </c>
      <c r="EK142">
        <v>1100</v>
      </c>
      <c r="EL142" t="s">
        <v>49</v>
      </c>
      <c r="EM142" t="s">
        <v>50</v>
      </c>
      <c r="EO142" t="s">
        <v>3</v>
      </c>
      <c r="EQ142">
        <v>0</v>
      </c>
      <c r="ER142">
        <v>35.860000000000007</v>
      </c>
      <c r="ES142">
        <v>35.860000000000007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5</v>
      </c>
      <c r="FC142">
        <v>1</v>
      </c>
      <c r="FD142">
        <v>18</v>
      </c>
      <c r="FF142">
        <v>350</v>
      </c>
      <c r="FQ142">
        <v>0</v>
      </c>
      <c r="FR142">
        <f t="shared" si="244"/>
        <v>0</v>
      </c>
      <c r="FS142">
        <v>0</v>
      </c>
      <c r="FX142">
        <v>0</v>
      </c>
      <c r="FY142">
        <v>0</v>
      </c>
      <c r="GA142" t="s">
        <v>480</v>
      </c>
      <c r="GD142">
        <v>1</v>
      </c>
      <c r="GF142">
        <v>-730235267</v>
      </c>
      <c r="GG142">
        <v>2</v>
      </c>
      <c r="GH142">
        <v>3</v>
      </c>
      <c r="GI142">
        <v>4</v>
      </c>
      <c r="GJ142">
        <v>0</v>
      </c>
      <c r="GK142">
        <v>0</v>
      </c>
      <c r="GL142">
        <f t="shared" si="245"/>
        <v>0</v>
      </c>
      <c r="GM142">
        <f t="shared" si="271"/>
        <v>5936.97</v>
      </c>
      <c r="GN142">
        <f t="shared" si="272"/>
        <v>5936.97</v>
      </c>
      <c r="GO142">
        <f t="shared" si="273"/>
        <v>0</v>
      </c>
      <c r="GP142">
        <f t="shared" si="274"/>
        <v>0</v>
      </c>
      <c r="GR142">
        <v>1</v>
      </c>
      <c r="GS142">
        <v>1</v>
      </c>
      <c r="GT142">
        <v>0</v>
      </c>
      <c r="GU142" t="s">
        <v>3</v>
      </c>
      <c r="GV142">
        <f t="shared" si="275"/>
        <v>0</v>
      </c>
      <c r="GW142">
        <v>1</v>
      </c>
      <c r="GX142">
        <f t="shared" si="276"/>
        <v>0</v>
      </c>
      <c r="HA142">
        <v>0</v>
      </c>
      <c r="HB142">
        <v>0</v>
      </c>
      <c r="HC142">
        <f t="shared" si="277"/>
        <v>0</v>
      </c>
      <c r="HE142" t="s">
        <v>52</v>
      </c>
      <c r="HF142" t="s">
        <v>29</v>
      </c>
      <c r="HM142" t="s">
        <v>3</v>
      </c>
      <c r="HN142" t="s">
        <v>3</v>
      </c>
      <c r="HO142" t="s">
        <v>3</v>
      </c>
      <c r="HP142" t="s">
        <v>3</v>
      </c>
      <c r="HQ142" t="s">
        <v>3</v>
      </c>
      <c r="IK142">
        <v>0</v>
      </c>
    </row>
    <row r="143" spans="1:245" x14ac:dyDescent="0.2">
      <c r="A143">
        <v>17</v>
      </c>
      <c r="B143">
        <v>1</v>
      </c>
      <c r="C143">
        <f>ROW(SmtRes!A336)</f>
        <v>336</v>
      </c>
      <c r="D143">
        <f>ROW(EtalonRes!A336)</f>
        <v>336</v>
      </c>
      <c r="E143" t="s">
        <v>481</v>
      </c>
      <c r="F143" t="s">
        <v>482</v>
      </c>
      <c r="G143" t="s">
        <v>483</v>
      </c>
      <c r="H143" t="s">
        <v>66</v>
      </c>
      <c r="I143">
        <f>ROUND(115.2*0.1,9)</f>
        <v>11.52</v>
      </c>
      <c r="J143">
        <v>0</v>
      </c>
      <c r="K143">
        <f>ROUND(115.2*0.1,9)</f>
        <v>11.52</v>
      </c>
      <c r="O143">
        <f t="shared" si="246"/>
        <v>4842.59</v>
      </c>
      <c r="P143">
        <f t="shared" si="247"/>
        <v>37.130000000000003</v>
      </c>
      <c r="Q143">
        <f t="shared" si="248"/>
        <v>1663.7</v>
      </c>
      <c r="R143">
        <f t="shared" si="249"/>
        <v>408.11</v>
      </c>
      <c r="S143">
        <f t="shared" si="250"/>
        <v>3141.76</v>
      </c>
      <c r="T143">
        <f t="shared" si="251"/>
        <v>0</v>
      </c>
      <c r="U143">
        <f t="shared" si="252"/>
        <v>12.949919999999997</v>
      </c>
      <c r="V143">
        <f t="shared" si="253"/>
        <v>1.1592</v>
      </c>
      <c r="W143">
        <f t="shared" si="254"/>
        <v>0</v>
      </c>
      <c r="X143">
        <f t="shared" si="255"/>
        <v>3904.86</v>
      </c>
      <c r="Y143">
        <f t="shared" si="256"/>
        <v>2082</v>
      </c>
      <c r="AA143">
        <v>145033679</v>
      </c>
      <c r="AB143">
        <f t="shared" si="257"/>
        <v>21.21</v>
      </c>
      <c r="AC143">
        <f t="shared" si="258"/>
        <v>0.37</v>
      </c>
      <c r="AD143">
        <f>ROUND((((((ET143*1.25)*1.15))-(((EU143*1.25)*1.15)))+AE143),2)</f>
        <v>11.91</v>
      </c>
      <c r="AE143">
        <f>ROUND((((EU143*1.25)*1.15)),2)</f>
        <v>1.1599999999999999</v>
      </c>
      <c r="AF143">
        <f>ROUND((((EV143*1.15)*1.15)),2)</f>
        <v>8.93</v>
      </c>
      <c r="AG143">
        <f t="shared" si="259"/>
        <v>0</v>
      </c>
      <c r="AH143">
        <f>(((EW143*1.15)*1.15))</f>
        <v>1.1241249999999998</v>
      </c>
      <c r="AI143">
        <f>(((EX143*1.25)*1.15))</f>
        <v>0.10062500000000001</v>
      </c>
      <c r="AJ143">
        <f t="shared" si="260"/>
        <v>0</v>
      </c>
      <c r="AK143">
        <v>15.41</v>
      </c>
      <c r="AL143">
        <v>0.37</v>
      </c>
      <c r="AM143">
        <v>8.2899999999999991</v>
      </c>
      <c r="AN143">
        <v>0.81</v>
      </c>
      <c r="AO143">
        <v>6.75</v>
      </c>
      <c r="AP143">
        <v>0</v>
      </c>
      <c r="AQ143">
        <v>0.85</v>
      </c>
      <c r="AR143">
        <v>7.0000000000000007E-2</v>
      </c>
      <c r="AS143">
        <v>0</v>
      </c>
      <c r="AT143">
        <v>110</v>
      </c>
      <c r="AU143">
        <v>58.65</v>
      </c>
      <c r="AV143">
        <v>1</v>
      </c>
      <c r="AW143">
        <v>1</v>
      </c>
      <c r="AZ143">
        <v>1</v>
      </c>
      <c r="BA143">
        <v>30.54</v>
      </c>
      <c r="BB143">
        <v>12.13</v>
      </c>
      <c r="BC143">
        <v>8.7100000000000009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1</v>
      </c>
      <c r="BJ143" t="s">
        <v>484</v>
      </c>
      <c r="BM143">
        <v>8001</v>
      </c>
      <c r="BN143">
        <v>0</v>
      </c>
      <c r="BO143" t="s">
        <v>3</v>
      </c>
      <c r="BP143">
        <v>0</v>
      </c>
      <c r="BQ143">
        <v>2</v>
      </c>
      <c r="BR143">
        <v>0</v>
      </c>
      <c r="BS143">
        <v>30.54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110</v>
      </c>
      <c r="CA143">
        <v>69</v>
      </c>
      <c r="CB143" t="s">
        <v>3</v>
      </c>
      <c r="CE143">
        <v>0</v>
      </c>
      <c r="CF143">
        <v>0</v>
      </c>
      <c r="CG143">
        <v>0</v>
      </c>
      <c r="CM143">
        <v>0</v>
      </c>
      <c r="CN143" t="s">
        <v>1104</v>
      </c>
      <c r="CO143">
        <v>0</v>
      </c>
      <c r="CP143">
        <f t="shared" si="261"/>
        <v>4842.59</v>
      </c>
      <c r="CQ143">
        <f t="shared" si="262"/>
        <v>3.2227000000000001</v>
      </c>
      <c r="CR143">
        <f>(((((ET143*1.25)*1.15))*BB143-(((EU143*1.25)*1.15))*BS143)+AE143*BS143)</f>
        <v>144.41808124999997</v>
      </c>
      <c r="CS143">
        <f t="shared" si="263"/>
        <v>35.426399999999994</v>
      </c>
      <c r="CT143">
        <f t="shared" si="264"/>
        <v>272.72219999999999</v>
      </c>
      <c r="CU143">
        <f t="shared" si="265"/>
        <v>0</v>
      </c>
      <c r="CV143">
        <f t="shared" si="266"/>
        <v>1.1241249999999998</v>
      </c>
      <c r="CW143">
        <f t="shared" si="267"/>
        <v>0.10062500000000001</v>
      </c>
      <c r="CX143">
        <f t="shared" si="268"/>
        <v>0</v>
      </c>
      <c r="CY143">
        <f t="shared" si="269"/>
        <v>3904.857</v>
      </c>
      <c r="CZ143">
        <f t="shared" si="270"/>
        <v>2081.9987550000001</v>
      </c>
      <c r="DC143" t="s">
        <v>3</v>
      </c>
      <c r="DD143" t="s">
        <v>3</v>
      </c>
      <c r="DE143" t="s">
        <v>90</v>
      </c>
      <c r="DF143" t="s">
        <v>90</v>
      </c>
      <c r="DG143" t="s">
        <v>91</v>
      </c>
      <c r="DH143" t="s">
        <v>3</v>
      </c>
      <c r="DI143" t="s">
        <v>91</v>
      </c>
      <c r="DJ143" t="s">
        <v>90</v>
      </c>
      <c r="DK143" t="s">
        <v>3</v>
      </c>
      <c r="DL143" t="s">
        <v>3</v>
      </c>
      <c r="DM143" t="s">
        <v>92</v>
      </c>
      <c r="DN143">
        <v>0</v>
      </c>
      <c r="DO143">
        <v>0</v>
      </c>
      <c r="DP143">
        <v>1</v>
      </c>
      <c r="DQ143">
        <v>1</v>
      </c>
      <c r="DU143">
        <v>1007</v>
      </c>
      <c r="DV143" t="s">
        <v>66</v>
      </c>
      <c r="DW143" t="s">
        <v>66</v>
      </c>
      <c r="DX143">
        <v>1</v>
      </c>
      <c r="DZ143" t="s">
        <v>3</v>
      </c>
      <c r="EA143" t="s">
        <v>3</v>
      </c>
      <c r="EB143" t="s">
        <v>3</v>
      </c>
      <c r="EC143" t="s">
        <v>3</v>
      </c>
      <c r="EE143">
        <v>140625024</v>
      </c>
      <c r="EF143">
        <v>2</v>
      </c>
      <c r="EG143" t="s">
        <v>22</v>
      </c>
      <c r="EH143">
        <v>8</v>
      </c>
      <c r="EI143" t="s">
        <v>124</v>
      </c>
      <c r="EJ143">
        <v>1</v>
      </c>
      <c r="EK143">
        <v>8001</v>
      </c>
      <c r="EL143" t="s">
        <v>124</v>
      </c>
      <c r="EM143" t="s">
        <v>125</v>
      </c>
      <c r="EO143" t="s">
        <v>95</v>
      </c>
      <c r="EQ143">
        <v>0</v>
      </c>
      <c r="ER143">
        <v>15.41</v>
      </c>
      <c r="ES143">
        <v>0.37</v>
      </c>
      <c r="ET143">
        <v>8.2899999999999991</v>
      </c>
      <c r="EU143">
        <v>0.81</v>
      </c>
      <c r="EV143">
        <v>6.75</v>
      </c>
      <c r="EW143">
        <v>0.85</v>
      </c>
      <c r="EX143">
        <v>7.0000000000000007E-2</v>
      </c>
      <c r="EY143">
        <v>0</v>
      </c>
      <c r="FQ143">
        <v>0</v>
      </c>
      <c r="FR143">
        <f t="shared" si="244"/>
        <v>0</v>
      </c>
      <c r="FS143">
        <v>0</v>
      </c>
      <c r="FX143">
        <v>110</v>
      </c>
      <c r="FY143">
        <v>58.65</v>
      </c>
      <c r="GA143" t="s">
        <v>3</v>
      </c>
      <c r="GD143">
        <v>1</v>
      </c>
      <c r="GF143">
        <v>-62678373</v>
      </c>
      <c r="GG143">
        <v>2</v>
      </c>
      <c r="GH143">
        <v>1</v>
      </c>
      <c r="GI143">
        <v>4</v>
      </c>
      <c r="GJ143">
        <v>0</v>
      </c>
      <c r="GK143">
        <v>0</v>
      </c>
      <c r="GL143">
        <f t="shared" si="245"/>
        <v>0</v>
      </c>
      <c r="GM143">
        <f t="shared" si="271"/>
        <v>10829.45</v>
      </c>
      <c r="GN143">
        <f t="shared" si="272"/>
        <v>10829.45</v>
      </c>
      <c r="GO143">
        <f t="shared" si="273"/>
        <v>0</v>
      </c>
      <c r="GP143">
        <f t="shared" si="274"/>
        <v>0</v>
      </c>
      <c r="GR143">
        <v>0</v>
      </c>
      <c r="GS143">
        <v>3</v>
      </c>
      <c r="GT143">
        <v>0</v>
      </c>
      <c r="GU143" t="s">
        <v>3</v>
      </c>
      <c r="GV143">
        <f t="shared" si="275"/>
        <v>0</v>
      </c>
      <c r="GW143">
        <v>1</v>
      </c>
      <c r="GX143">
        <f t="shared" si="276"/>
        <v>0</v>
      </c>
      <c r="HA143">
        <v>0</v>
      </c>
      <c r="HB143">
        <v>0</v>
      </c>
      <c r="HC143">
        <f t="shared" si="277"/>
        <v>0</v>
      </c>
      <c r="HE143" t="s">
        <v>3</v>
      </c>
      <c r="HF143" t="s">
        <v>3</v>
      </c>
      <c r="HM143" t="s">
        <v>3</v>
      </c>
      <c r="HN143" t="s">
        <v>126</v>
      </c>
      <c r="HO143" t="s">
        <v>127</v>
      </c>
      <c r="HP143" t="s">
        <v>124</v>
      </c>
      <c r="HQ143" t="s">
        <v>124</v>
      </c>
      <c r="IK143">
        <v>0</v>
      </c>
    </row>
    <row r="144" spans="1:245" x14ac:dyDescent="0.2">
      <c r="A144">
        <v>17</v>
      </c>
      <c r="B144">
        <v>1</v>
      </c>
      <c r="E144" t="s">
        <v>485</v>
      </c>
      <c r="F144" t="s">
        <v>46</v>
      </c>
      <c r="G144" t="s">
        <v>486</v>
      </c>
      <c r="H144" t="s">
        <v>66</v>
      </c>
      <c r="I144">
        <f>ROUND(I143*1.15,9)</f>
        <v>13.247999999999999</v>
      </c>
      <c r="J144">
        <v>0</v>
      </c>
      <c r="K144">
        <f>ROUND(I143*1.15,9)</f>
        <v>13.247999999999999</v>
      </c>
      <c r="O144">
        <f t="shared" si="246"/>
        <v>10792.43</v>
      </c>
      <c r="P144">
        <f t="shared" si="247"/>
        <v>10792.43</v>
      </c>
      <c r="Q144">
        <f t="shared" si="248"/>
        <v>0</v>
      </c>
      <c r="R144">
        <f t="shared" si="249"/>
        <v>0</v>
      </c>
      <c r="S144">
        <f t="shared" si="250"/>
        <v>0</v>
      </c>
      <c r="T144">
        <f t="shared" si="251"/>
        <v>0</v>
      </c>
      <c r="U144">
        <f t="shared" si="252"/>
        <v>0</v>
      </c>
      <c r="V144">
        <f t="shared" si="253"/>
        <v>0</v>
      </c>
      <c r="W144">
        <f t="shared" si="254"/>
        <v>0</v>
      </c>
      <c r="X144">
        <f t="shared" si="255"/>
        <v>0</v>
      </c>
      <c r="Y144">
        <f t="shared" si="256"/>
        <v>0</v>
      </c>
      <c r="AA144">
        <v>145033679</v>
      </c>
      <c r="AB144">
        <f t="shared" si="257"/>
        <v>93.53</v>
      </c>
      <c r="AC144">
        <f t="shared" si="258"/>
        <v>93.53</v>
      </c>
      <c r="AD144">
        <f>ROUND((((ET144)-(EU144))+AE144),2)</f>
        <v>0</v>
      </c>
      <c r="AE144">
        <f>ROUND((EU144),2)</f>
        <v>0</v>
      </c>
      <c r="AF144">
        <f>ROUND((EV144),2)</f>
        <v>0</v>
      </c>
      <c r="AG144">
        <f t="shared" si="259"/>
        <v>0</v>
      </c>
      <c r="AH144">
        <f>(EW144)</f>
        <v>0</v>
      </c>
      <c r="AI144">
        <f>(EX144)</f>
        <v>0</v>
      </c>
      <c r="AJ144">
        <f t="shared" si="260"/>
        <v>0</v>
      </c>
      <c r="AK144">
        <v>93.53</v>
      </c>
      <c r="AL144">
        <v>93.53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1</v>
      </c>
      <c r="AZ144">
        <v>1</v>
      </c>
      <c r="BA144">
        <v>1</v>
      </c>
      <c r="BB144">
        <v>1</v>
      </c>
      <c r="BC144">
        <v>8.7100000000000009</v>
      </c>
      <c r="BD144" t="s">
        <v>3</v>
      </c>
      <c r="BE144" t="s">
        <v>3</v>
      </c>
      <c r="BF144" t="s">
        <v>3</v>
      </c>
      <c r="BG144" t="s">
        <v>3</v>
      </c>
      <c r="BH144">
        <v>3</v>
      </c>
      <c r="BI144">
        <v>1</v>
      </c>
      <c r="BJ144" t="s">
        <v>3</v>
      </c>
      <c r="BM144">
        <v>1100</v>
      </c>
      <c r="BN144">
        <v>0</v>
      </c>
      <c r="BO144" t="s">
        <v>3</v>
      </c>
      <c r="BP144">
        <v>0</v>
      </c>
      <c r="BQ144">
        <v>8</v>
      </c>
      <c r="BR144">
        <v>0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0</v>
      </c>
      <c r="CA144">
        <v>0</v>
      </c>
      <c r="CB144" t="s">
        <v>3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 t="shared" si="261"/>
        <v>10792.43</v>
      </c>
      <c r="CQ144">
        <f t="shared" si="262"/>
        <v>814.64630000000011</v>
      </c>
      <c r="CR144">
        <f>(((ET144)*BB144-(EU144)*BS144)+AE144*BS144)</f>
        <v>0</v>
      </c>
      <c r="CS144">
        <f t="shared" si="263"/>
        <v>0</v>
      </c>
      <c r="CT144">
        <f t="shared" si="264"/>
        <v>0</v>
      </c>
      <c r="CU144">
        <f t="shared" si="265"/>
        <v>0</v>
      </c>
      <c r="CV144">
        <f t="shared" si="266"/>
        <v>0</v>
      </c>
      <c r="CW144">
        <f t="shared" si="267"/>
        <v>0</v>
      </c>
      <c r="CX144">
        <f t="shared" si="268"/>
        <v>0</v>
      </c>
      <c r="CY144">
        <f t="shared" si="269"/>
        <v>0</v>
      </c>
      <c r="CZ144">
        <f t="shared" si="270"/>
        <v>0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1007</v>
      </c>
      <c r="DV144" t="s">
        <v>66</v>
      </c>
      <c r="DW144" t="s">
        <v>66</v>
      </c>
      <c r="DX144">
        <v>1</v>
      </c>
      <c r="DZ144" t="s">
        <v>3</v>
      </c>
      <c r="EA144" t="s">
        <v>3</v>
      </c>
      <c r="EB144" t="s">
        <v>3</v>
      </c>
      <c r="EC144" t="s">
        <v>3</v>
      </c>
      <c r="EE144">
        <v>140625274</v>
      </c>
      <c r="EF144">
        <v>8</v>
      </c>
      <c r="EG144" t="s">
        <v>48</v>
      </c>
      <c r="EH144">
        <v>0</v>
      </c>
      <c r="EI144" t="s">
        <v>3</v>
      </c>
      <c r="EJ144">
        <v>1</v>
      </c>
      <c r="EK144">
        <v>1100</v>
      </c>
      <c r="EL144" t="s">
        <v>49</v>
      </c>
      <c r="EM144" t="s">
        <v>50</v>
      </c>
      <c r="EO144" t="s">
        <v>3</v>
      </c>
      <c r="EQ144">
        <v>0</v>
      </c>
      <c r="ER144">
        <v>93.53</v>
      </c>
      <c r="ES144">
        <v>93.53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5</v>
      </c>
      <c r="FC144">
        <v>1</v>
      </c>
      <c r="FD144">
        <v>18</v>
      </c>
      <c r="FF144">
        <v>912.8</v>
      </c>
      <c r="FQ144">
        <v>0</v>
      </c>
      <c r="FR144">
        <f t="shared" si="244"/>
        <v>0</v>
      </c>
      <c r="FS144">
        <v>0</v>
      </c>
      <c r="FX144">
        <v>0</v>
      </c>
      <c r="FY144">
        <v>0</v>
      </c>
      <c r="GA144" t="s">
        <v>487</v>
      </c>
      <c r="GD144">
        <v>1</v>
      </c>
      <c r="GF144">
        <v>292482037</v>
      </c>
      <c r="GG144">
        <v>2</v>
      </c>
      <c r="GH144">
        <v>3</v>
      </c>
      <c r="GI144">
        <v>4</v>
      </c>
      <c r="GJ144">
        <v>0</v>
      </c>
      <c r="GK144">
        <v>0</v>
      </c>
      <c r="GL144">
        <f t="shared" si="245"/>
        <v>0</v>
      </c>
      <c r="GM144">
        <f t="shared" si="271"/>
        <v>10792.43</v>
      </c>
      <c r="GN144">
        <f t="shared" si="272"/>
        <v>10792.43</v>
      </c>
      <c r="GO144">
        <f t="shared" si="273"/>
        <v>0</v>
      </c>
      <c r="GP144">
        <f t="shared" si="274"/>
        <v>0</v>
      </c>
      <c r="GR144">
        <v>1</v>
      </c>
      <c r="GS144">
        <v>1</v>
      </c>
      <c r="GT144">
        <v>0</v>
      </c>
      <c r="GU144" t="s">
        <v>3</v>
      </c>
      <c r="GV144">
        <f t="shared" si="275"/>
        <v>0</v>
      </c>
      <c r="GW144">
        <v>1</v>
      </c>
      <c r="GX144">
        <f t="shared" si="276"/>
        <v>0</v>
      </c>
      <c r="HA144">
        <v>0</v>
      </c>
      <c r="HB144">
        <v>0</v>
      </c>
      <c r="HC144">
        <f t="shared" si="277"/>
        <v>0</v>
      </c>
      <c r="HE144" t="s">
        <v>52</v>
      </c>
      <c r="HF144" t="s">
        <v>29</v>
      </c>
      <c r="HM144" t="s">
        <v>3</v>
      </c>
      <c r="HN144" t="s">
        <v>3</v>
      </c>
      <c r="HO144" t="s">
        <v>3</v>
      </c>
      <c r="HP144" t="s">
        <v>3</v>
      </c>
      <c r="HQ144" t="s">
        <v>3</v>
      </c>
      <c r="IK144">
        <v>0</v>
      </c>
    </row>
    <row r="145" spans="1:245" x14ac:dyDescent="0.2">
      <c r="A145">
        <v>17</v>
      </c>
      <c r="B145">
        <v>1</v>
      </c>
      <c r="C145">
        <f>ROW(SmtRes!A342)</f>
        <v>342</v>
      </c>
      <c r="D145">
        <f>ROW(EtalonRes!A342)</f>
        <v>342</v>
      </c>
      <c r="E145" t="s">
        <v>488</v>
      </c>
      <c r="F145" t="s">
        <v>489</v>
      </c>
      <c r="G145" t="s">
        <v>490</v>
      </c>
      <c r="H145" t="s">
        <v>105</v>
      </c>
      <c r="I145">
        <f>ROUND(ROUND(115.2*1.84/1000,3),9)</f>
        <v>0.21199999999999999</v>
      </c>
      <c r="J145">
        <v>0</v>
      </c>
      <c r="K145">
        <f>ROUND(ROUND(115.2*1.84/1000,3),9)</f>
        <v>0.21199999999999999</v>
      </c>
      <c r="O145">
        <f t="shared" si="246"/>
        <v>1519.99</v>
      </c>
      <c r="P145">
        <f t="shared" si="247"/>
        <v>527.37</v>
      </c>
      <c r="Q145">
        <f t="shared" si="248"/>
        <v>112.54</v>
      </c>
      <c r="R145">
        <f t="shared" si="249"/>
        <v>40.47</v>
      </c>
      <c r="S145">
        <f t="shared" si="250"/>
        <v>880.08</v>
      </c>
      <c r="T145">
        <f t="shared" si="251"/>
        <v>0</v>
      </c>
      <c r="U145">
        <f t="shared" si="252"/>
        <v>3.2522919999999989</v>
      </c>
      <c r="V145">
        <f t="shared" si="253"/>
        <v>0.10666249999999998</v>
      </c>
      <c r="W145">
        <f t="shared" si="254"/>
        <v>0</v>
      </c>
      <c r="X145">
        <f t="shared" si="255"/>
        <v>938.96</v>
      </c>
      <c r="Y145">
        <f t="shared" si="256"/>
        <v>453.83</v>
      </c>
      <c r="AA145">
        <v>145033679</v>
      </c>
      <c r="AB145">
        <f t="shared" si="257"/>
        <v>465.3</v>
      </c>
      <c r="AC145">
        <f t="shared" si="258"/>
        <v>285.60000000000002</v>
      </c>
      <c r="AD145">
        <f>ROUND((((((ET145*1.25)*1.15))-(((EU145*1.25)*1.15)))+AE145),2)</f>
        <v>43.77</v>
      </c>
      <c r="AE145">
        <f>ROUND((((EU145*1.25)*1.15)),2)</f>
        <v>6.25</v>
      </c>
      <c r="AF145">
        <f>ROUND((((EV145*1.15)*1.15)),2)</f>
        <v>135.93</v>
      </c>
      <c r="AG145">
        <f t="shared" si="259"/>
        <v>0</v>
      </c>
      <c r="AH145">
        <f>(((EW145*1.15)*1.15))</f>
        <v>15.340999999999996</v>
      </c>
      <c r="AI145">
        <f>(((EX145*1.25)*1.15))</f>
        <v>0.50312499999999993</v>
      </c>
      <c r="AJ145">
        <f t="shared" si="260"/>
        <v>0</v>
      </c>
      <c r="AK145">
        <v>418.83</v>
      </c>
      <c r="AL145">
        <v>285.60000000000002</v>
      </c>
      <c r="AM145">
        <v>30.45</v>
      </c>
      <c r="AN145">
        <v>4.3499999999999996</v>
      </c>
      <c r="AO145">
        <v>102.78</v>
      </c>
      <c r="AP145">
        <v>0</v>
      </c>
      <c r="AQ145">
        <v>11.6</v>
      </c>
      <c r="AR145">
        <v>0.35</v>
      </c>
      <c r="AS145">
        <v>0</v>
      </c>
      <c r="AT145">
        <v>102</v>
      </c>
      <c r="AU145">
        <v>49.3</v>
      </c>
      <c r="AV145">
        <v>1</v>
      </c>
      <c r="AW145">
        <v>1</v>
      </c>
      <c r="AZ145">
        <v>1</v>
      </c>
      <c r="BA145">
        <v>30.54</v>
      </c>
      <c r="BB145">
        <v>12.13</v>
      </c>
      <c r="BC145">
        <v>8.7100000000000009</v>
      </c>
      <c r="BD145" t="s">
        <v>3</v>
      </c>
      <c r="BE145" t="s">
        <v>3</v>
      </c>
      <c r="BF145" t="s">
        <v>3</v>
      </c>
      <c r="BG145" t="s">
        <v>3</v>
      </c>
      <c r="BH145">
        <v>0</v>
      </c>
      <c r="BI145">
        <v>1</v>
      </c>
      <c r="BJ145" t="s">
        <v>491</v>
      </c>
      <c r="BM145">
        <v>6001</v>
      </c>
      <c r="BN145">
        <v>0</v>
      </c>
      <c r="BO145" t="s">
        <v>3</v>
      </c>
      <c r="BP145">
        <v>0</v>
      </c>
      <c r="BQ145">
        <v>2</v>
      </c>
      <c r="BR145">
        <v>0</v>
      </c>
      <c r="BS145">
        <v>30.54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102</v>
      </c>
      <c r="CA145">
        <v>58</v>
      </c>
      <c r="CB145" t="s">
        <v>3</v>
      </c>
      <c r="CE145">
        <v>0</v>
      </c>
      <c r="CF145">
        <v>0</v>
      </c>
      <c r="CG145">
        <v>0</v>
      </c>
      <c r="CM145">
        <v>0</v>
      </c>
      <c r="CN145" t="s">
        <v>1104</v>
      </c>
      <c r="CO145">
        <v>0</v>
      </c>
      <c r="CP145">
        <f t="shared" si="261"/>
        <v>1519.99</v>
      </c>
      <c r="CQ145">
        <f t="shared" si="262"/>
        <v>2487.5760000000005</v>
      </c>
      <c r="CR145">
        <f>(((((ET145*1.25)*1.15))*BB145-(((EU145*1.25)*1.15))*BS145)+AE145*BS145)</f>
        <v>530.85740624999994</v>
      </c>
      <c r="CS145">
        <f t="shared" si="263"/>
        <v>190.875</v>
      </c>
      <c r="CT145">
        <f t="shared" si="264"/>
        <v>4151.3022000000001</v>
      </c>
      <c r="CU145">
        <f t="shared" si="265"/>
        <v>0</v>
      </c>
      <c r="CV145">
        <f t="shared" si="266"/>
        <v>15.340999999999996</v>
      </c>
      <c r="CW145">
        <f t="shared" si="267"/>
        <v>0.50312499999999993</v>
      </c>
      <c r="CX145">
        <f t="shared" si="268"/>
        <v>0</v>
      </c>
      <c r="CY145">
        <f t="shared" si="269"/>
        <v>938.96100000000001</v>
      </c>
      <c r="CZ145">
        <f t="shared" si="270"/>
        <v>453.83114999999998</v>
      </c>
      <c r="DC145" t="s">
        <v>3</v>
      </c>
      <c r="DD145" t="s">
        <v>3</v>
      </c>
      <c r="DE145" t="s">
        <v>90</v>
      </c>
      <c r="DF145" t="s">
        <v>90</v>
      </c>
      <c r="DG145" t="s">
        <v>91</v>
      </c>
      <c r="DH145" t="s">
        <v>3</v>
      </c>
      <c r="DI145" t="s">
        <v>91</v>
      </c>
      <c r="DJ145" t="s">
        <v>90</v>
      </c>
      <c r="DK145" t="s">
        <v>3</v>
      </c>
      <c r="DL145" t="s">
        <v>3</v>
      </c>
      <c r="DM145" t="s">
        <v>92</v>
      </c>
      <c r="DN145">
        <v>0</v>
      </c>
      <c r="DO145">
        <v>0</v>
      </c>
      <c r="DP145">
        <v>1</v>
      </c>
      <c r="DQ145">
        <v>1</v>
      </c>
      <c r="DU145">
        <v>1009</v>
      </c>
      <c r="DV145" t="s">
        <v>105</v>
      </c>
      <c r="DW145" t="s">
        <v>105</v>
      </c>
      <c r="DX145">
        <v>1000</v>
      </c>
      <c r="DZ145" t="s">
        <v>3</v>
      </c>
      <c r="EA145" t="s">
        <v>3</v>
      </c>
      <c r="EB145" t="s">
        <v>3</v>
      </c>
      <c r="EC145" t="s">
        <v>3</v>
      </c>
      <c r="EE145">
        <v>140625009</v>
      </c>
      <c r="EF145">
        <v>2</v>
      </c>
      <c r="EG145" t="s">
        <v>22</v>
      </c>
      <c r="EH145">
        <v>6</v>
      </c>
      <c r="EI145" t="s">
        <v>492</v>
      </c>
      <c r="EJ145">
        <v>1</v>
      </c>
      <c r="EK145">
        <v>6001</v>
      </c>
      <c r="EL145" t="s">
        <v>492</v>
      </c>
      <c r="EM145" t="s">
        <v>493</v>
      </c>
      <c r="EO145" t="s">
        <v>95</v>
      </c>
      <c r="EQ145">
        <v>0</v>
      </c>
      <c r="ER145">
        <v>418.83</v>
      </c>
      <c r="ES145">
        <v>285.60000000000002</v>
      </c>
      <c r="ET145">
        <v>30.45</v>
      </c>
      <c r="EU145">
        <v>4.3499999999999996</v>
      </c>
      <c r="EV145">
        <v>102.78</v>
      </c>
      <c r="EW145">
        <v>11.6</v>
      </c>
      <c r="EX145">
        <v>0.35</v>
      </c>
      <c r="EY145">
        <v>0</v>
      </c>
      <c r="FQ145">
        <v>0</v>
      </c>
      <c r="FR145">
        <f t="shared" si="244"/>
        <v>0</v>
      </c>
      <c r="FS145">
        <v>0</v>
      </c>
      <c r="FX145">
        <v>102</v>
      </c>
      <c r="FY145">
        <v>49.3</v>
      </c>
      <c r="GA145" t="s">
        <v>3</v>
      </c>
      <c r="GD145">
        <v>1</v>
      </c>
      <c r="GF145">
        <v>-1525062063</v>
      </c>
      <c r="GG145">
        <v>2</v>
      </c>
      <c r="GH145">
        <v>1</v>
      </c>
      <c r="GI145">
        <v>4</v>
      </c>
      <c r="GJ145">
        <v>0</v>
      </c>
      <c r="GK145">
        <v>0</v>
      </c>
      <c r="GL145">
        <f t="shared" si="245"/>
        <v>0</v>
      </c>
      <c r="GM145">
        <f t="shared" si="271"/>
        <v>2912.78</v>
      </c>
      <c r="GN145">
        <f t="shared" si="272"/>
        <v>2912.78</v>
      </c>
      <c r="GO145">
        <f t="shared" si="273"/>
        <v>0</v>
      </c>
      <c r="GP145">
        <f t="shared" si="274"/>
        <v>0</v>
      </c>
      <c r="GR145">
        <v>0</v>
      </c>
      <c r="GS145">
        <v>3</v>
      </c>
      <c r="GT145">
        <v>0</v>
      </c>
      <c r="GU145" t="s">
        <v>3</v>
      </c>
      <c r="GV145">
        <f t="shared" si="275"/>
        <v>0</v>
      </c>
      <c r="GW145">
        <v>1</v>
      </c>
      <c r="GX145">
        <f t="shared" si="276"/>
        <v>0</v>
      </c>
      <c r="HA145">
        <v>0</v>
      </c>
      <c r="HB145">
        <v>0</v>
      </c>
      <c r="HC145">
        <f t="shared" si="277"/>
        <v>0</v>
      </c>
      <c r="HE145" t="s">
        <v>3</v>
      </c>
      <c r="HF145" t="s">
        <v>3</v>
      </c>
      <c r="HM145" t="s">
        <v>3</v>
      </c>
      <c r="HN145" t="s">
        <v>494</v>
      </c>
      <c r="HO145" t="s">
        <v>495</v>
      </c>
      <c r="HP145" t="s">
        <v>492</v>
      </c>
      <c r="HQ145" t="s">
        <v>492</v>
      </c>
      <c r="IK145">
        <v>0</v>
      </c>
    </row>
    <row r="146" spans="1:245" x14ac:dyDescent="0.2">
      <c r="A146">
        <v>17</v>
      </c>
      <c r="B146">
        <v>1</v>
      </c>
      <c r="E146" t="s">
        <v>496</v>
      </c>
      <c r="F146" t="s">
        <v>46</v>
      </c>
      <c r="G146" t="s">
        <v>497</v>
      </c>
      <c r="H146" t="s">
        <v>131</v>
      </c>
      <c r="I146">
        <f>ROUND(115.2*1.1,9)</f>
        <v>126.72</v>
      </c>
      <c r="J146">
        <v>0</v>
      </c>
      <c r="K146">
        <f>ROUND(115.2*1.1,9)</f>
        <v>126.72</v>
      </c>
      <c r="O146">
        <f t="shared" si="246"/>
        <v>14701.7</v>
      </c>
      <c r="P146">
        <f t="shared" si="247"/>
        <v>14701.7</v>
      </c>
      <c r="Q146">
        <f t="shared" si="248"/>
        <v>0</v>
      </c>
      <c r="R146">
        <f t="shared" si="249"/>
        <v>0</v>
      </c>
      <c r="S146">
        <f t="shared" si="250"/>
        <v>0</v>
      </c>
      <c r="T146">
        <f t="shared" si="251"/>
        <v>0</v>
      </c>
      <c r="U146">
        <f t="shared" si="252"/>
        <v>0</v>
      </c>
      <c r="V146">
        <f t="shared" si="253"/>
        <v>0</v>
      </c>
      <c r="W146">
        <f t="shared" si="254"/>
        <v>0</v>
      </c>
      <c r="X146">
        <f t="shared" si="255"/>
        <v>0</v>
      </c>
      <c r="Y146">
        <f t="shared" si="256"/>
        <v>0</v>
      </c>
      <c r="AA146">
        <v>145033679</v>
      </c>
      <c r="AB146">
        <f t="shared" si="257"/>
        <v>13.32</v>
      </c>
      <c r="AC146">
        <f t="shared" si="258"/>
        <v>13.32</v>
      </c>
      <c r="AD146">
        <f>ROUND((((ET146)-(EU146))+AE146),2)</f>
        <v>0</v>
      </c>
      <c r="AE146">
        <f>ROUND((EU146),2)</f>
        <v>0</v>
      </c>
      <c r="AF146">
        <f>ROUND((EV146),2)</f>
        <v>0</v>
      </c>
      <c r="AG146">
        <f t="shared" si="259"/>
        <v>0</v>
      </c>
      <c r="AH146">
        <f>(EW146)</f>
        <v>0</v>
      </c>
      <c r="AI146">
        <f>(EX146)</f>
        <v>0</v>
      </c>
      <c r="AJ146">
        <f t="shared" si="260"/>
        <v>0</v>
      </c>
      <c r="AK146">
        <v>13.319999999999999</v>
      </c>
      <c r="AL146">
        <v>13.319999999999999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1</v>
      </c>
      <c r="AZ146">
        <v>1</v>
      </c>
      <c r="BA146">
        <v>1</v>
      </c>
      <c r="BB146">
        <v>1</v>
      </c>
      <c r="BC146">
        <v>8.7100000000000009</v>
      </c>
      <c r="BD146" t="s">
        <v>3</v>
      </c>
      <c r="BE146" t="s">
        <v>3</v>
      </c>
      <c r="BF146" t="s">
        <v>3</v>
      </c>
      <c r="BG146" t="s">
        <v>3</v>
      </c>
      <c r="BH146">
        <v>3</v>
      </c>
      <c r="BI146">
        <v>1</v>
      </c>
      <c r="BJ146" t="s">
        <v>3</v>
      </c>
      <c r="BM146">
        <v>1100</v>
      </c>
      <c r="BN146">
        <v>0</v>
      </c>
      <c r="BO146" t="s">
        <v>3</v>
      </c>
      <c r="BP146">
        <v>0</v>
      </c>
      <c r="BQ146">
        <v>8</v>
      </c>
      <c r="BR146">
        <v>0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0</v>
      </c>
      <c r="CA146">
        <v>0</v>
      </c>
      <c r="CB146" t="s">
        <v>3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261"/>
        <v>14701.7</v>
      </c>
      <c r="CQ146">
        <f t="shared" si="262"/>
        <v>116.01720000000002</v>
      </c>
      <c r="CR146">
        <f>(((ET146)*BB146-(EU146)*BS146)+AE146*BS146)</f>
        <v>0</v>
      </c>
      <c r="CS146">
        <f t="shared" si="263"/>
        <v>0</v>
      </c>
      <c r="CT146">
        <f t="shared" si="264"/>
        <v>0</v>
      </c>
      <c r="CU146">
        <f t="shared" si="265"/>
        <v>0</v>
      </c>
      <c r="CV146">
        <f t="shared" si="266"/>
        <v>0</v>
      </c>
      <c r="CW146">
        <f t="shared" si="267"/>
        <v>0</v>
      </c>
      <c r="CX146">
        <f t="shared" si="268"/>
        <v>0</v>
      </c>
      <c r="CY146">
        <f t="shared" si="269"/>
        <v>0</v>
      </c>
      <c r="CZ146">
        <f t="shared" si="270"/>
        <v>0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1005</v>
      </c>
      <c r="DV146" t="s">
        <v>131</v>
      </c>
      <c r="DW146" t="s">
        <v>131</v>
      </c>
      <c r="DX146">
        <v>1</v>
      </c>
      <c r="DZ146" t="s">
        <v>3</v>
      </c>
      <c r="EA146" t="s">
        <v>3</v>
      </c>
      <c r="EB146" t="s">
        <v>3</v>
      </c>
      <c r="EC146" t="s">
        <v>3</v>
      </c>
      <c r="EE146">
        <v>140625274</v>
      </c>
      <c r="EF146">
        <v>8</v>
      </c>
      <c r="EG146" t="s">
        <v>48</v>
      </c>
      <c r="EH146">
        <v>0</v>
      </c>
      <c r="EI146" t="s">
        <v>3</v>
      </c>
      <c r="EJ146">
        <v>1</v>
      </c>
      <c r="EK146">
        <v>1100</v>
      </c>
      <c r="EL146" t="s">
        <v>49</v>
      </c>
      <c r="EM146" t="s">
        <v>50</v>
      </c>
      <c r="EO146" t="s">
        <v>3</v>
      </c>
      <c r="EQ146">
        <v>0</v>
      </c>
      <c r="ER146">
        <v>13.319999999999999</v>
      </c>
      <c r="ES146">
        <v>13.319999999999999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5</v>
      </c>
      <c r="FC146">
        <v>1</v>
      </c>
      <c r="FD146">
        <v>18</v>
      </c>
      <c r="FF146">
        <v>130</v>
      </c>
      <c r="FQ146">
        <v>0</v>
      </c>
      <c r="FR146">
        <f t="shared" si="244"/>
        <v>0</v>
      </c>
      <c r="FS146">
        <v>0</v>
      </c>
      <c r="FX146">
        <v>0</v>
      </c>
      <c r="FY146">
        <v>0</v>
      </c>
      <c r="GA146" t="s">
        <v>498</v>
      </c>
      <c r="GD146">
        <v>1</v>
      </c>
      <c r="GF146">
        <v>1474205792</v>
      </c>
      <c r="GG146">
        <v>2</v>
      </c>
      <c r="GH146">
        <v>3</v>
      </c>
      <c r="GI146">
        <v>4</v>
      </c>
      <c r="GJ146">
        <v>0</v>
      </c>
      <c r="GK146">
        <v>0</v>
      </c>
      <c r="GL146">
        <f t="shared" si="245"/>
        <v>0</v>
      </c>
      <c r="GM146">
        <f t="shared" si="271"/>
        <v>14701.7</v>
      </c>
      <c r="GN146">
        <f t="shared" si="272"/>
        <v>14701.7</v>
      </c>
      <c r="GO146">
        <f t="shared" si="273"/>
        <v>0</v>
      </c>
      <c r="GP146">
        <f t="shared" si="274"/>
        <v>0</v>
      </c>
      <c r="GR146">
        <v>1</v>
      </c>
      <c r="GS146">
        <v>1</v>
      </c>
      <c r="GT146">
        <v>0</v>
      </c>
      <c r="GU146" t="s">
        <v>3</v>
      </c>
      <c r="GV146">
        <f t="shared" si="275"/>
        <v>0</v>
      </c>
      <c r="GW146">
        <v>1</v>
      </c>
      <c r="GX146">
        <f t="shared" si="276"/>
        <v>0</v>
      </c>
      <c r="HA146">
        <v>0</v>
      </c>
      <c r="HB146">
        <v>0</v>
      </c>
      <c r="HC146">
        <f t="shared" si="277"/>
        <v>0</v>
      </c>
      <c r="HE146" t="s">
        <v>52</v>
      </c>
      <c r="HF146" t="s">
        <v>29</v>
      </c>
      <c r="HM146" t="s">
        <v>3</v>
      </c>
      <c r="HN146" t="s">
        <v>3</v>
      </c>
      <c r="HO146" t="s">
        <v>3</v>
      </c>
      <c r="HP146" t="s">
        <v>3</v>
      </c>
      <c r="HQ146" t="s">
        <v>3</v>
      </c>
      <c r="IK146">
        <v>0</v>
      </c>
    </row>
    <row r="147" spans="1:245" x14ac:dyDescent="0.2">
      <c r="A147">
        <v>17</v>
      </c>
      <c r="B147">
        <v>1</v>
      </c>
      <c r="C147">
        <f>ROW(SmtRes!A350)</f>
        <v>350</v>
      </c>
      <c r="D147">
        <f>ROW(EtalonRes!A350)</f>
        <v>350</v>
      </c>
      <c r="E147" t="s">
        <v>499</v>
      </c>
      <c r="F147" t="s">
        <v>500</v>
      </c>
      <c r="G147" t="s">
        <v>501</v>
      </c>
      <c r="H147" t="s">
        <v>461</v>
      </c>
      <c r="I147">
        <f>ROUND(115.2*0.12/100,9)</f>
        <v>0.13824</v>
      </c>
      <c r="J147">
        <v>0</v>
      </c>
      <c r="K147">
        <f>ROUND(115.2*0.12/100,9)</f>
        <v>0.13824</v>
      </c>
      <c r="O147">
        <f t="shared" si="246"/>
        <v>10749.08</v>
      </c>
      <c r="P147">
        <f t="shared" si="247"/>
        <v>1094.83</v>
      </c>
      <c r="Q147">
        <f t="shared" si="248"/>
        <v>3774.94</v>
      </c>
      <c r="R147">
        <f t="shared" si="249"/>
        <v>1483.18</v>
      </c>
      <c r="S147">
        <f t="shared" si="250"/>
        <v>5879.31</v>
      </c>
      <c r="T147">
        <f t="shared" si="251"/>
        <v>0</v>
      </c>
      <c r="U147">
        <f t="shared" si="252"/>
        <v>24.681024000000001</v>
      </c>
      <c r="V147">
        <f t="shared" si="253"/>
        <v>3.6008064000000002</v>
      </c>
      <c r="W147">
        <f t="shared" si="254"/>
        <v>0</v>
      </c>
      <c r="X147">
        <f t="shared" si="255"/>
        <v>7509.74</v>
      </c>
      <c r="Y147">
        <f t="shared" si="256"/>
        <v>3629.71</v>
      </c>
      <c r="AA147">
        <v>145033679</v>
      </c>
      <c r="AB147">
        <f t="shared" si="257"/>
        <v>4553.07</v>
      </c>
      <c r="AC147">
        <f t="shared" si="258"/>
        <v>909.27</v>
      </c>
      <c r="AD147">
        <f>ROUND((((((ET147*1.25)*1.15))-(((EU147*1.25)*1.15)))+AE147),2)</f>
        <v>2251.21</v>
      </c>
      <c r="AE147">
        <f>ROUND((((EU147*1.25)*1.15)),2)</f>
        <v>351.31</v>
      </c>
      <c r="AF147">
        <f>ROUND((((EV147*1.15)*1.15)),2)</f>
        <v>1392.59</v>
      </c>
      <c r="AG147">
        <f t="shared" si="259"/>
        <v>0</v>
      </c>
      <c r="AH147">
        <f>(((EW147*1.15)*1.15))</f>
        <v>178.53749999999999</v>
      </c>
      <c r="AI147">
        <f>(((EX147*1.25)*1.15))</f>
        <v>26.047499999999999</v>
      </c>
      <c r="AJ147">
        <f t="shared" si="260"/>
        <v>0</v>
      </c>
      <c r="AK147">
        <v>3528.33</v>
      </c>
      <c r="AL147">
        <v>909.27</v>
      </c>
      <c r="AM147">
        <v>1566.06</v>
      </c>
      <c r="AN147">
        <v>244.39</v>
      </c>
      <c r="AO147">
        <v>1053</v>
      </c>
      <c r="AP147">
        <v>0</v>
      </c>
      <c r="AQ147">
        <v>135</v>
      </c>
      <c r="AR147">
        <v>18.12</v>
      </c>
      <c r="AS147">
        <v>0</v>
      </c>
      <c r="AT147">
        <v>102</v>
      </c>
      <c r="AU147">
        <v>49.3</v>
      </c>
      <c r="AV147">
        <v>1</v>
      </c>
      <c r="AW147">
        <v>1</v>
      </c>
      <c r="AZ147">
        <v>1</v>
      </c>
      <c r="BA147">
        <v>30.54</v>
      </c>
      <c r="BB147">
        <v>12.13</v>
      </c>
      <c r="BC147">
        <v>8.7100000000000009</v>
      </c>
      <c r="BD147" t="s">
        <v>3</v>
      </c>
      <c r="BE147" t="s">
        <v>3</v>
      </c>
      <c r="BF147" t="s">
        <v>3</v>
      </c>
      <c r="BG147" t="s">
        <v>3</v>
      </c>
      <c r="BH147">
        <v>0</v>
      </c>
      <c r="BI147">
        <v>1</v>
      </c>
      <c r="BJ147" t="s">
        <v>502</v>
      </c>
      <c r="BM147">
        <v>6001</v>
      </c>
      <c r="BN147">
        <v>0</v>
      </c>
      <c r="BO147" t="s">
        <v>3</v>
      </c>
      <c r="BP147">
        <v>0</v>
      </c>
      <c r="BQ147">
        <v>2</v>
      </c>
      <c r="BR147">
        <v>0</v>
      </c>
      <c r="BS147">
        <v>30.54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102</v>
      </c>
      <c r="CA147">
        <v>58</v>
      </c>
      <c r="CB147" t="s">
        <v>3</v>
      </c>
      <c r="CE147">
        <v>0</v>
      </c>
      <c r="CF147">
        <v>0</v>
      </c>
      <c r="CG147">
        <v>0</v>
      </c>
      <c r="CM147">
        <v>0</v>
      </c>
      <c r="CN147" t="s">
        <v>1104</v>
      </c>
      <c r="CO147">
        <v>0</v>
      </c>
      <c r="CP147">
        <f t="shared" si="261"/>
        <v>10749.080000000002</v>
      </c>
      <c r="CQ147">
        <f t="shared" si="262"/>
        <v>7919.7417000000005</v>
      </c>
      <c r="CR147">
        <f>(((((ET147*1.25)*1.15))*BB147-(((EU147*1.25)*1.15))*BS147)+AE147*BS147)</f>
        <v>27307.173375000006</v>
      </c>
      <c r="CS147">
        <f t="shared" si="263"/>
        <v>10729.0074</v>
      </c>
      <c r="CT147">
        <f t="shared" si="264"/>
        <v>42529.698599999996</v>
      </c>
      <c r="CU147">
        <f t="shared" si="265"/>
        <v>0</v>
      </c>
      <c r="CV147">
        <f t="shared" si="266"/>
        <v>178.53749999999999</v>
      </c>
      <c r="CW147">
        <f t="shared" si="267"/>
        <v>26.047499999999999</v>
      </c>
      <c r="CX147">
        <f t="shared" si="268"/>
        <v>0</v>
      </c>
      <c r="CY147">
        <f t="shared" si="269"/>
        <v>7509.7398000000012</v>
      </c>
      <c r="CZ147">
        <f t="shared" si="270"/>
        <v>3629.7075700000005</v>
      </c>
      <c r="DC147" t="s">
        <v>3</v>
      </c>
      <c r="DD147" t="s">
        <v>3</v>
      </c>
      <c r="DE147" t="s">
        <v>90</v>
      </c>
      <c r="DF147" t="s">
        <v>90</v>
      </c>
      <c r="DG147" t="s">
        <v>91</v>
      </c>
      <c r="DH147" t="s">
        <v>3</v>
      </c>
      <c r="DI147" t="s">
        <v>91</v>
      </c>
      <c r="DJ147" t="s">
        <v>90</v>
      </c>
      <c r="DK147" t="s">
        <v>3</v>
      </c>
      <c r="DL147" t="s">
        <v>3</v>
      </c>
      <c r="DM147" t="s">
        <v>92</v>
      </c>
      <c r="DN147">
        <v>0</v>
      </c>
      <c r="DO147">
        <v>0</v>
      </c>
      <c r="DP147">
        <v>1</v>
      </c>
      <c r="DQ147">
        <v>1</v>
      </c>
      <c r="DU147">
        <v>1007</v>
      </c>
      <c r="DV147" t="s">
        <v>461</v>
      </c>
      <c r="DW147" t="s">
        <v>461</v>
      </c>
      <c r="DX147">
        <v>100</v>
      </c>
      <c r="DZ147" t="s">
        <v>3</v>
      </c>
      <c r="EA147" t="s">
        <v>3</v>
      </c>
      <c r="EB147" t="s">
        <v>3</v>
      </c>
      <c r="EC147" t="s">
        <v>3</v>
      </c>
      <c r="EE147">
        <v>140625009</v>
      </c>
      <c r="EF147">
        <v>2</v>
      </c>
      <c r="EG147" t="s">
        <v>22</v>
      </c>
      <c r="EH147">
        <v>6</v>
      </c>
      <c r="EI147" t="s">
        <v>492</v>
      </c>
      <c r="EJ147">
        <v>1</v>
      </c>
      <c r="EK147">
        <v>6001</v>
      </c>
      <c r="EL147" t="s">
        <v>492</v>
      </c>
      <c r="EM147" t="s">
        <v>493</v>
      </c>
      <c r="EO147" t="s">
        <v>95</v>
      </c>
      <c r="EQ147">
        <v>0</v>
      </c>
      <c r="ER147">
        <v>3528.33</v>
      </c>
      <c r="ES147">
        <v>909.27</v>
      </c>
      <c r="ET147">
        <v>1566.06</v>
      </c>
      <c r="EU147">
        <v>244.39</v>
      </c>
      <c r="EV147">
        <v>1053</v>
      </c>
      <c r="EW147">
        <v>135</v>
      </c>
      <c r="EX147">
        <v>18.12</v>
      </c>
      <c r="EY147">
        <v>0</v>
      </c>
      <c r="FQ147">
        <v>0</v>
      </c>
      <c r="FR147">
        <f t="shared" si="244"/>
        <v>0</v>
      </c>
      <c r="FS147">
        <v>0</v>
      </c>
      <c r="FX147">
        <v>102</v>
      </c>
      <c r="FY147">
        <v>49.3</v>
      </c>
      <c r="GA147" t="s">
        <v>3</v>
      </c>
      <c r="GD147">
        <v>1</v>
      </c>
      <c r="GF147">
        <v>2073913559</v>
      </c>
      <c r="GG147">
        <v>2</v>
      </c>
      <c r="GH147">
        <v>1</v>
      </c>
      <c r="GI147">
        <v>4</v>
      </c>
      <c r="GJ147">
        <v>0</v>
      </c>
      <c r="GK147">
        <v>0</v>
      </c>
      <c r="GL147">
        <f t="shared" si="245"/>
        <v>0</v>
      </c>
      <c r="GM147">
        <f t="shared" si="271"/>
        <v>21888.53</v>
      </c>
      <c r="GN147">
        <f t="shared" si="272"/>
        <v>21888.53</v>
      </c>
      <c r="GO147">
        <f t="shared" si="273"/>
        <v>0</v>
      </c>
      <c r="GP147">
        <f t="shared" si="274"/>
        <v>0</v>
      </c>
      <c r="GR147">
        <v>0</v>
      </c>
      <c r="GS147">
        <v>3</v>
      </c>
      <c r="GT147">
        <v>0</v>
      </c>
      <c r="GU147" t="s">
        <v>3</v>
      </c>
      <c r="GV147">
        <f t="shared" si="275"/>
        <v>0</v>
      </c>
      <c r="GW147">
        <v>1</v>
      </c>
      <c r="GX147">
        <f t="shared" si="276"/>
        <v>0</v>
      </c>
      <c r="HA147">
        <v>0</v>
      </c>
      <c r="HB147">
        <v>0</v>
      </c>
      <c r="HC147">
        <f t="shared" si="277"/>
        <v>0</v>
      </c>
      <c r="HE147" t="s">
        <v>3</v>
      </c>
      <c r="HF147" t="s">
        <v>3</v>
      </c>
      <c r="HM147" t="s">
        <v>3</v>
      </c>
      <c r="HN147" t="s">
        <v>494</v>
      </c>
      <c r="HO147" t="s">
        <v>495</v>
      </c>
      <c r="HP147" t="s">
        <v>492</v>
      </c>
      <c r="HQ147" t="s">
        <v>492</v>
      </c>
      <c r="IK147">
        <v>0</v>
      </c>
    </row>
    <row r="148" spans="1:245" x14ac:dyDescent="0.2">
      <c r="A148">
        <v>17</v>
      </c>
      <c r="B148">
        <v>1</v>
      </c>
      <c r="E148" t="s">
        <v>503</v>
      </c>
      <c r="F148" t="s">
        <v>46</v>
      </c>
      <c r="G148" t="s">
        <v>504</v>
      </c>
      <c r="H148" t="s">
        <v>66</v>
      </c>
      <c r="I148">
        <f>ROUND(I147*102,9)</f>
        <v>14.100479999999999</v>
      </c>
      <c r="J148">
        <v>0</v>
      </c>
      <c r="K148">
        <f>ROUND(I147*102,9)</f>
        <v>14.100479999999999</v>
      </c>
      <c r="O148">
        <f t="shared" si="246"/>
        <v>51114.45</v>
      </c>
      <c r="P148">
        <f t="shared" si="247"/>
        <v>51114.45</v>
      </c>
      <c r="Q148">
        <f t="shared" si="248"/>
        <v>0</v>
      </c>
      <c r="R148">
        <f t="shared" si="249"/>
        <v>0</v>
      </c>
      <c r="S148">
        <f t="shared" si="250"/>
        <v>0</v>
      </c>
      <c r="T148">
        <f t="shared" si="251"/>
        <v>0</v>
      </c>
      <c r="U148">
        <f t="shared" si="252"/>
        <v>0</v>
      </c>
      <c r="V148">
        <f t="shared" si="253"/>
        <v>0</v>
      </c>
      <c r="W148">
        <f t="shared" si="254"/>
        <v>0</v>
      </c>
      <c r="X148">
        <f t="shared" si="255"/>
        <v>0</v>
      </c>
      <c r="Y148">
        <f t="shared" si="256"/>
        <v>0</v>
      </c>
      <c r="AA148">
        <v>145033679</v>
      </c>
      <c r="AB148">
        <f t="shared" si="257"/>
        <v>416.19</v>
      </c>
      <c r="AC148">
        <f t="shared" si="258"/>
        <v>416.19</v>
      </c>
      <c r="AD148">
        <f>ROUND((((ET148)-(EU148))+AE148),2)</f>
        <v>0</v>
      </c>
      <c r="AE148">
        <f t="shared" ref="AE148:AF150" si="278">ROUND((EU148),2)</f>
        <v>0</v>
      </c>
      <c r="AF148">
        <f t="shared" si="278"/>
        <v>0</v>
      </c>
      <c r="AG148">
        <f t="shared" si="259"/>
        <v>0</v>
      </c>
      <c r="AH148">
        <f t="shared" ref="AH148:AI150" si="279">(EW148)</f>
        <v>0</v>
      </c>
      <c r="AI148">
        <f t="shared" si="279"/>
        <v>0</v>
      </c>
      <c r="AJ148">
        <f t="shared" si="260"/>
        <v>0</v>
      </c>
      <c r="AK148">
        <v>416.19</v>
      </c>
      <c r="AL148">
        <v>416.19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1</v>
      </c>
      <c r="AZ148">
        <v>1</v>
      </c>
      <c r="BA148">
        <v>1</v>
      </c>
      <c r="BB148">
        <v>1</v>
      </c>
      <c r="BC148">
        <v>8.7100000000000009</v>
      </c>
      <c r="BD148" t="s">
        <v>3</v>
      </c>
      <c r="BE148" t="s">
        <v>3</v>
      </c>
      <c r="BF148" t="s">
        <v>3</v>
      </c>
      <c r="BG148" t="s">
        <v>3</v>
      </c>
      <c r="BH148">
        <v>3</v>
      </c>
      <c r="BI148">
        <v>1</v>
      </c>
      <c r="BJ148" t="s">
        <v>3</v>
      </c>
      <c r="BM148">
        <v>1100</v>
      </c>
      <c r="BN148">
        <v>0</v>
      </c>
      <c r="BO148" t="s">
        <v>3</v>
      </c>
      <c r="BP148">
        <v>0</v>
      </c>
      <c r="BQ148">
        <v>8</v>
      </c>
      <c r="BR148">
        <v>0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0</v>
      </c>
      <c r="CA148">
        <v>0</v>
      </c>
      <c r="CB148" t="s">
        <v>3</v>
      </c>
      <c r="CE148">
        <v>0</v>
      </c>
      <c r="CF148">
        <v>0</v>
      </c>
      <c r="CG148">
        <v>0</v>
      </c>
      <c r="CM148">
        <v>0</v>
      </c>
      <c r="CN148" t="s">
        <v>3</v>
      </c>
      <c r="CO148">
        <v>0</v>
      </c>
      <c r="CP148">
        <f t="shared" si="261"/>
        <v>51114.45</v>
      </c>
      <c r="CQ148">
        <f t="shared" si="262"/>
        <v>3625.0149000000001</v>
      </c>
      <c r="CR148">
        <f>(((ET148)*BB148-(EU148)*BS148)+AE148*BS148)</f>
        <v>0</v>
      </c>
      <c r="CS148">
        <f t="shared" si="263"/>
        <v>0</v>
      </c>
      <c r="CT148">
        <f t="shared" si="264"/>
        <v>0</v>
      </c>
      <c r="CU148">
        <f t="shared" si="265"/>
        <v>0</v>
      </c>
      <c r="CV148">
        <f t="shared" si="266"/>
        <v>0</v>
      </c>
      <c r="CW148">
        <f t="shared" si="267"/>
        <v>0</v>
      </c>
      <c r="CX148">
        <f t="shared" si="268"/>
        <v>0</v>
      </c>
      <c r="CY148">
        <f t="shared" si="269"/>
        <v>0</v>
      </c>
      <c r="CZ148">
        <f t="shared" si="270"/>
        <v>0</v>
      </c>
      <c r="DC148" t="s">
        <v>3</v>
      </c>
      <c r="DD148" t="s">
        <v>3</v>
      </c>
      <c r="DE148" t="s">
        <v>3</v>
      </c>
      <c r="DF148" t="s">
        <v>3</v>
      </c>
      <c r="DG148" t="s">
        <v>3</v>
      </c>
      <c r="DH148" t="s">
        <v>3</v>
      </c>
      <c r="DI148" t="s">
        <v>3</v>
      </c>
      <c r="DJ148" t="s">
        <v>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1007</v>
      </c>
      <c r="DV148" t="s">
        <v>66</v>
      </c>
      <c r="DW148" t="s">
        <v>66</v>
      </c>
      <c r="DX148">
        <v>1</v>
      </c>
      <c r="DZ148" t="s">
        <v>3</v>
      </c>
      <c r="EA148" t="s">
        <v>3</v>
      </c>
      <c r="EB148" t="s">
        <v>3</v>
      </c>
      <c r="EC148" t="s">
        <v>3</v>
      </c>
      <c r="EE148">
        <v>140625274</v>
      </c>
      <c r="EF148">
        <v>8</v>
      </c>
      <c r="EG148" t="s">
        <v>48</v>
      </c>
      <c r="EH148">
        <v>0</v>
      </c>
      <c r="EI148" t="s">
        <v>3</v>
      </c>
      <c r="EJ148">
        <v>1</v>
      </c>
      <c r="EK148">
        <v>1100</v>
      </c>
      <c r="EL148" t="s">
        <v>49</v>
      </c>
      <c r="EM148" t="s">
        <v>50</v>
      </c>
      <c r="EO148" t="s">
        <v>3</v>
      </c>
      <c r="EQ148">
        <v>0</v>
      </c>
      <c r="ER148">
        <v>416.19</v>
      </c>
      <c r="ES148">
        <v>416.19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5</v>
      </c>
      <c r="FC148">
        <v>1</v>
      </c>
      <c r="FD148">
        <v>18</v>
      </c>
      <c r="FF148">
        <v>4350</v>
      </c>
      <c r="FQ148">
        <v>0</v>
      </c>
      <c r="FR148">
        <f t="shared" si="244"/>
        <v>0</v>
      </c>
      <c r="FS148">
        <v>0</v>
      </c>
      <c r="FX148">
        <v>0</v>
      </c>
      <c r="FY148">
        <v>0</v>
      </c>
      <c r="GA148" t="s">
        <v>505</v>
      </c>
      <c r="GD148">
        <v>1</v>
      </c>
      <c r="GF148">
        <v>-1177514486</v>
      </c>
      <c r="GG148">
        <v>2</v>
      </c>
      <c r="GH148">
        <v>3</v>
      </c>
      <c r="GI148">
        <v>4</v>
      </c>
      <c r="GJ148">
        <v>0</v>
      </c>
      <c r="GK148">
        <v>0</v>
      </c>
      <c r="GL148">
        <f t="shared" si="245"/>
        <v>0</v>
      </c>
      <c r="GM148">
        <f t="shared" si="271"/>
        <v>51114.45</v>
      </c>
      <c r="GN148">
        <f t="shared" si="272"/>
        <v>51114.45</v>
      </c>
      <c r="GO148">
        <f t="shared" si="273"/>
        <v>0</v>
      </c>
      <c r="GP148">
        <f t="shared" si="274"/>
        <v>0</v>
      </c>
      <c r="GR148">
        <v>1</v>
      </c>
      <c r="GS148">
        <v>1</v>
      </c>
      <c r="GT148">
        <v>0</v>
      </c>
      <c r="GU148" t="s">
        <v>3</v>
      </c>
      <c r="GV148">
        <f t="shared" si="275"/>
        <v>0</v>
      </c>
      <c r="GW148">
        <v>1</v>
      </c>
      <c r="GX148">
        <f t="shared" si="276"/>
        <v>0</v>
      </c>
      <c r="HA148">
        <v>0</v>
      </c>
      <c r="HB148">
        <v>0</v>
      </c>
      <c r="HC148">
        <f t="shared" si="277"/>
        <v>0</v>
      </c>
      <c r="HE148" t="s">
        <v>258</v>
      </c>
      <c r="HF148" t="s">
        <v>258</v>
      </c>
      <c r="HM148" t="s">
        <v>3</v>
      </c>
      <c r="HN148" t="s">
        <v>3</v>
      </c>
      <c r="HO148" t="s">
        <v>3</v>
      </c>
      <c r="HP148" t="s">
        <v>3</v>
      </c>
      <c r="HQ148" t="s">
        <v>3</v>
      </c>
      <c r="IK148">
        <v>0</v>
      </c>
    </row>
    <row r="149" spans="1:245" x14ac:dyDescent="0.2">
      <c r="A149">
        <v>17</v>
      </c>
      <c r="B149">
        <v>1</v>
      </c>
      <c r="E149" t="s">
        <v>506</v>
      </c>
      <c r="F149" t="s">
        <v>46</v>
      </c>
      <c r="G149" t="s">
        <v>507</v>
      </c>
      <c r="H149" t="s">
        <v>66</v>
      </c>
      <c r="I149">
        <v>0.1128</v>
      </c>
      <c r="J149">
        <v>0</v>
      </c>
      <c r="K149">
        <v>0.1128</v>
      </c>
      <c r="O149">
        <f t="shared" si="246"/>
        <v>1610.79</v>
      </c>
      <c r="P149">
        <f t="shared" si="247"/>
        <v>1610.79</v>
      </c>
      <c r="Q149">
        <f t="shared" si="248"/>
        <v>0</v>
      </c>
      <c r="R149">
        <f t="shared" si="249"/>
        <v>0</v>
      </c>
      <c r="S149">
        <f t="shared" si="250"/>
        <v>0</v>
      </c>
      <c r="T149">
        <f t="shared" si="251"/>
        <v>0</v>
      </c>
      <c r="U149">
        <f t="shared" si="252"/>
        <v>0</v>
      </c>
      <c r="V149">
        <f t="shared" si="253"/>
        <v>0</v>
      </c>
      <c r="W149">
        <f t="shared" si="254"/>
        <v>0</v>
      </c>
      <c r="X149">
        <f t="shared" si="255"/>
        <v>0</v>
      </c>
      <c r="Y149">
        <f t="shared" si="256"/>
        <v>0</v>
      </c>
      <c r="AA149">
        <v>145033679</v>
      </c>
      <c r="AB149">
        <f t="shared" si="257"/>
        <v>1639.5</v>
      </c>
      <c r="AC149">
        <f t="shared" si="258"/>
        <v>1639.5</v>
      </c>
      <c r="AD149">
        <f>ROUND((((ET149)-(EU149))+AE149),2)</f>
        <v>0</v>
      </c>
      <c r="AE149">
        <f t="shared" si="278"/>
        <v>0</v>
      </c>
      <c r="AF149">
        <f t="shared" si="278"/>
        <v>0</v>
      </c>
      <c r="AG149">
        <f t="shared" si="259"/>
        <v>0</v>
      </c>
      <c r="AH149">
        <f t="shared" si="279"/>
        <v>0</v>
      </c>
      <c r="AI149">
        <f t="shared" si="279"/>
        <v>0</v>
      </c>
      <c r="AJ149">
        <f t="shared" si="260"/>
        <v>0</v>
      </c>
      <c r="AK149">
        <v>1639.5</v>
      </c>
      <c r="AL149">
        <v>1639.5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8.7100000000000009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1</v>
      </c>
      <c r="BJ149" t="s">
        <v>3</v>
      </c>
      <c r="BM149">
        <v>1100</v>
      </c>
      <c r="BN149">
        <v>0</v>
      </c>
      <c r="BO149" t="s">
        <v>3</v>
      </c>
      <c r="BP149">
        <v>0</v>
      </c>
      <c r="BQ149">
        <v>8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B149" t="s">
        <v>3</v>
      </c>
      <c r="CE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261"/>
        <v>1610.79</v>
      </c>
      <c r="CQ149">
        <f t="shared" si="262"/>
        <v>14280.045000000002</v>
      </c>
      <c r="CR149">
        <f>(((ET149)*BB149-(EU149)*BS149)+AE149*BS149)</f>
        <v>0</v>
      </c>
      <c r="CS149">
        <f t="shared" si="263"/>
        <v>0</v>
      </c>
      <c r="CT149">
        <f t="shared" si="264"/>
        <v>0</v>
      </c>
      <c r="CU149">
        <f t="shared" si="265"/>
        <v>0</v>
      </c>
      <c r="CV149">
        <f t="shared" si="266"/>
        <v>0</v>
      </c>
      <c r="CW149">
        <f t="shared" si="267"/>
        <v>0</v>
      </c>
      <c r="CX149">
        <f t="shared" si="268"/>
        <v>0</v>
      </c>
      <c r="CY149">
        <f t="shared" si="269"/>
        <v>0</v>
      </c>
      <c r="CZ149">
        <f t="shared" si="270"/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1007</v>
      </c>
      <c r="DV149" t="s">
        <v>66</v>
      </c>
      <c r="DW149" t="s">
        <v>66</v>
      </c>
      <c r="DX149">
        <v>1</v>
      </c>
      <c r="DZ149" t="s">
        <v>3</v>
      </c>
      <c r="EA149" t="s">
        <v>3</v>
      </c>
      <c r="EB149" t="s">
        <v>3</v>
      </c>
      <c r="EC149" t="s">
        <v>3</v>
      </c>
      <c r="EE149">
        <v>140625274</v>
      </c>
      <c r="EF149">
        <v>8</v>
      </c>
      <c r="EG149" t="s">
        <v>48</v>
      </c>
      <c r="EH149">
        <v>0</v>
      </c>
      <c r="EI149" t="s">
        <v>3</v>
      </c>
      <c r="EJ149">
        <v>1</v>
      </c>
      <c r="EK149">
        <v>1100</v>
      </c>
      <c r="EL149" t="s">
        <v>49</v>
      </c>
      <c r="EM149" t="s">
        <v>50</v>
      </c>
      <c r="EO149" t="s">
        <v>3</v>
      </c>
      <c r="EQ149">
        <v>0</v>
      </c>
      <c r="ER149">
        <v>1639.5</v>
      </c>
      <c r="ES149">
        <v>1639.5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5</v>
      </c>
      <c r="FC149">
        <v>1</v>
      </c>
      <c r="FD149">
        <v>18</v>
      </c>
      <c r="FF149">
        <v>16000</v>
      </c>
      <c r="FQ149">
        <v>0</v>
      </c>
      <c r="FR149">
        <f t="shared" si="244"/>
        <v>0</v>
      </c>
      <c r="FS149">
        <v>0</v>
      </c>
      <c r="FX149">
        <v>0</v>
      </c>
      <c r="FY149">
        <v>0</v>
      </c>
      <c r="GA149" t="s">
        <v>508</v>
      </c>
      <c r="GD149">
        <v>1</v>
      </c>
      <c r="GF149">
        <v>364305302</v>
      </c>
      <c r="GG149">
        <v>2</v>
      </c>
      <c r="GH149">
        <v>3</v>
      </c>
      <c r="GI149">
        <v>4</v>
      </c>
      <c r="GJ149">
        <v>0</v>
      </c>
      <c r="GK149">
        <v>0</v>
      </c>
      <c r="GL149">
        <f t="shared" si="245"/>
        <v>0</v>
      </c>
      <c r="GM149">
        <f t="shared" si="271"/>
        <v>1610.79</v>
      </c>
      <c r="GN149">
        <f t="shared" si="272"/>
        <v>1610.79</v>
      </c>
      <c r="GO149">
        <f t="shared" si="273"/>
        <v>0</v>
      </c>
      <c r="GP149">
        <f t="shared" si="274"/>
        <v>0</v>
      </c>
      <c r="GR149">
        <v>1</v>
      </c>
      <c r="GS149">
        <v>1</v>
      </c>
      <c r="GT149">
        <v>0</v>
      </c>
      <c r="GU149" t="s">
        <v>3</v>
      </c>
      <c r="GV149">
        <f t="shared" si="275"/>
        <v>0</v>
      </c>
      <c r="GW149">
        <v>1</v>
      </c>
      <c r="GX149">
        <f t="shared" si="276"/>
        <v>0</v>
      </c>
      <c r="HA149">
        <v>0</v>
      </c>
      <c r="HB149">
        <v>0</v>
      </c>
      <c r="HC149">
        <f t="shared" si="277"/>
        <v>0</v>
      </c>
      <c r="HE149" t="s">
        <v>52</v>
      </c>
      <c r="HF149" t="s">
        <v>29</v>
      </c>
      <c r="HM149" t="s">
        <v>3</v>
      </c>
      <c r="HN149" t="s">
        <v>3</v>
      </c>
      <c r="HO149" t="s">
        <v>3</v>
      </c>
      <c r="HP149" t="s">
        <v>3</v>
      </c>
      <c r="HQ149" t="s">
        <v>3</v>
      </c>
      <c r="IK149">
        <v>0</v>
      </c>
    </row>
    <row r="150" spans="1:245" x14ac:dyDescent="0.2">
      <c r="A150">
        <v>17</v>
      </c>
      <c r="B150">
        <v>1</v>
      </c>
      <c r="E150" t="s">
        <v>509</v>
      </c>
      <c r="F150" t="s">
        <v>46</v>
      </c>
      <c r="G150" t="s">
        <v>510</v>
      </c>
      <c r="H150" t="s">
        <v>43</v>
      </c>
      <c r="I150">
        <v>0.28199999999999997</v>
      </c>
      <c r="J150">
        <v>0</v>
      </c>
      <c r="K150">
        <v>0.28199999999999997</v>
      </c>
      <c r="O150">
        <f t="shared" si="246"/>
        <v>25.42</v>
      </c>
      <c r="P150">
        <f t="shared" si="247"/>
        <v>25.42</v>
      </c>
      <c r="Q150">
        <f t="shared" si="248"/>
        <v>0</v>
      </c>
      <c r="R150">
        <f t="shared" si="249"/>
        <v>0</v>
      </c>
      <c r="S150">
        <f t="shared" si="250"/>
        <v>0</v>
      </c>
      <c r="T150">
        <f t="shared" si="251"/>
        <v>0</v>
      </c>
      <c r="U150">
        <f t="shared" si="252"/>
        <v>0</v>
      </c>
      <c r="V150">
        <f t="shared" si="253"/>
        <v>0</v>
      </c>
      <c r="W150">
        <f t="shared" si="254"/>
        <v>0</v>
      </c>
      <c r="X150">
        <f t="shared" si="255"/>
        <v>0</v>
      </c>
      <c r="Y150">
        <f t="shared" si="256"/>
        <v>0</v>
      </c>
      <c r="AA150">
        <v>145033679</v>
      </c>
      <c r="AB150">
        <f t="shared" si="257"/>
        <v>10.35</v>
      </c>
      <c r="AC150">
        <f t="shared" si="258"/>
        <v>10.35</v>
      </c>
      <c r="AD150">
        <f>ROUND((((ET150)-(EU150))+AE150),2)</f>
        <v>0</v>
      </c>
      <c r="AE150">
        <f t="shared" si="278"/>
        <v>0</v>
      </c>
      <c r="AF150">
        <f t="shared" si="278"/>
        <v>0</v>
      </c>
      <c r="AG150">
        <f t="shared" si="259"/>
        <v>0</v>
      </c>
      <c r="AH150">
        <f t="shared" si="279"/>
        <v>0</v>
      </c>
      <c r="AI150">
        <f t="shared" si="279"/>
        <v>0</v>
      </c>
      <c r="AJ150">
        <f t="shared" si="260"/>
        <v>0</v>
      </c>
      <c r="AK150">
        <v>10.35</v>
      </c>
      <c r="AL150">
        <v>10.35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1</v>
      </c>
      <c r="AZ150">
        <v>1</v>
      </c>
      <c r="BA150">
        <v>1</v>
      </c>
      <c r="BB150">
        <v>1</v>
      </c>
      <c r="BC150">
        <v>8.7100000000000009</v>
      </c>
      <c r="BD150" t="s">
        <v>3</v>
      </c>
      <c r="BE150" t="s">
        <v>3</v>
      </c>
      <c r="BF150" t="s">
        <v>3</v>
      </c>
      <c r="BG150" t="s">
        <v>3</v>
      </c>
      <c r="BH150">
        <v>3</v>
      </c>
      <c r="BI150">
        <v>1</v>
      </c>
      <c r="BJ150" t="s">
        <v>3</v>
      </c>
      <c r="BM150">
        <v>1100</v>
      </c>
      <c r="BN150">
        <v>0</v>
      </c>
      <c r="BO150" t="s">
        <v>3</v>
      </c>
      <c r="BP150">
        <v>0</v>
      </c>
      <c r="BQ150">
        <v>8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0</v>
      </c>
      <c r="CA150">
        <v>0</v>
      </c>
      <c r="CB150" t="s">
        <v>3</v>
      </c>
      <c r="CE150">
        <v>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 t="shared" si="261"/>
        <v>25.42</v>
      </c>
      <c r="CQ150">
        <f t="shared" si="262"/>
        <v>90.148500000000013</v>
      </c>
      <c r="CR150">
        <f>(((ET150)*BB150-(EU150)*BS150)+AE150*BS150)</f>
        <v>0</v>
      </c>
      <c r="CS150">
        <f t="shared" si="263"/>
        <v>0</v>
      </c>
      <c r="CT150">
        <f t="shared" si="264"/>
        <v>0</v>
      </c>
      <c r="CU150">
        <f t="shared" si="265"/>
        <v>0</v>
      </c>
      <c r="CV150">
        <f t="shared" si="266"/>
        <v>0</v>
      </c>
      <c r="CW150">
        <f t="shared" si="267"/>
        <v>0</v>
      </c>
      <c r="CX150">
        <f t="shared" si="268"/>
        <v>0</v>
      </c>
      <c r="CY150">
        <f t="shared" si="269"/>
        <v>0</v>
      </c>
      <c r="CZ150">
        <f t="shared" si="270"/>
        <v>0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1009</v>
      </c>
      <c r="DV150" t="s">
        <v>43</v>
      </c>
      <c r="DW150" t="s">
        <v>43</v>
      </c>
      <c r="DX150">
        <v>1</v>
      </c>
      <c r="DZ150" t="s">
        <v>3</v>
      </c>
      <c r="EA150" t="s">
        <v>3</v>
      </c>
      <c r="EB150" t="s">
        <v>3</v>
      </c>
      <c r="EC150" t="s">
        <v>3</v>
      </c>
      <c r="EE150">
        <v>140625274</v>
      </c>
      <c r="EF150">
        <v>8</v>
      </c>
      <c r="EG150" t="s">
        <v>48</v>
      </c>
      <c r="EH150">
        <v>0</v>
      </c>
      <c r="EI150" t="s">
        <v>3</v>
      </c>
      <c r="EJ150">
        <v>1</v>
      </c>
      <c r="EK150">
        <v>1100</v>
      </c>
      <c r="EL150" t="s">
        <v>49</v>
      </c>
      <c r="EM150" t="s">
        <v>50</v>
      </c>
      <c r="EO150" t="s">
        <v>3</v>
      </c>
      <c r="EQ150">
        <v>0</v>
      </c>
      <c r="ER150">
        <v>10.35</v>
      </c>
      <c r="ES150">
        <v>10.35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5</v>
      </c>
      <c r="FC150">
        <v>1</v>
      </c>
      <c r="FD150">
        <v>18</v>
      </c>
      <c r="FF150">
        <v>101.04</v>
      </c>
      <c r="FQ150">
        <v>0</v>
      </c>
      <c r="FR150">
        <f t="shared" si="244"/>
        <v>0</v>
      </c>
      <c r="FS150">
        <v>0</v>
      </c>
      <c r="FX150">
        <v>0</v>
      </c>
      <c r="FY150">
        <v>0</v>
      </c>
      <c r="GA150" t="s">
        <v>511</v>
      </c>
      <c r="GD150">
        <v>1</v>
      </c>
      <c r="GF150">
        <v>1875768693</v>
      </c>
      <c r="GG150">
        <v>2</v>
      </c>
      <c r="GH150">
        <v>3</v>
      </c>
      <c r="GI150">
        <v>4</v>
      </c>
      <c r="GJ150">
        <v>0</v>
      </c>
      <c r="GK150">
        <v>0</v>
      </c>
      <c r="GL150">
        <f t="shared" si="245"/>
        <v>0</v>
      </c>
      <c r="GM150">
        <f t="shared" si="271"/>
        <v>25.42</v>
      </c>
      <c r="GN150">
        <f t="shared" si="272"/>
        <v>25.42</v>
      </c>
      <c r="GO150">
        <f t="shared" si="273"/>
        <v>0</v>
      </c>
      <c r="GP150">
        <f t="shared" si="274"/>
        <v>0</v>
      </c>
      <c r="GR150">
        <v>1</v>
      </c>
      <c r="GS150">
        <v>1</v>
      </c>
      <c r="GT150">
        <v>0</v>
      </c>
      <c r="GU150" t="s">
        <v>3</v>
      </c>
      <c r="GV150">
        <f t="shared" si="275"/>
        <v>0</v>
      </c>
      <c r="GW150">
        <v>1</v>
      </c>
      <c r="GX150">
        <f t="shared" si="276"/>
        <v>0</v>
      </c>
      <c r="HA150">
        <v>0</v>
      </c>
      <c r="HB150">
        <v>0</v>
      </c>
      <c r="HC150">
        <f t="shared" si="277"/>
        <v>0</v>
      </c>
      <c r="HE150" t="s">
        <v>52</v>
      </c>
      <c r="HF150" t="s">
        <v>29</v>
      </c>
      <c r="HM150" t="s">
        <v>3</v>
      </c>
      <c r="HN150" t="s">
        <v>3</v>
      </c>
      <c r="HO150" t="s">
        <v>3</v>
      </c>
      <c r="HP150" t="s">
        <v>3</v>
      </c>
      <c r="HQ150" t="s">
        <v>3</v>
      </c>
      <c r="IK150">
        <v>0</v>
      </c>
    </row>
    <row r="151" spans="1:245" x14ac:dyDescent="0.2">
      <c r="A151">
        <v>19</v>
      </c>
      <c r="B151">
        <v>1</v>
      </c>
      <c r="F151" t="s">
        <v>3</v>
      </c>
      <c r="G151" t="s">
        <v>512</v>
      </c>
      <c r="H151" t="s">
        <v>3</v>
      </c>
      <c r="AA151">
        <v>1</v>
      </c>
      <c r="IK151">
        <v>0</v>
      </c>
    </row>
    <row r="152" spans="1:245" x14ac:dyDescent="0.2">
      <c r="A152">
        <v>17</v>
      </c>
      <c r="B152">
        <v>1</v>
      </c>
      <c r="C152">
        <f>ROW(SmtRes!A351)</f>
        <v>351</v>
      </c>
      <c r="D152">
        <f>ROW(EtalonRes!A351)</f>
        <v>351</v>
      </c>
      <c r="E152" t="s">
        <v>513</v>
      </c>
      <c r="F152" t="s">
        <v>129</v>
      </c>
      <c r="G152" t="s">
        <v>130</v>
      </c>
      <c r="H152" t="s">
        <v>131</v>
      </c>
      <c r="I152">
        <v>20</v>
      </c>
      <c r="J152">
        <v>0</v>
      </c>
      <c r="K152">
        <v>20</v>
      </c>
      <c r="O152">
        <f t="shared" ref="O152:O158" si="280">ROUND(CP152,2)</f>
        <v>3078.43</v>
      </c>
      <c r="P152">
        <f t="shared" ref="P152:P158" si="281">ROUND(CQ152*I152,2)</f>
        <v>0</v>
      </c>
      <c r="Q152">
        <f t="shared" ref="Q152:Q158" si="282">ROUND(CR152*I152,2)</f>
        <v>0</v>
      </c>
      <c r="R152">
        <f t="shared" ref="R152:R158" si="283">ROUND(CS152*I152,2)</f>
        <v>0</v>
      </c>
      <c r="S152">
        <f t="shared" ref="S152:S158" si="284">ROUND(CT152*I152,2)</f>
        <v>3078.43</v>
      </c>
      <c r="T152">
        <f t="shared" ref="T152:T158" si="285">ROUND(CU152*I152,2)</f>
        <v>0</v>
      </c>
      <c r="U152">
        <f t="shared" ref="U152:U158" si="286">CV152*I152</f>
        <v>13.339999999999998</v>
      </c>
      <c r="V152">
        <f t="shared" ref="V152:V158" si="287">CW152*I152</f>
        <v>0</v>
      </c>
      <c r="W152">
        <f t="shared" ref="W152:W158" si="288">ROUND(CX152*I152,2)</f>
        <v>0</v>
      </c>
      <c r="X152">
        <f t="shared" ref="X152:Y158" si="289">ROUND(CY152,2)</f>
        <v>2770.59</v>
      </c>
      <c r="Y152">
        <f t="shared" si="289"/>
        <v>1416.08</v>
      </c>
      <c r="AA152">
        <v>145033679</v>
      </c>
      <c r="AB152">
        <f t="shared" ref="AB152:AB158" si="290">ROUND((AC152+AD152+AF152),2)</f>
        <v>5.04</v>
      </c>
      <c r="AC152">
        <f>ROUND((ES152),2)</f>
        <v>0</v>
      </c>
      <c r="AD152">
        <f>ROUND(((((ET152*1.15))-((EU152*1.15)))+AE152),2)</f>
        <v>0</v>
      </c>
      <c r="AE152">
        <f>ROUND(((EU152*1.15)),2)</f>
        <v>0</v>
      </c>
      <c r="AF152">
        <f>ROUND(((EV152*1.15)),2)</f>
        <v>5.04</v>
      </c>
      <c r="AG152">
        <f t="shared" ref="AG152:AG158" si="291">ROUND((AP152),2)</f>
        <v>0</v>
      </c>
      <c r="AH152">
        <f>((EW152*1.15))</f>
        <v>0.66699999999999993</v>
      </c>
      <c r="AI152">
        <f>((EX152*1.15))</f>
        <v>0</v>
      </c>
      <c r="AJ152">
        <f t="shared" ref="AJ152:AJ158" si="292">(AS152)</f>
        <v>0</v>
      </c>
      <c r="AK152">
        <v>4.38</v>
      </c>
      <c r="AL152">
        <v>0</v>
      </c>
      <c r="AM152">
        <v>0</v>
      </c>
      <c r="AN152">
        <v>0</v>
      </c>
      <c r="AO152">
        <v>4.38</v>
      </c>
      <c r="AP152">
        <v>0</v>
      </c>
      <c r="AQ152">
        <v>0.57999999999999996</v>
      </c>
      <c r="AR152">
        <v>0</v>
      </c>
      <c r="AS152">
        <v>0</v>
      </c>
      <c r="AT152">
        <v>90</v>
      </c>
      <c r="AU152">
        <v>46</v>
      </c>
      <c r="AV152">
        <v>1</v>
      </c>
      <c r="AW152">
        <v>1</v>
      </c>
      <c r="AZ152">
        <v>1</v>
      </c>
      <c r="BA152">
        <v>30.54</v>
      </c>
      <c r="BB152">
        <v>12.13</v>
      </c>
      <c r="BC152">
        <v>8.7100000000000009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1</v>
      </c>
      <c r="BJ152" t="s">
        <v>132</v>
      </c>
      <c r="BM152">
        <v>62001</v>
      </c>
      <c r="BN152">
        <v>0</v>
      </c>
      <c r="BO152" t="s">
        <v>3</v>
      </c>
      <c r="BP152">
        <v>0</v>
      </c>
      <c r="BQ152">
        <v>6</v>
      </c>
      <c r="BR152">
        <v>0</v>
      </c>
      <c r="BS152">
        <v>30.54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90</v>
      </c>
      <c r="CA152">
        <v>46</v>
      </c>
      <c r="CB152" t="s">
        <v>3</v>
      </c>
      <c r="CE152">
        <v>0</v>
      </c>
      <c r="CF152">
        <v>0</v>
      </c>
      <c r="CG152">
        <v>0</v>
      </c>
      <c r="CM152">
        <v>0</v>
      </c>
      <c r="CN152" t="s">
        <v>1103</v>
      </c>
      <c r="CO152">
        <v>0</v>
      </c>
      <c r="CP152">
        <f t="shared" ref="CP152:CP158" si="293">(P152+Q152+S152)</f>
        <v>3078.43</v>
      </c>
      <c r="CQ152">
        <f t="shared" ref="CQ152:CQ158" si="294">AC152*BC152</f>
        <v>0</v>
      </c>
      <c r="CR152">
        <f>((((ET152*1.15))*BB152-((EU152*1.15))*BS152)+AE152*BS152)</f>
        <v>0</v>
      </c>
      <c r="CS152">
        <f t="shared" ref="CS152:CS158" si="295">AE152*BS152</f>
        <v>0</v>
      </c>
      <c r="CT152">
        <f t="shared" ref="CT152:CT158" si="296">AF152*BA152</f>
        <v>153.92159999999998</v>
      </c>
      <c r="CU152">
        <f t="shared" ref="CU152:CX158" si="297">AG152</f>
        <v>0</v>
      </c>
      <c r="CV152">
        <f t="shared" si="297"/>
        <v>0.66699999999999993</v>
      </c>
      <c r="CW152">
        <f t="shared" si="297"/>
        <v>0</v>
      </c>
      <c r="CX152">
        <f t="shared" si="297"/>
        <v>0</v>
      </c>
      <c r="CY152">
        <f t="shared" ref="CY152:CY158" si="298">(((S152+R152)*AT152)/100)</f>
        <v>2770.587</v>
      </c>
      <c r="CZ152">
        <f t="shared" ref="CZ152:CZ158" si="299">(((S152+R152)*AU152)/100)</f>
        <v>1416.0778</v>
      </c>
      <c r="DC152" t="s">
        <v>3</v>
      </c>
      <c r="DD152" t="s">
        <v>3</v>
      </c>
      <c r="DE152" t="s">
        <v>21</v>
      </c>
      <c r="DF152" t="s">
        <v>21</v>
      </c>
      <c r="DG152" t="s">
        <v>21</v>
      </c>
      <c r="DH152" t="s">
        <v>3</v>
      </c>
      <c r="DI152" t="s">
        <v>21</v>
      </c>
      <c r="DJ152" t="s">
        <v>21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1005</v>
      </c>
      <c r="DV152" t="s">
        <v>131</v>
      </c>
      <c r="DW152" t="s">
        <v>131</v>
      </c>
      <c r="DX152">
        <v>1</v>
      </c>
      <c r="DZ152" t="s">
        <v>3</v>
      </c>
      <c r="EA152" t="s">
        <v>3</v>
      </c>
      <c r="EB152" t="s">
        <v>3</v>
      </c>
      <c r="EC152" t="s">
        <v>3</v>
      </c>
      <c r="EE152">
        <v>140625162</v>
      </c>
      <c r="EF152">
        <v>6</v>
      </c>
      <c r="EG152" t="s">
        <v>34</v>
      </c>
      <c r="EH152">
        <v>96</v>
      </c>
      <c r="EI152" t="s">
        <v>133</v>
      </c>
      <c r="EJ152">
        <v>1</v>
      </c>
      <c r="EK152">
        <v>62001</v>
      </c>
      <c r="EL152" t="s">
        <v>133</v>
      </c>
      <c r="EM152" t="s">
        <v>134</v>
      </c>
      <c r="EO152" t="s">
        <v>37</v>
      </c>
      <c r="EQ152">
        <v>0</v>
      </c>
      <c r="ER152">
        <v>4.38</v>
      </c>
      <c r="ES152">
        <v>0</v>
      </c>
      <c r="ET152">
        <v>0</v>
      </c>
      <c r="EU152">
        <v>0</v>
      </c>
      <c r="EV152">
        <v>4.38</v>
      </c>
      <c r="EW152">
        <v>0.57999999999999996</v>
      </c>
      <c r="EX152">
        <v>0</v>
      </c>
      <c r="EY152">
        <v>0</v>
      </c>
      <c r="FQ152">
        <v>0</v>
      </c>
      <c r="FR152">
        <f t="shared" ref="FR152:FR158" si="300">ROUND(IF(BI152=3,GM152,0),2)</f>
        <v>0</v>
      </c>
      <c r="FS152">
        <v>0</v>
      </c>
      <c r="FX152">
        <v>90</v>
      </c>
      <c r="FY152">
        <v>46</v>
      </c>
      <c r="GA152" t="s">
        <v>3</v>
      </c>
      <c r="GD152">
        <v>1</v>
      </c>
      <c r="GF152">
        <v>-1813295300</v>
      </c>
      <c r="GG152">
        <v>2</v>
      </c>
      <c r="GH152">
        <v>1</v>
      </c>
      <c r="GI152">
        <v>4</v>
      </c>
      <c r="GJ152">
        <v>0</v>
      </c>
      <c r="GK152">
        <v>0</v>
      </c>
      <c r="GL152">
        <f t="shared" ref="GL152:GL158" si="301">ROUND(IF(AND(BH152=3,BI152=3,FS152&lt;&gt;0),P152,0),2)</f>
        <v>0</v>
      </c>
      <c r="GM152">
        <f t="shared" ref="GM152:GM158" si="302">ROUND(O152+X152+Y152,2)+GX152</f>
        <v>7265.1</v>
      </c>
      <c r="GN152">
        <f t="shared" ref="GN152:GN158" si="303">IF(OR(BI152=0,BI152=1),ROUND(O152+X152+Y152,2),0)</f>
        <v>7265.1</v>
      </c>
      <c r="GO152">
        <f t="shared" ref="GO152:GO158" si="304">IF(BI152=2,ROUND(O152+X152+Y152,2),0)</f>
        <v>0</v>
      </c>
      <c r="GP152">
        <f t="shared" ref="GP152:GP158" si="305">IF(BI152=4,ROUND(O152+X152+Y152,2)+GX152,0)</f>
        <v>0</v>
      </c>
      <c r="GR152">
        <v>0</v>
      </c>
      <c r="GS152">
        <v>3</v>
      </c>
      <c r="GT152">
        <v>0</v>
      </c>
      <c r="GU152" t="s">
        <v>3</v>
      </c>
      <c r="GV152">
        <f>ROUND((GT152),2)</f>
        <v>0</v>
      </c>
      <c r="GW152">
        <v>1</v>
      </c>
      <c r="GX152">
        <f t="shared" ref="GX152:GX158" si="306">ROUND(HC152*I152,2)</f>
        <v>0</v>
      </c>
      <c r="HA152">
        <v>0</v>
      </c>
      <c r="HB152">
        <v>0</v>
      </c>
      <c r="HC152">
        <f t="shared" ref="HC152:HC158" si="307">GV152*GW152</f>
        <v>0</v>
      </c>
      <c r="HE152" t="s">
        <v>3</v>
      </c>
      <c r="HF152" t="s">
        <v>3</v>
      </c>
      <c r="HM152" t="s">
        <v>3</v>
      </c>
      <c r="HN152" t="s">
        <v>135</v>
      </c>
      <c r="HO152" t="s">
        <v>136</v>
      </c>
      <c r="HP152" t="s">
        <v>133</v>
      </c>
      <c r="HQ152" t="s">
        <v>133</v>
      </c>
      <c r="IK152">
        <v>0</v>
      </c>
    </row>
    <row r="153" spans="1:245" x14ac:dyDescent="0.2">
      <c r="A153">
        <v>17</v>
      </c>
      <c r="B153">
        <v>1</v>
      </c>
      <c r="C153">
        <f>ROW(SmtRes!A353)</f>
        <v>353</v>
      </c>
      <c r="D153">
        <f>ROW(EtalonRes!A353)</f>
        <v>353</v>
      </c>
      <c r="E153" t="s">
        <v>514</v>
      </c>
      <c r="F153" t="s">
        <v>515</v>
      </c>
      <c r="G153" t="s">
        <v>516</v>
      </c>
      <c r="H153" t="s">
        <v>131</v>
      </c>
      <c r="I153">
        <v>20</v>
      </c>
      <c r="J153">
        <v>0</v>
      </c>
      <c r="K153">
        <v>20</v>
      </c>
      <c r="O153">
        <f t="shared" si="280"/>
        <v>597.61</v>
      </c>
      <c r="P153">
        <f t="shared" si="281"/>
        <v>0</v>
      </c>
      <c r="Q153">
        <f t="shared" si="282"/>
        <v>115.08</v>
      </c>
      <c r="R153">
        <f t="shared" si="283"/>
        <v>0</v>
      </c>
      <c r="S153">
        <f t="shared" si="284"/>
        <v>482.53</v>
      </c>
      <c r="T153">
        <f t="shared" si="285"/>
        <v>0</v>
      </c>
      <c r="U153">
        <f t="shared" si="286"/>
        <v>1.8514999999999997</v>
      </c>
      <c r="V153">
        <f t="shared" si="287"/>
        <v>0</v>
      </c>
      <c r="W153">
        <f t="shared" si="288"/>
        <v>0</v>
      </c>
      <c r="X153">
        <f t="shared" si="289"/>
        <v>453.58</v>
      </c>
      <c r="Y153">
        <f t="shared" si="289"/>
        <v>209.18</v>
      </c>
      <c r="AA153">
        <v>145033679</v>
      </c>
      <c r="AB153">
        <f t="shared" si="290"/>
        <v>1.26</v>
      </c>
      <c r="AC153">
        <f>ROUND((ES153),2)</f>
        <v>0</v>
      </c>
      <c r="AD153">
        <f>ROUND((((((ET153*1.25)*1.15))-(((EU153*1.25)*1.15)))+AE153),2)</f>
        <v>0.47</v>
      </c>
      <c r="AE153">
        <f>ROUND((((EU153*1.25)*1.15)),2)</f>
        <v>0</v>
      </c>
      <c r="AF153">
        <f>ROUND((((EV153*1.15)*1.15)),2)</f>
        <v>0.79</v>
      </c>
      <c r="AG153">
        <f t="shared" si="291"/>
        <v>0</v>
      </c>
      <c r="AH153">
        <f>(((EW153*1.15)*1.15))</f>
        <v>9.2574999999999991E-2</v>
      </c>
      <c r="AI153">
        <f>(((EX153*1.25)*1.15))</f>
        <v>0</v>
      </c>
      <c r="AJ153">
        <f t="shared" si="292"/>
        <v>0</v>
      </c>
      <c r="AK153">
        <v>0.93</v>
      </c>
      <c r="AL153">
        <v>0</v>
      </c>
      <c r="AM153">
        <v>0.33</v>
      </c>
      <c r="AN153">
        <v>0</v>
      </c>
      <c r="AO153">
        <v>0.6</v>
      </c>
      <c r="AP153">
        <v>0</v>
      </c>
      <c r="AQ153">
        <v>7.0000000000000007E-2</v>
      </c>
      <c r="AR153">
        <v>0</v>
      </c>
      <c r="AS153">
        <v>0</v>
      </c>
      <c r="AT153">
        <v>94</v>
      </c>
      <c r="AU153">
        <v>43.35</v>
      </c>
      <c r="AV153">
        <v>1</v>
      </c>
      <c r="AW153">
        <v>1</v>
      </c>
      <c r="AZ153">
        <v>1</v>
      </c>
      <c r="BA153">
        <v>30.54</v>
      </c>
      <c r="BB153">
        <v>12.13</v>
      </c>
      <c r="BC153">
        <v>8.7100000000000009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1</v>
      </c>
      <c r="BJ153" t="s">
        <v>517</v>
      </c>
      <c r="BM153">
        <v>13001</v>
      </c>
      <c r="BN153">
        <v>0</v>
      </c>
      <c r="BO153" t="s">
        <v>3</v>
      </c>
      <c r="BP153">
        <v>0</v>
      </c>
      <c r="BQ153">
        <v>2</v>
      </c>
      <c r="BR153">
        <v>0</v>
      </c>
      <c r="BS153">
        <v>30.54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94</v>
      </c>
      <c r="CA153">
        <v>51</v>
      </c>
      <c r="CB153" t="s">
        <v>3</v>
      </c>
      <c r="CE153">
        <v>0</v>
      </c>
      <c r="CF153">
        <v>0</v>
      </c>
      <c r="CG153">
        <v>0</v>
      </c>
      <c r="CM153">
        <v>0</v>
      </c>
      <c r="CN153" t="s">
        <v>1104</v>
      </c>
      <c r="CO153">
        <v>0</v>
      </c>
      <c r="CP153">
        <f t="shared" si="293"/>
        <v>597.61</v>
      </c>
      <c r="CQ153">
        <f t="shared" si="294"/>
        <v>0</v>
      </c>
      <c r="CR153">
        <f>(((((ET153*1.25)*1.15))*BB153-(((EU153*1.25)*1.15))*BS153)+AE153*BS153)</f>
        <v>5.7541687499999998</v>
      </c>
      <c r="CS153">
        <f t="shared" si="295"/>
        <v>0</v>
      </c>
      <c r="CT153">
        <f t="shared" si="296"/>
        <v>24.1266</v>
      </c>
      <c r="CU153">
        <f t="shared" si="297"/>
        <v>0</v>
      </c>
      <c r="CV153">
        <f t="shared" si="297"/>
        <v>9.2574999999999991E-2</v>
      </c>
      <c r="CW153">
        <f t="shared" si="297"/>
        <v>0</v>
      </c>
      <c r="CX153">
        <f t="shared" si="297"/>
        <v>0</v>
      </c>
      <c r="CY153">
        <f t="shared" si="298"/>
        <v>453.57819999999998</v>
      </c>
      <c r="CZ153">
        <f t="shared" si="299"/>
        <v>209.17675500000001</v>
      </c>
      <c r="DC153" t="s">
        <v>3</v>
      </c>
      <c r="DD153" t="s">
        <v>3</v>
      </c>
      <c r="DE153" t="s">
        <v>90</v>
      </c>
      <c r="DF153" t="s">
        <v>90</v>
      </c>
      <c r="DG153" t="s">
        <v>91</v>
      </c>
      <c r="DH153" t="s">
        <v>3</v>
      </c>
      <c r="DI153" t="s">
        <v>91</v>
      </c>
      <c r="DJ153" t="s">
        <v>90</v>
      </c>
      <c r="DK153" t="s">
        <v>3</v>
      </c>
      <c r="DL153" t="s">
        <v>3</v>
      </c>
      <c r="DM153" t="s">
        <v>92</v>
      </c>
      <c r="DN153">
        <v>0</v>
      </c>
      <c r="DO153">
        <v>0</v>
      </c>
      <c r="DP153">
        <v>1</v>
      </c>
      <c r="DQ153">
        <v>1</v>
      </c>
      <c r="DU153">
        <v>1005</v>
      </c>
      <c r="DV153" t="s">
        <v>131</v>
      </c>
      <c r="DW153" t="s">
        <v>131</v>
      </c>
      <c r="DX153">
        <v>1</v>
      </c>
      <c r="DZ153" t="s">
        <v>3</v>
      </c>
      <c r="EA153" t="s">
        <v>3</v>
      </c>
      <c r="EB153" t="s">
        <v>3</v>
      </c>
      <c r="EC153" t="s">
        <v>3</v>
      </c>
      <c r="EE153">
        <v>140625034</v>
      </c>
      <c r="EF153">
        <v>2</v>
      </c>
      <c r="EG153" t="s">
        <v>22</v>
      </c>
      <c r="EH153">
        <v>13</v>
      </c>
      <c r="EI153" t="s">
        <v>518</v>
      </c>
      <c r="EJ153">
        <v>1</v>
      </c>
      <c r="EK153">
        <v>13001</v>
      </c>
      <c r="EL153" t="s">
        <v>519</v>
      </c>
      <c r="EM153" t="s">
        <v>520</v>
      </c>
      <c r="EO153" t="s">
        <v>95</v>
      </c>
      <c r="EQ153">
        <v>0</v>
      </c>
      <c r="ER153">
        <v>0.93</v>
      </c>
      <c r="ES153">
        <v>0</v>
      </c>
      <c r="ET153">
        <v>0.33</v>
      </c>
      <c r="EU153">
        <v>0</v>
      </c>
      <c r="EV153">
        <v>0.6</v>
      </c>
      <c r="EW153">
        <v>7.0000000000000007E-2</v>
      </c>
      <c r="EX153">
        <v>0</v>
      </c>
      <c r="EY153">
        <v>0</v>
      </c>
      <c r="FQ153">
        <v>0</v>
      </c>
      <c r="FR153">
        <f t="shared" si="300"/>
        <v>0</v>
      </c>
      <c r="FS153">
        <v>0</v>
      </c>
      <c r="FX153">
        <v>94</v>
      </c>
      <c r="FY153">
        <v>43.35</v>
      </c>
      <c r="GA153" t="s">
        <v>3</v>
      </c>
      <c r="GD153">
        <v>1</v>
      </c>
      <c r="GF153">
        <v>-65291318</v>
      </c>
      <c r="GG153">
        <v>2</v>
      </c>
      <c r="GH153">
        <v>1</v>
      </c>
      <c r="GI153">
        <v>4</v>
      </c>
      <c r="GJ153">
        <v>0</v>
      </c>
      <c r="GK153">
        <v>0</v>
      </c>
      <c r="GL153">
        <f t="shared" si="301"/>
        <v>0</v>
      </c>
      <c r="GM153">
        <f t="shared" si="302"/>
        <v>1260.3699999999999</v>
      </c>
      <c r="GN153">
        <f t="shared" si="303"/>
        <v>1260.3699999999999</v>
      </c>
      <c r="GO153">
        <f t="shared" si="304"/>
        <v>0</v>
      </c>
      <c r="GP153">
        <f t="shared" si="305"/>
        <v>0</v>
      </c>
      <c r="GR153">
        <v>0</v>
      </c>
      <c r="GS153">
        <v>3</v>
      </c>
      <c r="GT153">
        <v>0</v>
      </c>
      <c r="GU153" t="s">
        <v>3</v>
      </c>
      <c r="GV153">
        <f>ROUND((GT153),2)</f>
        <v>0</v>
      </c>
      <c r="GW153">
        <v>1</v>
      </c>
      <c r="GX153">
        <f t="shared" si="306"/>
        <v>0</v>
      </c>
      <c r="HA153">
        <v>0</v>
      </c>
      <c r="HB153">
        <v>0</v>
      </c>
      <c r="HC153">
        <f t="shared" si="307"/>
        <v>0</v>
      </c>
      <c r="HE153" t="s">
        <v>3</v>
      </c>
      <c r="HF153" t="s">
        <v>3</v>
      </c>
      <c r="HM153" t="s">
        <v>3</v>
      </c>
      <c r="HN153" t="s">
        <v>521</v>
      </c>
      <c r="HO153" t="s">
        <v>522</v>
      </c>
      <c r="HP153" t="s">
        <v>518</v>
      </c>
      <c r="HQ153" t="s">
        <v>518</v>
      </c>
      <c r="IK153">
        <v>0</v>
      </c>
    </row>
    <row r="154" spans="1:245" x14ac:dyDescent="0.2">
      <c r="A154">
        <v>17</v>
      </c>
      <c r="B154">
        <v>1</v>
      </c>
      <c r="C154">
        <f>ROW(SmtRes!A360)</f>
        <v>360</v>
      </c>
      <c r="D154">
        <f>ROW(EtalonRes!A360)</f>
        <v>360</v>
      </c>
      <c r="E154" t="s">
        <v>523</v>
      </c>
      <c r="F154" t="s">
        <v>524</v>
      </c>
      <c r="G154" t="s">
        <v>525</v>
      </c>
      <c r="H154" t="s">
        <v>19</v>
      </c>
      <c r="I154">
        <f>ROUND(20/100,9)</f>
        <v>0.2</v>
      </c>
      <c r="J154">
        <v>0</v>
      </c>
      <c r="K154">
        <f>ROUND(20/100,9)</f>
        <v>0.2</v>
      </c>
      <c r="O154">
        <f t="shared" si="280"/>
        <v>1036.44</v>
      </c>
      <c r="P154">
        <f t="shared" si="281"/>
        <v>387.66</v>
      </c>
      <c r="Q154">
        <f t="shared" si="282"/>
        <v>7.75</v>
      </c>
      <c r="R154">
        <f t="shared" si="283"/>
        <v>2.87</v>
      </c>
      <c r="S154">
        <f t="shared" si="284"/>
        <v>641.03</v>
      </c>
      <c r="T154">
        <f t="shared" si="285"/>
        <v>0</v>
      </c>
      <c r="U154">
        <f t="shared" si="286"/>
        <v>2.4016599999999997</v>
      </c>
      <c r="V154">
        <f t="shared" si="287"/>
        <v>8.624999999999999E-3</v>
      </c>
      <c r="W154">
        <f t="shared" si="288"/>
        <v>0</v>
      </c>
      <c r="X154">
        <f t="shared" si="289"/>
        <v>605.27</v>
      </c>
      <c r="Y154">
        <f t="shared" si="289"/>
        <v>279.13</v>
      </c>
      <c r="AA154">
        <v>145033679</v>
      </c>
      <c r="AB154">
        <f t="shared" si="290"/>
        <v>330.69</v>
      </c>
      <c r="AC154">
        <f>ROUND((ES154),2)</f>
        <v>222.54</v>
      </c>
      <c r="AD154">
        <f>ROUND((((((ET154*1.25)*1.15))-(((EU154*1.25)*1.15)))+AE154),2)</f>
        <v>3.2</v>
      </c>
      <c r="AE154">
        <f>ROUND((((EU154*1.25)*1.15)),2)</f>
        <v>0.47</v>
      </c>
      <c r="AF154">
        <f>ROUND((((EV154*1.15)*1.15)),2)</f>
        <v>104.95</v>
      </c>
      <c r="AG154">
        <f t="shared" si="291"/>
        <v>0</v>
      </c>
      <c r="AH154">
        <f>(((EW154*1.15)*1.15))</f>
        <v>12.008299999999997</v>
      </c>
      <c r="AI154">
        <f>(((EX154*1.25)*1.15))</f>
        <v>4.3124999999999997E-2</v>
      </c>
      <c r="AJ154">
        <f t="shared" si="292"/>
        <v>0</v>
      </c>
      <c r="AK154">
        <v>304.13</v>
      </c>
      <c r="AL154">
        <v>222.54</v>
      </c>
      <c r="AM154">
        <v>2.23</v>
      </c>
      <c r="AN154">
        <v>0.33</v>
      </c>
      <c r="AO154">
        <v>79.36</v>
      </c>
      <c r="AP154">
        <v>0</v>
      </c>
      <c r="AQ154">
        <v>9.08</v>
      </c>
      <c r="AR154">
        <v>0.03</v>
      </c>
      <c r="AS154">
        <v>0</v>
      </c>
      <c r="AT154">
        <v>94</v>
      </c>
      <c r="AU154">
        <v>43.35</v>
      </c>
      <c r="AV154">
        <v>1</v>
      </c>
      <c r="AW154">
        <v>1</v>
      </c>
      <c r="AZ154">
        <v>1</v>
      </c>
      <c r="BA154">
        <v>30.54</v>
      </c>
      <c r="BB154">
        <v>12.13</v>
      </c>
      <c r="BC154">
        <v>8.7100000000000009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1</v>
      </c>
      <c r="BJ154" t="s">
        <v>526</v>
      </c>
      <c r="BM154">
        <v>13001</v>
      </c>
      <c r="BN154">
        <v>0</v>
      </c>
      <c r="BO154" t="s">
        <v>3</v>
      </c>
      <c r="BP154">
        <v>0</v>
      </c>
      <c r="BQ154">
        <v>2</v>
      </c>
      <c r="BR154">
        <v>0</v>
      </c>
      <c r="BS154">
        <v>30.54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94</v>
      </c>
      <c r="CA154">
        <v>51</v>
      </c>
      <c r="CB154" t="s">
        <v>3</v>
      </c>
      <c r="CE154">
        <v>0</v>
      </c>
      <c r="CF154">
        <v>0</v>
      </c>
      <c r="CG154">
        <v>0</v>
      </c>
      <c r="CM154">
        <v>0</v>
      </c>
      <c r="CN154" t="s">
        <v>1104</v>
      </c>
      <c r="CO154">
        <v>0</v>
      </c>
      <c r="CP154">
        <f t="shared" si="293"/>
        <v>1036.44</v>
      </c>
      <c r="CQ154">
        <f t="shared" si="294"/>
        <v>1938.3234000000002</v>
      </c>
      <c r="CR154">
        <f>(((((ET154*1.25)*1.15))*BB154-(((EU154*1.25)*1.15))*BS154)+AE154*BS154)</f>
        <v>38.750618750000001</v>
      </c>
      <c r="CS154">
        <f t="shared" si="295"/>
        <v>14.3538</v>
      </c>
      <c r="CT154">
        <f t="shared" si="296"/>
        <v>3205.1729999999998</v>
      </c>
      <c r="CU154">
        <f t="shared" si="297"/>
        <v>0</v>
      </c>
      <c r="CV154">
        <f t="shared" si="297"/>
        <v>12.008299999999997</v>
      </c>
      <c r="CW154">
        <f t="shared" si="297"/>
        <v>4.3124999999999997E-2</v>
      </c>
      <c r="CX154">
        <f t="shared" si="297"/>
        <v>0</v>
      </c>
      <c r="CY154">
        <f t="shared" si="298"/>
        <v>605.26599999999996</v>
      </c>
      <c r="CZ154">
        <f t="shared" si="299"/>
        <v>279.13065</v>
      </c>
      <c r="DC154" t="s">
        <v>3</v>
      </c>
      <c r="DD154" t="s">
        <v>3</v>
      </c>
      <c r="DE154" t="s">
        <v>90</v>
      </c>
      <c r="DF154" t="s">
        <v>90</v>
      </c>
      <c r="DG154" t="s">
        <v>91</v>
      </c>
      <c r="DH154" t="s">
        <v>3</v>
      </c>
      <c r="DI154" t="s">
        <v>91</v>
      </c>
      <c r="DJ154" t="s">
        <v>90</v>
      </c>
      <c r="DK154" t="s">
        <v>3</v>
      </c>
      <c r="DL154" t="s">
        <v>3</v>
      </c>
      <c r="DM154" t="s">
        <v>92</v>
      </c>
      <c r="DN154">
        <v>0</v>
      </c>
      <c r="DO154">
        <v>0</v>
      </c>
      <c r="DP154">
        <v>1</v>
      </c>
      <c r="DQ154">
        <v>1</v>
      </c>
      <c r="DU154">
        <v>1005</v>
      </c>
      <c r="DV154" t="s">
        <v>19</v>
      </c>
      <c r="DW154" t="s">
        <v>19</v>
      </c>
      <c r="DX154">
        <v>100</v>
      </c>
      <c r="DZ154" t="s">
        <v>3</v>
      </c>
      <c r="EA154" t="s">
        <v>3</v>
      </c>
      <c r="EB154" t="s">
        <v>3</v>
      </c>
      <c r="EC154" t="s">
        <v>3</v>
      </c>
      <c r="EE154">
        <v>140625034</v>
      </c>
      <c r="EF154">
        <v>2</v>
      </c>
      <c r="EG154" t="s">
        <v>22</v>
      </c>
      <c r="EH154">
        <v>13</v>
      </c>
      <c r="EI154" t="s">
        <v>518</v>
      </c>
      <c r="EJ154">
        <v>1</v>
      </c>
      <c r="EK154">
        <v>13001</v>
      </c>
      <c r="EL154" t="s">
        <v>519</v>
      </c>
      <c r="EM154" t="s">
        <v>520</v>
      </c>
      <c r="EO154" t="s">
        <v>95</v>
      </c>
      <c r="EQ154">
        <v>0</v>
      </c>
      <c r="ER154">
        <v>304.13</v>
      </c>
      <c r="ES154">
        <v>222.54</v>
      </c>
      <c r="ET154">
        <v>2.23</v>
      </c>
      <c r="EU154">
        <v>0.33</v>
      </c>
      <c r="EV154">
        <v>79.36</v>
      </c>
      <c r="EW154">
        <v>9.08</v>
      </c>
      <c r="EX154">
        <v>0.03</v>
      </c>
      <c r="EY154">
        <v>0</v>
      </c>
      <c r="FQ154">
        <v>0</v>
      </c>
      <c r="FR154">
        <f t="shared" si="300"/>
        <v>0</v>
      </c>
      <c r="FS154">
        <v>0</v>
      </c>
      <c r="FX154">
        <v>94</v>
      </c>
      <c r="FY154">
        <v>43.35</v>
      </c>
      <c r="GA154" t="s">
        <v>3</v>
      </c>
      <c r="GD154">
        <v>1</v>
      </c>
      <c r="GF154">
        <v>-497940178</v>
      </c>
      <c r="GG154">
        <v>2</v>
      </c>
      <c r="GH154">
        <v>1</v>
      </c>
      <c r="GI154">
        <v>4</v>
      </c>
      <c r="GJ154">
        <v>0</v>
      </c>
      <c r="GK154">
        <v>0</v>
      </c>
      <c r="GL154">
        <f t="shared" si="301"/>
        <v>0</v>
      </c>
      <c r="GM154">
        <f t="shared" si="302"/>
        <v>1920.84</v>
      </c>
      <c r="GN154">
        <f t="shared" si="303"/>
        <v>1920.84</v>
      </c>
      <c r="GO154">
        <f t="shared" si="304"/>
        <v>0</v>
      </c>
      <c r="GP154">
        <f t="shared" si="305"/>
        <v>0</v>
      </c>
      <c r="GR154">
        <v>0</v>
      </c>
      <c r="GS154">
        <v>3</v>
      </c>
      <c r="GT154">
        <v>0</v>
      </c>
      <c r="GU154" t="s">
        <v>3</v>
      </c>
      <c r="GV154">
        <f>ROUND((GT154),2)</f>
        <v>0</v>
      </c>
      <c r="GW154">
        <v>1</v>
      </c>
      <c r="GX154">
        <f t="shared" si="306"/>
        <v>0</v>
      </c>
      <c r="HA154">
        <v>0</v>
      </c>
      <c r="HB154">
        <v>0</v>
      </c>
      <c r="HC154">
        <f t="shared" si="307"/>
        <v>0</v>
      </c>
      <c r="HE154" t="s">
        <v>3</v>
      </c>
      <c r="HF154" t="s">
        <v>3</v>
      </c>
      <c r="HM154" t="s">
        <v>3</v>
      </c>
      <c r="HN154" t="s">
        <v>521</v>
      </c>
      <c r="HO154" t="s">
        <v>522</v>
      </c>
      <c r="HP154" t="s">
        <v>518</v>
      </c>
      <c r="HQ154" t="s">
        <v>518</v>
      </c>
      <c r="IK154">
        <v>0</v>
      </c>
    </row>
    <row r="155" spans="1:245" x14ac:dyDescent="0.2">
      <c r="A155">
        <v>17</v>
      </c>
      <c r="B155">
        <v>1</v>
      </c>
      <c r="C155">
        <f>ROW(SmtRes!A368)</f>
        <v>368</v>
      </c>
      <c r="D155">
        <f>ROW(EtalonRes!A368)</f>
        <v>368</v>
      </c>
      <c r="E155" t="s">
        <v>527</v>
      </c>
      <c r="F155" t="s">
        <v>528</v>
      </c>
      <c r="G155" t="s">
        <v>529</v>
      </c>
      <c r="H155" t="s">
        <v>19</v>
      </c>
      <c r="I155">
        <f>ROUND(20/100,9)</f>
        <v>0.2</v>
      </c>
      <c r="J155">
        <v>0</v>
      </c>
      <c r="K155">
        <f>ROUND(20/100,9)</f>
        <v>0.2</v>
      </c>
      <c r="O155">
        <f t="shared" si="280"/>
        <v>1253.0899999999999</v>
      </c>
      <c r="P155">
        <f t="shared" si="281"/>
        <v>722.02</v>
      </c>
      <c r="Q155">
        <f t="shared" si="282"/>
        <v>62.89</v>
      </c>
      <c r="R155">
        <f t="shared" si="283"/>
        <v>5.8</v>
      </c>
      <c r="S155">
        <f t="shared" si="284"/>
        <v>468.18</v>
      </c>
      <c r="T155">
        <f t="shared" si="285"/>
        <v>0</v>
      </c>
      <c r="U155">
        <f t="shared" si="286"/>
        <v>1.6901549999999999</v>
      </c>
      <c r="V155">
        <f t="shared" si="287"/>
        <v>1.7249999999999998E-2</v>
      </c>
      <c r="W155">
        <f t="shared" si="288"/>
        <v>0</v>
      </c>
      <c r="X155">
        <f t="shared" si="289"/>
        <v>445.54</v>
      </c>
      <c r="Y155">
        <f t="shared" si="289"/>
        <v>205.47</v>
      </c>
      <c r="AA155">
        <v>145033679</v>
      </c>
      <c r="AB155">
        <f t="shared" si="290"/>
        <v>517.04999999999995</v>
      </c>
      <c r="AC155">
        <f>ROUND(((ES155*3)),2)</f>
        <v>414.48</v>
      </c>
      <c r="AD155">
        <f>ROUND(((((((ET155*1.25)*1.15)*3))-((((EU155*1.25)*1.15)*3)))+AE155),2)</f>
        <v>25.92</v>
      </c>
      <c r="AE155">
        <f>ROUND(((((EU155*1.25)*1.15)*3)),2)</f>
        <v>0.95</v>
      </c>
      <c r="AF155">
        <f>ROUND(((((EV155*1.15)*1.15)*3)),2)</f>
        <v>76.650000000000006</v>
      </c>
      <c r="AG155">
        <f t="shared" si="291"/>
        <v>0</v>
      </c>
      <c r="AH155">
        <f>((((EW155*1.15)*1.15)*3))</f>
        <v>8.4507749999999984</v>
      </c>
      <c r="AI155">
        <f>((((EX155*1.25)*1.15)*3))</f>
        <v>8.6249999999999993E-2</v>
      </c>
      <c r="AJ155">
        <f t="shared" si="292"/>
        <v>0</v>
      </c>
      <c r="AK155">
        <v>163.49</v>
      </c>
      <c r="AL155">
        <v>138.16</v>
      </c>
      <c r="AM155">
        <v>6.01</v>
      </c>
      <c r="AN155">
        <v>0.22</v>
      </c>
      <c r="AO155">
        <v>19.32</v>
      </c>
      <c r="AP155">
        <v>0</v>
      </c>
      <c r="AQ155">
        <v>2.13</v>
      </c>
      <c r="AR155">
        <v>0.02</v>
      </c>
      <c r="AS155">
        <v>0</v>
      </c>
      <c r="AT155">
        <v>94</v>
      </c>
      <c r="AU155">
        <v>43.35</v>
      </c>
      <c r="AV155">
        <v>1</v>
      </c>
      <c r="AW155">
        <v>1</v>
      </c>
      <c r="AZ155">
        <v>1</v>
      </c>
      <c r="BA155">
        <v>30.54</v>
      </c>
      <c r="BB155">
        <v>12.13</v>
      </c>
      <c r="BC155">
        <v>8.7100000000000009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1</v>
      </c>
      <c r="BJ155" t="s">
        <v>530</v>
      </c>
      <c r="BM155">
        <v>13001</v>
      </c>
      <c r="BN155">
        <v>0</v>
      </c>
      <c r="BO155" t="s">
        <v>3</v>
      </c>
      <c r="BP155">
        <v>0</v>
      </c>
      <c r="BQ155">
        <v>2</v>
      </c>
      <c r="BR155">
        <v>0</v>
      </c>
      <c r="BS155">
        <v>30.54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94</v>
      </c>
      <c r="CA155">
        <v>51</v>
      </c>
      <c r="CB155" t="s">
        <v>3</v>
      </c>
      <c r="CE155">
        <v>0</v>
      </c>
      <c r="CF155">
        <v>0</v>
      </c>
      <c r="CG155">
        <v>0</v>
      </c>
      <c r="CM155">
        <v>0</v>
      </c>
      <c r="CN155" t="s">
        <v>1104</v>
      </c>
      <c r="CO155">
        <v>0</v>
      </c>
      <c r="CP155">
        <f t="shared" si="293"/>
        <v>1253.0899999999999</v>
      </c>
      <c r="CQ155">
        <f t="shared" si="294"/>
        <v>3610.1208000000006</v>
      </c>
      <c r="CR155">
        <f>((((((ET155*1.25)*1.15)*3))*BB155-((((EU155*1.25)*1.15)*3))*BS155)+AE155*BS155)</f>
        <v>314.42503124999996</v>
      </c>
      <c r="CS155">
        <f t="shared" si="295"/>
        <v>29.012999999999998</v>
      </c>
      <c r="CT155">
        <f t="shared" si="296"/>
        <v>2340.8910000000001</v>
      </c>
      <c r="CU155">
        <f t="shared" si="297"/>
        <v>0</v>
      </c>
      <c r="CV155">
        <f t="shared" si="297"/>
        <v>8.4507749999999984</v>
      </c>
      <c r="CW155">
        <f t="shared" si="297"/>
        <v>8.6249999999999993E-2</v>
      </c>
      <c r="CX155">
        <f t="shared" si="297"/>
        <v>0</v>
      </c>
      <c r="CY155">
        <f t="shared" si="298"/>
        <v>445.5412</v>
      </c>
      <c r="CZ155">
        <f t="shared" si="299"/>
        <v>205.47033000000002</v>
      </c>
      <c r="DC155" t="s">
        <v>3</v>
      </c>
      <c r="DD155" t="s">
        <v>531</v>
      </c>
      <c r="DE155" t="s">
        <v>532</v>
      </c>
      <c r="DF155" t="s">
        <v>532</v>
      </c>
      <c r="DG155" t="s">
        <v>533</v>
      </c>
      <c r="DH155" t="s">
        <v>3</v>
      </c>
      <c r="DI155" t="s">
        <v>533</v>
      </c>
      <c r="DJ155" t="s">
        <v>532</v>
      </c>
      <c r="DK155" t="s">
        <v>3</v>
      </c>
      <c r="DL155" t="s">
        <v>3</v>
      </c>
      <c r="DM155" t="s">
        <v>92</v>
      </c>
      <c r="DN155">
        <v>0</v>
      </c>
      <c r="DO155">
        <v>0</v>
      </c>
      <c r="DP155">
        <v>1</v>
      </c>
      <c r="DQ155">
        <v>1</v>
      </c>
      <c r="DU155">
        <v>1005</v>
      </c>
      <c r="DV155" t="s">
        <v>19</v>
      </c>
      <c r="DW155" t="s">
        <v>19</v>
      </c>
      <c r="DX155">
        <v>100</v>
      </c>
      <c r="DZ155" t="s">
        <v>3</v>
      </c>
      <c r="EA155" t="s">
        <v>3</v>
      </c>
      <c r="EB155" t="s">
        <v>3</v>
      </c>
      <c r="EC155" t="s">
        <v>3</v>
      </c>
      <c r="EE155">
        <v>140625034</v>
      </c>
      <c r="EF155">
        <v>2</v>
      </c>
      <c r="EG155" t="s">
        <v>22</v>
      </c>
      <c r="EH155">
        <v>13</v>
      </c>
      <c r="EI155" t="s">
        <v>518</v>
      </c>
      <c r="EJ155">
        <v>1</v>
      </c>
      <c r="EK155">
        <v>13001</v>
      </c>
      <c r="EL155" t="s">
        <v>519</v>
      </c>
      <c r="EM155" t="s">
        <v>520</v>
      </c>
      <c r="EO155" t="s">
        <v>95</v>
      </c>
      <c r="EQ155">
        <v>0</v>
      </c>
      <c r="ER155">
        <v>163.49</v>
      </c>
      <c r="ES155">
        <v>138.16</v>
      </c>
      <c r="ET155">
        <v>6.01</v>
      </c>
      <c r="EU155">
        <v>0.22</v>
      </c>
      <c r="EV155">
        <v>19.32</v>
      </c>
      <c r="EW155">
        <v>2.13</v>
      </c>
      <c r="EX155">
        <v>0.02</v>
      </c>
      <c r="EY155">
        <v>0</v>
      </c>
      <c r="FQ155">
        <v>0</v>
      </c>
      <c r="FR155">
        <f t="shared" si="300"/>
        <v>0</v>
      </c>
      <c r="FS155">
        <v>0</v>
      </c>
      <c r="FX155">
        <v>94</v>
      </c>
      <c r="FY155">
        <v>43.35</v>
      </c>
      <c r="GA155" t="s">
        <v>3</v>
      </c>
      <c r="GD155">
        <v>1</v>
      </c>
      <c r="GF155">
        <v>-1083810809</v>
      </c>
      <c r="GG155">
        <v>2</v>
      </c>
      <c r="GH155">
        <v>1</v>
      </c>
      <c r="GI155">
        <v>4</v>
      </c>
      <c r="GJ155">
        <v>0</v>
      </c>
      <c r="GK155">
        <v>0</v>
      </c>
      <c r="GL155">
        <f t="shared" si="301"/>
        <v>0</v>
      </c>
      <c r="GM155">
        <f t="shared" si="302"/>
        <v>1904.1</v>
      </c>
      <c r="GN155">
        <f t="shared" si="303"/>
        <v>1904.1</v>
      </c>
      <c r="GO155">
        <f t="shared" si="304"/>
        <v>0</v>
      </c>
      <c r="GP155">
        <f t="shared" si="305"/>
        <v>0</v>
      </c>
      <c r="GR155">
        <v>0</v>
      </c>
      <c r="GS155">
        <v>3</v>
      </c>
      <c r="GT155">
        <v>0</v>
      </c>
      <c r="GU155" t="s">
        <v>531</v>
      </c>
      <c r="GV155">
        <f>ROUND(((GT155*3)),2)</f>
        <v>0</v>
      </c>
      <c r="GW155">
        <v>1</v>
      </c>
      <c r="GX155">
        <f t="shared" si="306"/>
        <v>0</v>
      </c>
      <c r="HA155">
        <v>0</v>
      </c>
      <c r="HB155">
        <v>0</v>
      </c>
      <c r="HC155">
        <f t="shared" si="307"/>
        <v>0</v>
      </c>
      <c r="HE155" t="s">
        <v>3</v>
      </c>
      <c r="HF155" t="s">
        <v>3</v>
      </c>
      <c r="HM155" t="s">
        <v>3</v>
      </c>
      <c r="HN155" t="s">
        <v>521</v>
      </c>
      <c r="HO155" t="s">
        <v>522</v>
      </c>
      <c r="HP155" t="s">
        <v>518</v>
      </c>
      <c r="HQ155" t="s">
        <v>518</v>
      </c>
      <c r="IK155">
        <v>0</v>
      </c>
    </row>
    <row r="156" spans="1:245" x14ac:dyDescent="0.2">
      <c r="A156">
        <v>18</v>
      </c>
      <c r="B156">
        <v>1</v>
      </c>
      <c r="C156">
        <v>367</v>
      </c>
      <c r="E156" t="s">
        <v>534</v>
      </c>
      <c r="F156" t="s">
        <v>535</v>
      </c>
      <c r="G156" t="s">
        <v>536</v>
      </c>
      <c r="H156" t="s">
        <v>105</v>
      </c>
      <c r="I156">
        <f>I155*J156</f>
        <v>-5.4000000000000003E-3</v>
      </c>
      <c r="J156">
        <v>-2.7E-2</v>
      </c>
      <c r="K156">
        <v>-8.9999999999999993E-3</v>
      </c>
      <c r="O156">
        <f t="shared" si="280"/>
        <v>-673.19</v>
      </c>
      <c r="P156">
        <f t="shared" si="281"/>
        <v>-673.19</v>
      </c>
      <c r="Q156">
        <f t="shared" si="282"/>
        <v>0</v>
      </c>
      <c r="R156">
        <f t="shared" si="283"/>
        <v>0</v>
      </c>
      <c r="S156">
        <f t="shared" si="284"/>
        <v>0</v>
      </c>
      <c r="T156">
        <f t="shared" si="285"/>
        <v>0</v>
      </c>
      <c r="U156">
        <f t="shared" si="286"/>
        <v>0</v>
      </c>
      <c r="V156">
        <f t="shared" si="287"/>
        <v>0</v>
      </c>
      <c r="W156">
        <f t="shared" si="288"/>
        <v>0</v>
      </c>
      <c r="X156">
        <f t="shared" si="289"/>
        <v>0</v>
      </c>
      <c r="Y156">
        <f t="shared" si="289"/>
        <v>0</v>
      </c>
      <c r="AA156">
        <v>145033679</v>
      </c>
      <c r="AB156">
        <f t="shared" si="290"/>
        <v>14312.87</v>
      </c>
      <c r="AC156">
        <f>ROUND((ES156),2)</f>
        <v>14312.87</v>
      </c>
      <c r="AD156">
        <f>ROUND((((ET156)-(EU156))+AE156),2)</f>
        <v>0</v>
      </c>
      <c r="AE156">
        <f t="shared" ref="AE156:AF158" si="308">ROUND((EU156),2)</f>
        <v>0</v>
      </c>
      <c r="AF156">
        <f t="shared" si="308"/>
        <v>0</v>
      </c>
      <c r="AG156">
        <f t="shared" si="291"/>
        <v>0</v>
      </c>
      <c r="AH156">
        <f t="shared" ref="AH156:AI158" si="309">(EW156)</f>
        <v>0</v>
      </c>
      <c r="AI156">
        <f t="shared" si="309"/>
        <v>0</v>
      </c>
      <c r="AJ156">
        <f t="shared" si="292"/>
        <v>0</v>
      </c>
      <c r="AK156">
        <v>14312.87</v>
      </c>
      <c r="AL156">
        <v>14312.87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94</v>
      </c>
      <c r="AU156">
        <v>51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8.7100000000000009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1</v>
      </c>
      <c r="BJ156" t="s">
        <v>537</v>
      </c>
      <c r="BM156">
        <v>13001</v>
      </c>
      <c r="BN156">
        <v>0</v>
      </c>
      <c r="BO156" t="s">
        <v>3</v>
      </c>
      <c r="BP156">
        <v>0</v>
      </c>
      <c r="BQ156">
        <v>2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94</v>
      </c>
      <c r="CA156">
        <v>51</v>
      </c>
      <c r="CB156" t="s">
        <v>3</v>
      </c>
      <c r="CE156">
        <v>0</v>
      </c>
      <c r="CF156">
        <v>0</v>
      </c>
      <c r="CG156">
        <v>0</v>
      </c>
      <c r="CM156">
        <v>0</v>
      </c>
      <c r="CN156" t="s">
        <v>1104</v>
      </c>
      <c r="CO156">
        <v>0</v>
      </c>
      <c r="CP156">
        <f t="shared" si="293"/>
        <v>-673.19</v>
      </c>
      <c r="CQ156">
        <f t="shared" si="294"/>
        <v>124665.09770000001</v>
      </c>
      <c r="CR156">
        <f>(((ET156)*BB156-(EU156)*BS156)+AE156*BS156)</f>
        <v>0</v>
      </c>
      <c r="CS156">
        <f t="shared" si="295"/>
        <v>0</v>
      </c>
      <c r="CT156">
        <f t="shared" si="296"/>
        <v>0</v>
      </c>
      <c r="CU156">
        <f t="shared" si="297"/>
        <v>0</v>
      </c>
      <c r="CV156">
        <f t="shared" si="297"/>
        <v>0</v>
      </c>
      <c r="CW156">
        <f t="shared" si="297"/>
        <v>0</v>
      </c>
      <c r="CX156">
        <f t="shared" si="297"/>
        <v>0</v>
      </c>
      <c r="CY156">
        <f t="shared" si="298"/>
        <v>0</v>
      </c>
      <c r="CZ156">
        <f t="shared" si="299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1009</v>
      </c>
      <c r="DV156" t="s">
        <v>105</v>
      </c>
      <c r="DW156" t="s">
        <v>105</v>
      </c>
      <c r="DX156">
        <v>1000</v>
      </c>
      <c r="DZ156" t="s">
        <v>3</v>
      </c>
      <c r="EA156" t="s">
        <v>3</v>
      </c>
      <c r="EB156" t="s">
        <v>3</v>
      </c>
      <c r="EC156" t="s">
        <v>3</v>
      </c>
      <c r="EE156">
        <v>140625034</v>
      </c>
      <c r="EF156">
        <v>2</v>
      </c>
      <c r="EG156" t="s">
        <v>22</v>
      </c>
      <c r="EH156">
        <v>13</v>
      </c>
      <c r="EI156" t="s">
        <v>518</v>
      </c>
      <c r="EJ156">
        <v>1</v>
      </c>
      <c r="EK156">
        <v>13001</v>
      </c>
      <c r="EL156" t="s">
        <v>519</v>
      </c>
      <c r="EM156" t="s">
        <v>520</v>
      </c>
      <c r="EO156" t="s">
        <v>95</v>
      </c>
      <c r="EQ156">
        <v>0</v>
      </c>
      <c r="ER156">
        <v>14312.87</v>
      </c>
      <c r="ES156">
        <v>14312.87</v>
      </c>
      <c r="ET156">
        <v>0</v>
      </c>
      <c r="EU156">
        <v>0</v>
      </c>
      <c r="EV156">
        <v>0</v>
      </c>
      <c r="EW156">
        <v>0</v>
      </c>
      <c r="EX156">
        <v>0</v>
      </c>
      <c r="FQ156">
        <v>0</v>
      </c>
      <c r="FR156">
        <f t="shared" si="300"/>
        <v>0</v>
      </c>
      <c r="FS156">
        <v>0</v>
      </c>
      <c r="FX156">
        <v>94</v>
      </c>
      <c r="FY156">
        <v>51</v>
      </c>
      <c r="GA156" t="s">
        <v>3</v>
      </c>
      <c r="GD156">
        <v>1</v>
      </c>
      <c r="GF156">
        <v>499358224</v>
      </c>
      <c r="GG156">
        <v>2</v>
      </c>
      <c r="GH156">
        <v>1</v>
      </c>
      <c r="GI156">
        <v>4</v>
      </c>
      <c r="GJ156">
        <v>0</v>
      </c>
      <c r="GK156">
        <v>0</v>
      </c>
      <c r="GL156">
        <f t="shared" si="301"/>
        <v>0</v>
      </c>
      <c r="GM156">
        <f t="shared" si="302"/>
        <v>-673.19</v>
      </c>
      <c r="GN156">
        <f t="shared" si="303"/>
        <v>-673.19</v>
      </c>
      <c r="GO156">
        <f t="shared" si="304"/>
        <v>0</v>
      </c>
      <c r="GP156">
        <f t="shared" si="305"/>
        <v>0</v>
      </c>
      <c r="GR156">
        <v>0</v>
      </c>
      <c r="GS156">
        <v>3</v>
      </c>
      <c r="GT156">
        <v>0</v>
      </c>
      <c r="GU156" t="s">
        <v>3</v>
      </c>
      <c r="GV156">
        <f>ROUND((GT156),2)</f>
        <v>0</v>
      </c>
      <c r="GW156">
        <v>1</v>
      </c>
      <c r="GX156">
        <f t="shared" si="306"/>
        <v>0</v>
      </c>
      <c r="HA156">
        <v>0</v>
      </c>
      <c r="HB156">
        <v>0</v>
      </c>
      <c r="HC156">
        <f t="shared" si="307"/>
        <v>0</v>
      </c>
      <c r="HE156" t="s">
        <v>3</v>
      </c>
      <c r="HF156" t="s">
        <v>3</v>
      </c>
      <c r="HM156" t="s">
        <v>531</v>
      </c>
      <c r="HN156" t="s">
        <v>521</v>
      </c>
      <c r="HO156" t="s">
        <v>522</v>
      </c>
      <c r="HP156" t="s">
        <v>518</v>
      </c>
      <c r="HQ156" t="s">
        <v>518</v>
      </c>
      <c r="IK156">
        <v>0</v>
      </c>
    </row>
    <row r="157" spans="1:245" x14ac:dyDescent="0.2">
      <c r="A157">
        <v>17</v>
      </c>
      <c r="B157">
        <v>1</v>
      </c>
      <c r="E157" t="s">
        <v>538</v>
      </c>
      <c r="F157" t="s">
        <v>46</v>
      </c>
      <c r="G157" t="s">
        <v>539</v>
      </c>
      <c r="H157" t="s">
        <v>43</v>
      </c>
      <c r="I157">
        <v>14</v>
      </c>
      <c r="J157">
        <v>0</v>
      </c>
      <c r="K157">
        <v>14</v>
      </c>
      <c r="O157">
        <f t="shared" si="280"/>
        <v>3298.48</v>
      </c>
      <c r="P157">
        <f t="shared" si="281"/>
        <v>3298.48</v>
      </c>
      <c r="Q157">
        <f t="shared" si="282"/>
        <v>0</v>
      </c>
      <c r="R157">
        <f t="shared" si="283"/>
        <v>0</v>
      </c>
      <c r="S157">
        <f t="shared" si="284"/>
        <v>0</v>
      </c>
      <c r="T157">
        <f t="shared" si="285"/>
        <v>0</v>
      </c>
      <c r="U157">
        <f t="shared" si="286"/>
        <v>0</v>
      </c>
      <c r="V157">
        <f t="shared" si="287"/>
        <v>0</v>
      </c>
      <c r="W157">
        <f t="shared" si="288"/>
        <v>0</v>
      </c>
      <c r="X157">
        <f t="shared" si="289"/>
        <v>0</v>
      </c>
      <c r="Y157">
        <f t="shared" si="289"/>
        <v>0</v>
      </c>
      <c r="AA157">
        <v>145033679</v>
      </c>
      <c r="AB157">
        <f t="shared" si="290"/>
        <v>27.05</v>
      </c>
      <c r="AC157">
        <f>ROUND((ES157),2)</f>
        <v>27.05</v>
      </c>
      <c r="AD157">
        <f>ROUND((((ET157)-(EU157))+AE157),2)</f>
        <v>0</v>
      </c>
      <c r="AE157">
        <f t="shared" si="308"/>
        <v>0</v>
      </c>
      <c r="AF157">
        <f t="shared" si="308"/>
        <v>0</v>
      </c>
      <c r="AG157">
        <f t="shared" si="291"/>
        <v>0</v>
      </c>
      <c r="AH157">
        <f t="shared" si="309"/>
        <v>0</v>
      </c>
      <c r="AI157">
        <f t="shared" si="309"/>
        <v>0</v>
      </c>
      <c r="AJ157">
        <f t="shared" si="292"/>
        <v>0</v>
      </c>
      <c r="AK157">
        <v>27.050000000000004</v>
      </c>
      <c r="AL157">
        <v>27.050000000000004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8.7100000000000009</v>
      </c>
      <c r="BD157" t="s">
        <v>3</v>
      </c>
      <c r="BE157" t="s">
        <v>3</v>
      </c>
      <c r="BF157" t="s">
        <v>3</v>
      </c>
      <c r="BG157" t="s">
        <v>3</v>
      </c>
      <c r="BH157">
        <v>3</v>
      </c>
      <c r="BI157">
        <v>1</v>
      </c>
      <c r="BJ157" t="s">
        <v>3</v>
      </c>
      <c r="BM157">
        <v>1100</v>
      </c>
      <c r="BN157">
        <v>0</v>
      </c>
      <c r="BO157" t="s">
        <v>3</v>
      </c>
      <c r="BP157">
        <v>0</v>
      </c>
      <c r="BQ157">
        <v>8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0</v>
      </c>
      <c r="CA157">
        <v>0</v>
      </c>
      <c r="CB157" t="s">
        <v>3</v>
      </c>
      <c r="CE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293"/>
        <v>3298.48</v>
      </c>
      <c r="CQ157">
        <f t="shared" si="294"/>
        <v>235.60550000000003</v>
      </c>
      <c r="CR157">
        <f>(((ET157)*BB157-(EU157)*BS157)+AE157*BS157)</f>
        <v>0</v>
      </c>
      <c r="CS157">
        <f t="shared" si="295"/>
        <v>0</v>
      </c>
      <c r="CT157">
        <f t="shared" si="296"/>
        <v>0</v>
      </c>
      <c r="CU157">
        <f t="shared" si="297"/>
        <v>0</v>
      </c>
      <c r="CV157">
        <f t="shared" si="297"/>
        <v>0</v>
      </c>
      <c r="CW157">
        <f t="shared" si="297"/>
        <v>0</v>
      </c>
      <c r="CX157">
        <f t="shared" si="297"/>
        <v>0</v>
      </c>
      <c r="CY157">
        <f t="shared" si="298"/>
        <v>0</v>
      </c>
      <c r="CZ157">
        <f t="shared" si="299"/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43</v>
      </c>
      <c r="DW157" t="s">
        <v>43</v>
      </c>
      <c r="DX157">
        <v>1</v>
      </c>
      <c r="DZ157" t="s">
        <v>3</v>
      </c>
      <c r="EA157" t="s">
        <v>3</v>
      </c>
      <c r="EB157" t="s">
        <v>3</v>
      </c>
      <c r="EC157" t="s">
        <v>3</v>
      </c>
      <c r="EE157">
        <v>140625274</v>
      </c>
      <c r="EF157">
        <v>8</v>
      </c>
      <c r="EG157" t="s">
        <v>48</v>
      </c>
      <c r="EH157">
        <v>0</v>
      </c>
      <c r="EI157" t="s">
        <v>3</v>
      </c>
      <c r="EJ157">
        <v>1</v>
      </c>
      <c r="EK157">
        <v>1100</v>
      </c>
      <c r="EL157" t="s">
        <v>49</v>
      </c>
      <c r="EM157" t="s">
        <v>50</v>
      </c>
      <c r="EO157" t="s">
        <v>3</v>
      </c>
      <c r="EQ157">
        <v>0</v>
      </c>
      <c r="ER157">
        <v>27.050000000000004</v>
      </c>
      <c r="ES157">
        <v>27.050000000000004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5</v>
      </c>
      <c r="FC157">
        <v>1</v>
      </c>
      <c r="FD157">
        <v>18</v>
      </c>
      <c r="FF157">
        <v>264</v>
      </c>
      <c r="FQ157">
        <v>0</v>
      </c>
      <c r="FR157">
        <f t="shared" si="300"/>
        <v>0</v>
      </c>
      <c r="FS157">
        <v>0</v>
      </c>
      <c r="FX157">
        <v>0</v>
      </c>
      <c r="FY157">
        <v>0</v>
      </c>
      <c r="GA157" t="s">
        <v>540</v>
      </c>
      <c r="GD157">
        <v>1</v>
      </c>
      <c r="GF157">
        <v>592724087</v>
      </c>
      <c r="GG157">
        <v>2</v>
      </c>
      <c r="GH157">
        <v>3</v>
      </c>
      <c r="GI157">
        <v>4</v>
      </c>
      <c r="GJ157">
        <v>0</v>
      </c>
      <c r="GK157">
        <v>0</v>
      </c>
      <c r="GL157">
        <f t="shared" si="301"/>
        <v>0</v>
      </c>
      <c r="GM157">
        <f t="shared" si="302"/>
        <v>3298.48</v>
      </c>
      <c r="GN157">
        <f t="shared" si="303"/>
        <v>3298.48</v>
      </c>
      <c r="GO157">
        <f t="shared" si="304"/>
        <v>0</v>
      </c>
      <c r="GP157">
        <f t="shared" si="305"/>
        <v>0</v>
      </c>
      <c r="GR157">
        <v>1</v>
      </c>
      <c r="GS157">
        <v>1</v>
      </c>
      <c r="GT157">
        <v>0</v>
      </c>
      <c r="GU157" t="s">
        <v>3</v>
      </c>
      <c r="GV157">
        <f>ROUND((GT157),2)</f>
        <v>0</v>
      </c>
      <c r="GW157">
        <v>1</v>
      </c>
      <c r="GX157">
        <f t="shared" si="306"/>
        <v>0</v>
      </c>
      <c r="HA157">
        <v>0</v>
      </c>
      <c r="HB157">
        <v>0</v>
      </c>
      <c r="HC157">
        <f t="shared" si="307"/>
        <v>0</v>
      </c>
      <c r="HE157" t="s">
        <v>52</v>
      </c>
      <c r="HF157" t="s">
        <v>29</v>
      </c>
      <c r="HM157" t="s">
        <v>3</v>
      </c>
      <c r="HN157" t="s">
        <v>3</v>
      </c>
      <c r="HO157" t="s">
        <v>3</v>
      </c>
      <c r="HP157" t="s">
        <v>3</v>
      </c>
      <c r="HQ157" t="s">
        <v>3</v>
      </c>
      <c r="IK157">
        <v>0</v>
      </c>
    </row>
    <row r="158" spans="1:245" x14ac:dyDescent="0.2">
      <c r="A158">
        <v>17</v>
      </c>
      <c r="B158">
        <v>1</v>
      </c>
      <c r="E158" t="s">
        <v>541</v>
      </c>
      <c r="F158" t="s">
        <v>281</v>
      </c>
      <c r="G158" t="s">
        <v>282</v>
      </c>
      <c r="H158" t="s">
        <v>79</v>
      </c>
      <c r="I158">
        <v>18.149999999999999</v>
      </c>
      <c r="J158">
        <v>0</v>
      </c>
      <c r="K158">
        <v>18.149999999999999</v>
      </c>
      <c r="O158">
        <f t="shared" si="280"/>
        <v>7771.63</v>
      </c>
      <c r="P158">
        <f t="shared" si="281"/>
        <v>0</v>
      </c>
      <c r="Q158">
        <f t="shared" si="282"/>
        <v>7771.63</v>
      </c>
      <c r="R158">
        <f t="shared" si="283"/>
        <v>5576.27</v>
      </c>
      <c r="S158">
        <f t="shared" si="284"/>
        <v>0</v>
      </c>
      <c r="T158">
        <f t="shared" si="285"/>
        <v>0</v>
      </c>
      <c r="U158">
        <f t="shared" si="286"/>
        <v>0</v>
      </c>
      <c r="V158">
        <f t="shared" si="287"/>
        <v>0</v>
      </c>
      <c r="W158">
        <f t="shared" si="288"/>
        <v>0</v>
      </c>
      <c r="X158">
        <f t="shared" si="289"/>
        <v>0</v>
      </c>
      <c r="Y158">
        <f t="shared" si="289"/>
        <v>0</v>
      </c>
      <c r="AA158">
        <v>145033679</v>
      </c>
      <c r="AB158">
        <f t="shared" si="290"/>
        <v>35.299999999999997</v>
      </c>
      <c r="AC158">
        <f>ROUND((ES158),2)</f>
        <v>0</v>
      </c>
      <c r="AD158">
        <f>ROUND((((ET158)-(EU158))+AE158),2)</f>
        <v>35.299999999999997</v>
      </c>
      <c r="AE158">
        <f t="shared" si="308"/>
        <v>10.06</v>
      </c>
      <c r="AF158">
        <f t="shared" si="308"/>
        <v>0</v>
      </c>
      <c r="AG158">
        <f t="shared" si="291"/>
        <v>0</v>
      </c>
      <c r="AH158">
        <f t="shared" si="309"/>
        <v>0</v>
      </c>
      <c r="AI158">
        <f t="shared" si="309"/>
        <v>0</v>
      </c>
      <c r="AJ158">
        <f t="shared" si="292"/>
        <v>0</v>
      </c>
      <c r="AK158">
        <v>35.299999999999997</v>
      </c>
      <c r="AL158">
        <v>0</v>
      </c>
      <c r="AM158">
        <v>35.299999999999997</v>
      </c>
      <c r="AN158">
        <v>10.06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</v>
      </c>
      <c r="AW158">
        <v>1</v>
      </c>
      <c r="AZ158">
        <v>1</v>
      </c>
      <c r="BA158">
        <v>1</v>
      </c>
      <c r="BB158">
        <v>12.13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2</v>
      </c>
      <c r="BI158">
        <v>1</v>
      </c>
      <c r="BJ158" t="s">
        <v>283</v>
      </c>
      <c r="BM158">
        <v>400001</v>
      </c>
      <c r="BN158">
        <v>0</v>
      </c>
      <c r="BO158" t="s">
        <v>3</v>
      </c>
      <c r="BP158">
        <v>0</v>
      </c>
      <c r="BQ158">
        <v>7</v>
      </c>
      <c r="BR158">
        <v>0</v>
      </c>
      <c r="BS158">
        <v>30.54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0</v>
      </c>
      <c r="CA158">
        <v>0</v>
      </c>
      <c r="CB158" t="s">
        <v>3</v>
      </c>
      <c r="CE158">
        <v>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si="293"/>
        <v>7771.63</v>
      </c>
      <c r="CQ158">
        <f t="shared" si="294"/>
        <v>0</v>
      </c>
      <c r="CR158">
        <f>(((ET158)*BB158-(EU158)*BS158)+AE158*BS158)</f>
        <v>428.18900000000002</v>
      </c>
      <c r="CS158">
        <f t="shared" si="295"/>
        <v>307.23239999999998</v>
      </c>
      <c r="CT158">
        <f t="shared" si="296"/>
        <v>0</v>
      </c>
      <c r="CU158">
        <f t="shared" si="297"/>
        <v>0</v>
      </c>
      <c r="CV158">
        <f t="shared" si="297"/>
        <v>0</v>
      </c>
      <c r="CW158">
        <f t="shared" si="297"/>
        <v>0</v>
      </c>
      <c r="CX158">
        <f t="shared" si="297"/>
        <v>0</v>
      </c>
      <c r="CY158">
        <f t="shared" si="298"/>
        <v>0</v>
      </c>
      <c r="CZ158">
        <f t="shared" si="299"/>
        <v>0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1011</v>
      </c>
      <c r="DV158" t="s">
        <v>79</v>
      </c>
      <c r="DW158" t="s">
        <v>79</v>
      </c>
      <c r="DX158">
        <v>1</v>
      </c>
      <c r="DZ158" t="s">
        <v>3</v>
      </c>
      <c r="EA158" t="s">
        <v>3</v>
      </c>
      <c r="EB158" t="s">
        <v>3</v>
      </c>
      <c r="EC158" t="s">
        <v>3</v>
      </c>
      <c r="EE158">
        <v>140624937</v>
      </c>
      <c r="EF158">
        <v>7</v>
      </c>
      <c r="EG158" t="s">
        <v>81</v>
      </c>
      <c r="EH158">
        <v>0</v>
      </c>
      <c r="EI158" t="s">
        <v>3</v>
      </c>
      <c r="EJ158">
        <v>1</v>
      </c>
      <c r="EK158">
        <v>400001</v>
      </c>
      <c r="EL158" t="s">
        <v>82</v>
      </c>
      <c r="EM158" t="s">
        <v>83</v>
      </c>
      <c r="EO158" t="s">
        <v>3</v>
      </c>
      <c r="EQ158">
        <v>0</v>
      </c>
      <c r="ER158">
        <v>35.299999999999997</v>
      </c>
      <c r="ES158">
        <v>0</v>
      </c>
      <c r="ET158">
        <v>35.299999999999997</v>
      </c>
      <c r="EU158">
        <v>10.06</v>
      </c>
      <c r="EV158">
        <v>0</v>
      </c>
      <c r="EW158">
        <v>0</v>
      </c>
      <c r="EX158">
        <v>0</v>
      </c>
      <c r="EY158">
        <v>0</v>
      </c>
      <c r="FQ158">
        <v>0</v>
      </c>
      <c r="FR158">
        <f t="shared" si="300"/>
        <v>0</v>
      </c>
      <c r="FS158">
        <v>0</v>
      </c>
      <c r="FX158">
        <v>0</v>
      </c>
      <c r="FY158">
        <v>0</v>
      </c>
      <c r="GA158" t="s">
        <v>3</v>
      </c>
      <c r="GD158">
        <v>1</v>
      </c>
      <c r="GF158">
        <v>-1458367635</v>
      </c>
      <c r="GG158">
        <v>2</v>
      </c>
      <c r="GH158">
        <v>1</v>
      </c>
      <c r="GI158">
        <v>4</v>
      </c>
      <c r="GJ158">
        <v>0</v>
      </c>
      <c r="GK158">
        <v>0</v>
      </c>
      <c r="GL158">
        <f t="shared" si="301"/>
        <v>0</v>
      </c>
      <c r="GM158">
        <f t="shared" si="302"/>
        <v>7771.63</v>
      </c>
      <c r="GN158">
        <f t="shared" si="303"/>
        <v>7771.63</v>
      </c>
      <c r="GO158">
        <f t="shared" si="304"/>
        <v>0</v>
      </c>
      <c r="GP158">
        <f t="shared" si="305"/>
        <v>0</v>
      </c>
      <c r="GR158">
        <v>0</v>
      </c>
      <c r="GS158">
        <v>3</v>
      </c>
      <c r="GT158">
        <v>0</v>
      </c>
      <c r="GU158" t="s">
        <v>3</v>
      </c>
      <c r="GV158">
        <f>ROUND((GT158),2)</f>
        <v>0</v>
      </c>
      <c r="GW158">
        <v>1</v>
      </c>
      <c r="GX158">
        <f t="shared" si="306"/>
        <v>0</v>
      </c>
      <c r="HA158">
        <v>0</v>
      </c>
      <c r="HB158">
        <v>0</v>
      </c>
      <c r="HC158">
        <f t="shared" si="307"/>
        <v>0</v>
      </c>
      <c r="HE158" t="s">
        <v>3</v>
      </c>
      <c r="HF158" t="s">
        <v>3</v>
      </c>
      <c r="HM158" t="s">
        <v>3</v>
      </c>
      <c r="HN158" t="s">
        <v>3</v>
      </c>
      <c r="HO158" t="s">
        <v>3</v>
      </c>
      <c r="HP158" t="s">
        <v>3</v>
      </c>
      <c r="HQ158" t="s">
        <v>3</v>
      </c>
      <c r="IK158">
        <v>0</v>
      </c>
    </row>
    <row r="159" spans="1:245" x14ac:dyDescent="0.2">
      <c r="A159">
        <v>19</v>
      </c>
      <c r="B159">
        <v>1</v>
      </c>
      <c r="F159" t="s">
        <v>3</v>
      </c>
      <c r="G159" t="s">
        <v>119</v>
      </c>
      <c r="H159" t="s">
        <v>3</v>
      </c>
      <c r="AA159">
        <v>1</v>
      </c>
      <c r="IK159">
        <v>0</v>
      </c>
    </row>
    <row r="160" spans="1:245" x14ac:dyDescent="0.2">
      <c r="A160">
        <v>17</v>
      </c>
      <c r="B160">
        <v>1</v>
      </c>
      <c r="C160">
        <f>ROW(SmtRes!A376)</f>
        <v>376</v>
      </c>
      <c r="D160">
        <f>ROW(EtalonRes!A376)</f>
        <v>376</v>
      </c>
      <c r="E160" t="s">
        <v>542</v>
      </c>
      <c r="F160" t="s">
        <v>543</v>
      </c>
      <c r="G160" t="s">
        <v>544</v>
      </c>
      <c r="H160" t="s">
        <v>19</v>
      </c>
      <c r="I160">
        <f>ROUND(382.2/100,9)</f>
        <v>3.8220000000000001</v>
      </c>
      <c r="J160">
        <v>0</v>
      </c>
      <c r="K160">
        <f>ROUND(382.2/100,9)</f>
        <v>3.8220000000000001</v>
      </c>
      <c r="O160">
        <f t="shared" ref="O160:O171" si="310">ROUND(CP160,2)</f>
        <v>65391.73</v>
      </c>
      <c r="P160">
        <f t="shared" ref="P160:P171" si="311">ROUND(CQ160*I160,2)</f>
        <v>0</v>
      </c>
      <c r="Q160">
        <f t="shared" ref="Q160:Q171" si="312">ROUND(CR160*I160,2)</f>
        <v>2660.82</v>
      </c>
      <c r="R160">
        <f t="shared" ref="R160:R171" si="313">ROUND(CS160*I160,2)</f>
        <v>968.81</v>
      </c>
      <c r="S160">
        <f t="shared" ref="S160:S171" si="314">ROUND(CT160*I160,2)</f>
        <v>62730.91</v>
      </c>
      <c r="T160">
        <f t="shared" ref="T160:T171" si="315">ROUND(CU160*I160,2)</f>
        <v>0</v>
      </c>
      <c r="U160">
        <f t="shared" ref="U160:U171" si="316">CV160*I160</f>
        <v>251.41116</v>
      </c>
      <c r="V160">
        <f t="shared" ref="V160:V171" si="317">CW160*I160</f>
        <v>2.5668552</v>
      </c>
      <c r="W160">
        <f t="shared" ref="W160:W171" si="318">ROUND(CX160*I160,2)</f>
        <v>0</v>
      </c>
      <c r="X160">
        <f t="shared" ref="X160:X171" si="319">ROUND(CY160,2)</f>
        <v>70069.69</v>
      </c>
      <c r="Y160">
        <f t="shared" ref="Y160:Y171" si="320">ROUND(CZ160,2)</f>
        <v>46500.800000000003</v>
      </c>
      <c r="AA160">
        <v>145033679</v>
      </c>
      <c r="AB160">
        <f t="shared" ref="AB160:AB171" si="321">ROUND((AC160+AD160+AF160),2)</f>
        <v>594.82000000000005</v>
      </c>
      <c r="AC160">
        <f>ROUND(((ES160*0)),2)</f>
        <v>0</v>
      </c>
      <c r="AD160">
        <f>ROUND((((((ET160*1.15)*0.8))-(((EU160*1.15)*0.8)))+AE160),2)</f>
        <v>57.39</v>
      </c>
      <c r="AE160">
        <f>ROUND((((EU160*1.15)*0.8)),2)</f>
        <v>8.3000000000000007</v>
      </c>
      <c r="AF160">
        <f>ROUND((((EV160*1.15)*0.8)),2)</f>
        <v>537.42999999999995</v>
      </c>
      <c r="AG160">
        <f t="shared" ref="AG160:AG171" si="322">ROUND((AP160),2)</f>
        <v>0</v>
      </c>
      <c r="AH160">
        <f>(((EW160*1.15)*0.8))</f>
        <v>65.78</v>
      </c>
      <c r="AI160">
        <f>(((EX160*1.15)*0.8))</f>
        <v>0.67159999999999997</v>
      </c>
      <c r="AJ160">
        <f t="shared" ref="AJ160:AJ171" si="323">(AS160)</f>
        <v>0</v>
      </c>
      <c r="AK160">
        <v>3242.65</v>
      </c>
      <c r="AL160">
        <v>2596.11</v>
      </c>
      <c r="AM160">
        <v>62.38</v>
      </c>
      <c r="AN160">
        <v>9.02</v>
      </c>
      <c r="AO160">
        <v>584.16</v>
      </c>
      <c r="AP160">
        <v>0</v>
      </c>
      <c r="AQ160">
        <v>71.5</v>
      </c>
      <c r="AR160">
        <v>0.73</v>
      </c>
      <c r="AS160">
        <v>0</v>
      </c>
      <c r="AT160">
        <v>110</v>
      </c>
      <c r="AU160">
        <v>73</v>
      </c>
      <c r="AV160">
        <v>1</v>
      </c>
      <c r="AW160">
        <v>1</v>
      </c>
      <c r="AZ160">
        <v>1</v>
      </c>
      <c r="BA160">
        <v>30.54</v>
      </c>
      <c r="BB160">
        <v>12.13</v>
      </c>
      <c r="BC160">
        <v>8.7100000000000009</v>
      </c>
      <c r="BD160" t="s">
        <v>3</v>
      </c>
      <c r="BE160" t="s">
        <v>3</v>
      </c>
      <c r="BF160" t="s">
        <v>3</v>
      </c>
      <c r="BG160" t="s">
        <v>3</v>
      </c>
      <c r="BH160">
        <v>0</v>
      </c>
      <c r="BI160">
        <v>1</v>
      </c>
      <c r="BJ160" t="s">
        <v>545</v>
      </c>
      <c r="BM160">
        <v>7007</v>
      </c>
      <c r="BN160">
        <v>0</v>
      </c>
      <c r="BO160" t="s">
        <v>3</v>
      </c>
      <c r="BP160">
        <v>0</v>
      </c>
      <c r="BQ160">
        <v>2</v>
      </c>
      <c r="BR160">
        <v>0</v>
      </c>
      <c r="BS160">
        <v>30.54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110</v>
      </c>
      <c r="CA160">
        <v>73</v>
      </c>
      <c r="CB160" t="s">
        <v>3</v>
      </c>
      <c r="CE160">
        <v>0</v>
      </c>
      <c r="CF160">
        <v>0</v>
      </c>
      <c r="CG160">
        <v>0</v>
      </c>
      <c r="CM160">
        <v>0</v>
      </c>
      <c r="CN160" t="s">
        <v>1109</v>
      </c>
      <c r="CO160">
        <v>0</v>
      </c>
      <c r="CP160">
        <f t="shared" ref="CP160:CP171" si="324">(P160+Q160+S160)</f>
        <v>65391.73</v>
      </c>
      <c r="CQ160">
        <f t="shared" ref="CQ160:CQ171" si="325">AC160*BC160</f>
        <v>0</v>
      </c>
      <c r="CR160">
        <f>(((((ET160*1.15)*0.8))*BB160-(((EU160*1.15)*0.8))*BS160)+AE160*BS160)</f>
        <v>696.18471199999999</v>
      </c>
      <c r="CS160">
        <f t="shared" ref="CS160:CS171" si="326">AE160*BS160</f>
        <v>253.48200000000003</v>
      </c>
      <c r="CT160">
        <f t="shared" ref="CT160:CT171" si="327">AF160*BA160</f>
        <v>16413.1122</v>
      </c>
      <c r="CU160">
        <f t="shared" ref="CU160:CU171" si="328">AG160</f>
        <v>0</v>
      </c>
      <c r="CV160">
        <f t="shared" ref="CV160:CV171" si="329">AH160</f>
        <v>65.78</v>
      </c>
      <c r="CW160">
        <f t="shared" ref="CW160:CW171" si="330">AI160</f>
        <v>0.67159999999999997</v>
      </c>
      <c r="CX160">
        <f t="shared" ref="CX160:CX171" si="331">AJ160</f>
        <v>0</v>
      </c>
      <c r="CY160">
        <f t="shared" ref="CY160:CY171" si="332">(((S160+R160)*AT160)/100)</f>
        <v>70069.691999999995</v>
      </c>
      <c r="CZ160">
        <f t="shared" ref="CZ160:CZ171" si="333">(((S160+R160)*AU160)/100)</f>
        <v>46500.795600000005</v>
      </c>
      <c r="DC160" t="s">
        <v>3</v>
      </c>
      <c r="DD160" t="s">
        <v>299</v>
      </c>
      <c r="DE160" t="s">
        <v>300</v>
      </c>
      <c r="DF160" t="s">
        <v>300</v>
      </c>
      <c r="DG160" t="s">
        <v>300</v>
      </c>
      <c r="DH160" t="s">
        <v>3</v>
      </c>
      <c r="DI160" t="s">
        <v>300</v>
      </c>
      <c r="DJ160" t="s">
        <v>300</v>
      </c>
      <c r="DK160" t="s">
        <v>3</v>
      </c>
      <c r="DL160" t="s">
        <v>3</v>
      </c>
      <c r="DM160" t="s">
        <v>3</v>
      </c>
      <c r="DN160">
        <v>0</v>
      </c>
      <c r="DO160">
        <v>0</v>
      </c>
      <c r="DP160">
        <v>1</v>
      </c>
      <c r="DQ160">
        <v>1</v>
      </c>
      <c r="DU160">
        <v>1005</v>
      </c>
      <c r="DV160" t="s">
        <v>19</v>
      </c>
      <c r="DW160" t="s">
        <v>19</v>
      </c>
      <c r="DX160">
        <v>100</v>
      </c>
      <c r="DZ160" t="s">
        <v>3</v>
      </c>
      <c r="EA160" t="s">
        <v>3</v>
      </c>
      <c r="EB160" t="s">
        <v>3</v>
      </c>
      <c r="EC160" t="s">
        <v>3</v>
      </c>
      <c r="EE160">
        <v>140625021</v>
      </c>
      <c r="EF160">
        <v>2</v>
      </c>
      <c r="EG160" t="s">
        <v>22</v>
      </c>
      <c r="EH160">
        <v>7</v>
      </c>
      <c r="EI160" t="s">
        <v>546</v>
      </c>
      <c r="EJ160">
        <v>1</v>
      </c>
      <c r="EK160">
        <v>7007</v>
      </c>
      <c r="EL160" t="s">
        <v>546</v>
      </c>
      <c r="EM160" t="s">
        <v>547</v>
      </c>
      <c r="EO160" t="s">
        <v>548</v>
      </c>
      <c r="EQ160">
        <v>0</v>
      </c>
      <c r="ER160">
        <v>3242.65</v>
      </c>
      <c r="ES160">
        <v>2596.11</v>
      </c>
      <c r="ET160">
        <v>62.38</v>
      </c>
      <c r="EU160">
        <v>9.02</v>
      </c>
      <c r="EV160">
        <v>584.16</v>
      </c>
      <c r="EW160">
        <v>71.5</v>
      </c>
      <c r="EX160">
        <v>0.73</v>
      </c>
      <c r="EY160">
        <v>0</v>
      </c>
      <c r="FQ160">
        <v>0</v>
      </c>
      <c r="FR160">
        <f t="shared" ref="FR160:FR171" si="334">ROUND(IF(BI160=3,GM160,0),2)</f>
        <v>0</v>
      </c>
      <c r="FS160">
        <v>0</v>
      </c>
      <c r="FX160">
        <v>110</v>
      </c>
      <c r="FY160">
        <v>73</v>
      </c>
      <c r="GA160" t="s">
        <v>3</v>
      </c>
      <c r="GD160">
        <v>1</v>
      </c>
      <c r="GF160">
        <v>971784872</v>
      </c>
      <c r="GG160">
        <v>2</v>
      </c>
      <c r="GH160">
        <v>1</v>
      </c>
      <c r="GI160">
        <v>4</v>
      </c>
      <c r="GJ160">
        <v>0</v>
      </c>
      <c r="GK160">
        <v>0</v>
      </c>
      <c r="GL160">
        <f t="shared" ref="GL160:GL171" si="335">ROUND(IF(AND(BH160=3,BI160=3,FS160&lt;&gt;0),P160,0),2)</f>
        <v>0</v>
      </c>
      <c r="GM160">
        <f t="shared" ref="GM160:GM171" si="336">ROUND(O160+X160+Y160,2)+GX160</f>
        <v>181962.22</v>
      </c>
      <c r="GN160">
        <f t="shared" ref="GN160:GN171" si="337">IF(OR(BI160=0,BI160=1),ROUND(O160+X160+Y160,2),0)</f>
        <v>181962.22</v>
      </c>
      <c r="GO160">
        <f t="shared" ref="GO160:GO171" si="338">IF(BI160=2,ROUND(O160+X160+Y160,2),0)</f>
        <v>0</v>
      </c>
      <c r="GP160">
        <f t="shared" ref="GP160:GP171" si="339">IF(BI160=4,ROUND(O160+X160+Y160,2)+GX160,0)</f>
        <v>0</v>
      </c>
      <c r="GR160">
        <v>0</v>
      </c>
      <c r="GS160">
        <v>3</v>
      </c>
      <c r="GT160">
        <v>0</v>
      </c>
      <c r="GU160" t="s">
        <v>3</v>
      </c>
      <c r="GV160">
        <f t="shared" ref="GV160:GV165" si="340">ROUND((GT160),2)</f>
        <v>0</v>
      </c>
      <c r="GW160">
        <v>1</v>
      </c>
      <c r="GX160">
        <f t="shared" ref="GX160:GX171" si="341">ROUND(HC160*I160,2)</f>
        <v>0</v>
      </c>
      <c r="HA160">
        <v>0</v>
      </c>
      <c r="HB160">
        <v>0</v>
      </c>
      <c r="HC160">
        <f t="shared" ref="HC160:HC171" si="342">GV160*GW160</f>
        <v>0</v>
      </c>
      <c r="HE160" t="s">
        <v>3</v>
      </c>
      <c r="HF160" t="s">
        <v>3</v>
      </c>
      <c r="HM160" t="s">
        <v>3</v>
      </c>
      <c r="HN160" t="s">
        <v>549</v>
      </c>
      <c r="HO160" t="s">
        <v>550</v>
      </c>
      <c r="HP160" t="s">
        <v>546</v>
      </c>
      <c r="HQ160" t="s">
        <v>546</v>
      </c>
      <c r="IK160">
        <v>0</v>
      </c>
    </row>
    <row r="161" spans="1:245" x14ac:dyDescent="0.2">
      <c r="A161">
        <v>17</v>
      </c>
      <c r="B161">
        <v>1</v>
      </c>
      <c r="C161">
        <f>ROW(SmtRes!A388)</f>
        <v>388</v>
      </c>
      <c r="D161">
        <f>ROW(EtalonRes!A388)</f>
        <v>388</v>
      </c>
      <c r="E161" t="s">
        <v>551</v>
      </c>
      <c r="F161" t="s">
        <v>552</v>
      </c>
      <c r="G161" t="s">
        <v>553</v>
      </c>
      <c r="H161" t="s">
        <v>105</v>
      </c>
      <c r="I161">
        <v>2.5619999999999998</v>
      </c>
      <c r="J161">
        <v>0</v>
      </c>
      <c r="K161">
        <v>2.5619999999999998</v>
      </c>
      <c r="O161">
        <f t="shared" si="310"/>
        <v>144675.64000000001</v>
      </c>
      <c r="P161">
        <f t="shared" si="311"/>
        <v>5129.78</v>
      </c>
      <c r="Q161">
        <f t="shared" si="312"/>
        <v>58642.1</v>
      </c>
      <c r="R161">
        <f t="shared" si="313"/>
        <v>2245.59</v>
      </c>
      <c r="S161">
        <f t="shared" si="314"/>
        <v>80903.759999999995</v>
      </c>
      <c r="T161">
        <f t="shared" si="315"/>
        <v>0</v>
      </c>
      <c r="U161">
        <f t="shared" si="316"/>
        <v>281.82</v>
      </c>
      <c r="V161">
        <f t="shared" si="317"/>
        <v>6.1487999999999996</v>
      </c>
      <c r="W161">
        <f t="shared" si="318"/>
        <v>0</v>
      </c>
      <c r="X161">
        <f t="shared" si="319"/>
        <v>74834.42</v>
      </c>
      <c r="Y161">
        <f t="shared" si="320"/>
        <v>37417.21</v>
      </c>
      <c r="AA161">
        <v>145033679</v>
      </c>
      <c r="AB161">
        <f t="shared" si="321"/>
        <v>3150.87</v>
      </c>
      <c r="AC161">
        <f>ROUND((ES161),2)</f>
        <v>229.88</v>
      </c>
      <c r="AD161">
        <f>ROUND((((ET161)-(EU161))+AE161),2)</f>
        <v>1886.99</v>
      </c>
      <c r="AE161">
        <f>ROUND((EU161),2)</f>
        <v>28.7</v>
      </c>
      <c r="AF161">
        <f>ROUND((EV161),2)</f>
        <v>1034</v>
      </c>
      <c r="AG161">
        <f t="shared" si="322"/>
        <v>0</v>
      </c>
      <c r="AH161">
        <f>(EW161)</f>
        <v>110</v>
      </c>
      <c r="AI161">
        <f>(EX161)</f>
        <v>2.4</v>
      </c>
      <c r="AJ161">
        <f t="shared" si="323"/>
        <v>0</v>
      </c>
      <c r="AK161">
        <v>3150.87</v>
      </c>
      <c r="AL161">
        <v>229.88</v>
      </c>
      <c r="AM161">
        <v>1886.99</v>
      </c>
      <c r="AN161">
        <v>28.7</v>
      </c>
      <c r="AO161">
        <v>1034</v>
      </c>
      <c r="AP161">
        <v>0</v>
      </c>
      <c r="AQ161">
        <v>110</v>
      </c>
      <c r="AR161">
        <v>2.4</v>
      </c>
      <c r="AS161">
        <v>0</v>
      </c>
      <c r="AT161">
        <v>90</v>
      </c>
      <c r="AU161">
        <v>45</v>
      </c>
      <c r="AV161">
        <v>1</v>
      </c>
      <c r="AW161">
        <v>1</v>
      </c>
      <c r="AZ161">
        <v>1</v>
      </c>
      <c r="BA161">
        <v>30.54</v>
      </c>
      <c r="BB161">
        <v>12.13</v>
      </c>
      <c r="BC161">
        <v>8.7100000000000009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2</v>
      </c>
      <c r="BJ161" t="s">
        <v>554</v>
      </c>
      <c r="BM161">
        <v>138001</v>
      </c>
      <c r="BN161">
        <v>0</v>
      </c>
      <c r="BO161" t="s">
        <v>3</v>
      </c>
      <c r="BP161">
        <v>0</v>
      </c>
      <c r="BQ161">
        <v>3</v>
      </c>
      <c r="BR161">
        <v>0</v>
      </c>
      <c r="BS161">
        <v>30.54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90</v>
      </c>
      <c r="CA161">
        <v>45</v>
      </c>
      <c r="CB161" t="s">
        <v>3</v>
      </c>
      <c r="CE161">
        <v>0</v>
      </c>
      <c r="CF161">
        <v>0</v>
      </c>
      <c r="CG161">
        <v>0</v>
      </c>
      <c r="CM161">
        <v>0</v>
      </c>
      <c r="CN161" t="s">
        <v>3</v>
      </c>
      <c r="CO161">
        <v>0</v>
      </c>
      <c r="CP161">
        <f t="shared" si="324"/>
        <v>144675.63999999998</v>
      </c>
      <c r="CQ161">
        <f t="shared" si="325"/>
        <v>2002.2548000000002</v>
      </c>
      <c r="CR161">
        <f>(((ET161)*BB161-(EU161)*BS161)+AE161*BS161)</f>
        <v>22889.188700000002</v>
      </c>
      <c r="CS161">
        <f t="shared" si="326"/>
        <v>876.49799999999993</v>
      </c>
      <c r="CT161">
        <f t="shared" si="327"/>
        <v>31578.36</v>
      </c>
      <c r="CU161">
        <f t="shared" si="328"/>
        <v>0</v>
      </c>
      <c r="CV161">
        <f t="shared" si="329"/>
        <v>110</v>
      </c>
      <c r="CW161">
        <f t="shared" si="330"/>
        <v>2.4</v>
      </c>
      <c r="CX161">
        <f t="shared" si="331"/>
        <v>0</v>
      </c>
      <c r="CY161">
        <f t="shared" si="332"/>
        <v>74834.414999999994</v>
      </c>
      <c r="CZ161">
        <f t="shared" si="333"/>
        <v>37417.207499999997</v>
      </c>
      <c r="DC161" t="s">
        <v>3</v>
      </c>
      <c r="DD161" t="s">
        <v>3</v>
      </c>
      <c r="DE161" t="s">
        <v>3</v>
      </c>
      <c r="DF161" t="s">
        <v>3</v>
      </c>
      <c r="DG161" t="s">
        <v>3</v>
      </c>
      <c r="DH161" t="s">
        <v>3</v>
      </c>
      <c r="DI161" t="s">
        <v>3</v>
      </c>
      <c r="DJ161" t="s">
        <v>3</v>
      </c>
      <c r="DK161" t="s">
        <v>3</v>
      </c>
      <c r="DL161" t="s">
        <v>3</v>
      </c>
      <c r="DM161" t="s">
        <v>3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105</v>
      </c>
      <c r="DW161" t="s">
        <v>105</v>
      </c>
      <c r="DX161">
        <v>1000</v>
      </c>
      <c r="DZ161" t="s">
        <v>3</v>
      </c>
      <c r="EA161" t="s">
        <v>3</v>
      </c>
      <c r="EB161" t="s">
        <v>3</v>
      </c>
      <c r="EC161" t="s">
        <v>3</v>
      </c>
      <c r="EE161">
        <v>140624915</v>
      </c>
      <c r="EF161">
        <v>3</v>
      </c>
      <c r="EG161" t="s">
        <v>107</v>
      </c>
      <c r="EH161">
        <v>80</v>
      </c>
      <c r="EI161" t="s">
        <v>108</v>
      </c>
      <c r="EJ161">
        <v>2</v>
      </c>
      <c r="EK161">
        <v>138001</v>
      </c>
      <c r="EL161" t="s">
        <v>108</v>
      </c>
      <c r="EM161" t="s">
        <v>109</v>
      </c>
      <c r="EO161" t="s">
        <v>3</v>
      </c>
      <c r="EQ161">
        <v>0</v>
      </c>
      <c r="ER161">
        <v>3150.87</v>
      </c>
      <c r="ES161">
        <v>229.88</v>
      </c>
      <c r="ET161">
        <v>1886.99</v>
      </c>
      <c r="EU161">
        <v>28.7</v>
      </c>
      <c r="EV161">
        <v>1034</v>
      </c>
      <c r="EW161">
        <v>110</v>
      </c>
      <c r="EX161">
        <v>2.4</v>
      </c>
      <c r="EY161">
        <v>0</v>
      </c>
      <c r="FQ161">
        <v>0</v>
      </c>
      <c r="FR161">
        <f t="shared" si="334"/>
        <v>0</v>
      </c>
      <c r="FS161">
        <v>0</v>
      </c>
      <c r="FX161">
        <v>90</v>
      </c>
      <c r="FY161">
        <v>45</v>
      </c>
      <c r="GA161" t="s">
        <v>3</v>
      </c>
      <c r="GD161">
        <v>1</v>
      </c>
      <c r="GF161">
        <v>-92399237</v>
      </c>
      <c r="GG161">
        <v>2</v>
      </c>
      <c r="GH161">
        <v>1</v>
      </c>
      <c r="GI161">
        <v>4</v>
      </c>
      <c r="GJ161">
        <v>0</v>
      </c>
      <c r="GK161">
        <v>0</v>
      </c>
      <c r="GL161">
        <f t="shared" si="335"/>
        <v>0</v>
      </c>
      <c r="GM161">
        <f t="shared" si="336"/>
        <v>256927.27</v>
      </c>
      <c r="GN161">
        <f t="shared" si="337"/>
        <v>0</v>
      </c>
      <c r="GO161">
        <f t="shared" si="338"/>
        <v>256927.27</v>
      </c>
      <c r="GP161">
        <f t="shared" si="339"/>
        <v>0</v>
      </c>
      <c r="GR161">
        <v>0</v>
      </c>
      <c r="GS161">
        <v>3</v>
      </c>
      <c r="GT161">
        <v>0</v>
      </c>
      <c r="GU161" t="s">
        <v>3</v>
      </c>
      <c r="GV161">
        <f t="shared" si="340"/>
        <v>0</v>
      </c>
      <c r="GW161">
        <v>1</v>
      </c>
      <c r="GX161">
        <f t="shared" si="341"/>
        <v>0</v>
      </c>
      <c r="HA161">
        <v>0</v>
      </c>
      <c r="HB161">
        <v>0</v>
      </c>
      <c r="HC161">
        <f t="shared" si="342"/>
        <v>0</v>
      </c>
      <c r="HE161" t="s">
        <v>3</v>
      </c>
      <c r="HF161" t="s">
        <v>3</v>
      </c>
      <c r="HM161" t="s">
        <v>3</v>
      </c>
      <c r="HN161" t="s">
        <v>110</v>
      </c>
      <c r="HO161" t="s">
        <v>111</v>
      </c>
      <c r="HP161" t="s">
        <v>108</v>
      </c>
      <c r="HQ161" t="s">
        <v>108</v>
      </c>
      <c r="IK161">
        <v>0</v>
      </c>
    </row>
    <row r="162" spans="1:245" x14ac:dyDescent="0.2">
      <c r="A162">
        <v>17</v>
      </c>
      <c r="B162">
        <v>1</v>
      </c>
      <c r="C162">
        <f>ROW(SmtRes!A410)</f>
        <v>410</v>
      </c>
      <c r="D162">
        <f>ROW(EtalonRes!A410)</f>
        <v>410</v>
      </c>
      <c r="E162" t="s">
        <v>555</v>
      </c>
      <c r="F162" t="s">
        <v>556</v>
      </c>
      <c r="G162" t="s">
        <v>557</v>
      </c>
      <c r="H162" t="s">
        <v>105</v>
      </c>
      <c r="I162">
        <v>2.5619999999999998</v>
      </c>
      <c r="J162">
        <v>0</v>
      </c>
      <c r="K162">
        <v>2.5619999999999998</v>
      </c>
      <c r="O162">
        <f t="shared" si="310"/>
        <v>55317.35</v>
      </c>
      <c r="P162">
        <f t="shared" si="311"/>
        <v>5035.16</v>
      </c>
      <c r="Q162">
        <f t="shared" si="312"/>
        <v>23945.43</v>
      </c>
      <c r="R162">
        <f t="shared" si="313"/>
        <v>4661.75</v>
      </c>
      <c r="S162">
        <f t="shared" si="314"/>
        <v>26336.76</v>
      </c>
      <c r="T162">
        <f t="shared" si="315"/>
        <v>0</v>
      </c>
      <c r="U162">
        <f t="shared" si="316"/>
        <v>85.722598499999989</v>
      </c>
      <c r="V162">
        <f t="shared" si="317"/>
        <v>11.343254999999997</v>
      </c>
      <c r="W162">
        <f t="shared" si="318"/>
        <v>0</v>
      </c>
      <c r="X162">
        <f t="shared" si="319"/>
        <v>28828.61</v>
      </c>
      <c r="Y162">
        <f t="shared" si="320"/>
        <v>16336.21</v>
      </c>
      <c r="AA162">
        <v>145033679</v>
      </c>
      <c r="AB162">
        <f t="shared" si="321"/>
        <v>1332.76</v>
      </c>
      <c r="AC162">
        <f>ROUND((ES162),2)</f>
        <v>225.64</v>
      </c>
      <c r="AD162">
        <f>ROUND((((((ET162*1.25)*1.15))-(((EU162*1.25)*1.15)))+AE162),2)</f>
        <v>770.52</v>
      </c>
      <c r="AE162">
        <f>ROUND((((EU162*1.25)*1.15)),2)</f>
        <v>59.58</v>
      </c>
      <c r="AF162">
        <f>ROUND((((EV162*1.15)*1.15)),2)</f>
        <v>336.6</v>
      </c>
      <c r="AG162">
        <f t="shared" si="322"/>
        <v>0</v>
      </c>
      <c r="AH162">
        <f>(((EW162*1.15)*1.15))</f>
        <v>33.459249999999997</v>
      </c>
      <c r="AI162">
        <f>(((EX162*1.25)*1.15))</f>
        <v>4.4274999999999993</v>
      </c>
      <c r="AJ162">
        <f t="shared" si="323"/>
        <v>0</v>
      </c>
      <c r="AK162">
        <v>1016.18</v>
      </c>
      <c r="AL162">
        <v>225.64</v>
      </c>
      <c r="AM162">
        <v>536.02</v>
      </c>
      <c r="AN162">
        <v>41.45</v>
      </c>
      <c r="AO162">
        <v>254.52</v>
      </c>
      <c r="AP162">
        <v>0</v>
      </c>
      <c r="AQ162">
        <v>25.3</v>
      </c>
      <c r="AR162">
        <v>3.08</v>
      </c>
      <c r="AS162">
        <v>0</v>
      </c>
      <c r="AT162">
        <v>93</v>
      </c>
      <c r="AU162">
        <v>52.7</v>
      </c>
      <c r="AV162">
        <v>1</v>
      </c>
      <c r="AW162">
        <v>1</v>
      </c>
      <c r="AZ162">
        <v>1</v>
      </c>
      <c r="BA162">
        <v>30.54</v>
      </c>
      <c r="BB162">
        <v>12.13</v>
      </c>
      <c r="BC162">
        <v>8.7100000000000009</v>
      </c>
      <c r="BD162" t="s">
        <v>3</v>
      </c>
      <c r="BE162" t="s">
        <v>3</v>
      </c>
      <c r="BF162" t="s">
        <v>3</v>
      </c>
      <c r="BG162" t="s">
        <v>3</v>
      </c>
      <c r="BH162">
        <v>0</v>
      </c>
      <c r="BI162">
        <v>1</v>
      </c>
      <c r="BJ162" t="s">
        <v>558</v>
      </c>
      <c r="BM162">
        <v>9001</v>
      </c>
      <c r="BN162">
        <v>0</v>
      </c>
      <c r="BO162" t="s">
        <v>3</v>
      </c>
      <c r="BP162">
        <v>0</v>
      </c>
      <c r="BQ162">
        <v>2</v>
      </c>
      <c r="BR162">
        <v>0</v>
      </c>
      <c r="BS162">
        <v>30.54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93</v>
      </c>
      <c r="CA162">
        <v>62</v>
      </c>
      <c r="CB162" t="s">
        <v>3</v>
      </c>
      <c r="CE162">
        <v>0</v>
      </c>
      <c r="CF162">
        <v>0</v>
      </c>
      <c r="CG162">
        <v>0</v>
      </c>
      <c r="CM162">
        <v>0</v>
      </c>
      <c r="CN162" t="s">
        <v>1104</v>
      </c>
      <c r="CO162">
        <v>0</v>
      </c>
      <c r="CP162">
        <f t="shared" si="324"/>
        <v>55317.35</v>
      </c>
      <c r="CQ162">
        <f t="shared" si="325"/>
        <v>1965.3244</v>
      </c>
      <c r="CR162">
        <f>(((((ET162*1.25)*1.15))*BB162-(((EU162*1.25)*1.15))*BS162)+AE162*BS162)</f>
        <v>9346.3801249999997</v>
      </c>
      <c r="CS162">
        <f t="shared" si="326"/>
        <v>1819.5731999999998</v>
      </c>
      <c r="CT162">
        <f t="shared" si="327"/>
        <v>10279.764000000001</v>
      </c>
      <c r="CU162">
        <f t="shared" si="328"/>
        <v>0</v>
      </c>
      <c r="CV162">
        <f t="shared" si="329"/>
        <v>33.459249999999997</v>
      </c>
      <c r="CW162">
        <f t="shared" si="330"/>
        <v>4.4274999999999993</v>
      </c>
      <c r="CX162">
        <f t="shared" si="331"/>
        <v>0</v>
      </c>
      <c r="CY162">
        <f t="shared" si="332"/>
        <v>28828.614299999997</v>
      </c>
      <c r="CZ162">
        <f t="shared" si="333"/>
        <v>16336.214769999999</v>
      </c>
      <c r="DC162" t="s">
        <v>3</v>
      </c>
      <c r="DD162" t="s">
        <v>3</v>
      </c>
      <c r="DE162" t="s">
        <v>90</v>
      </c>
      <c r="DF162" t="s">
        <v>90</v>
      </c>
      <c r="DG162" t="s">
        <v>91</v>
      </c>
      <c r="DH162" t="s">
        <v>3</v>
      </c>
      <c r="DI162" t="s">
        <v>91</v>
      </c>
      <c r="DJ162" t="s">
        <v>90</v>
      </c>
      <c r="DK162" t="s">
        <v>3</v>
      </c>
      <c r="DL162" t="s">
        <v>3</v>
      </c>
      <c r="DM162" t="s">
        <v>92</v>
      </c>
      <c r="DN162">
        <v>0</v>
      </c>
      <c r="DO162">
        <v>0</v>
      </c>
      <c r="DP162">
        <v>1</v>
      </c>
      <c r="DQ162">
        <v>1</v>
      </c>
      <c r="DU162">
        <v>1009</v>
      </c>
      <c r="DV162" t="s">
        <v>105</v>
      </c>
      <c r="DW162" t="s">
        <v>105</v>
      </c>
      <c r="DX162">
        <v>1000</v>
      </c>
      <c r="DZ162" t="s">
        <v>3</v>
      </c>
      <c r="EA162" t="s">
        <v>3</v>
      </c>
      <c r="EB162" t="s">
        <v>3</v>
      </c>
      <c r="EC162" t="s">
        <v>3</v>
      </c>
      <c r="EE162">
        <v>140625026</v>
      </c>
      <c r="EF162">
        <v>2</v>
      </c>
      <c r="EG162" t="s">
        <v>22</v>
      </c>
      <c r="EH162">
        <v>9</v>
      </c>
      <c r="EI162" t="s">
        <v>263</v>
      </c>
      <c r="EJ162">
        <v>1</v>
      </c>
      <c r="EK162">
        <v>9001</v>
      </c>
      <c r="EL162" t="s">
        <v>263</v>
      </c>
      <c r="EM162" t="s">
        <v>264</v>
      </c>
      <c r="EO162" t="s">
        <v>95</v>
      </c>
      <c r="EQ162">
        <v>0</v>
      </c>
      <c r="ER162">
        <v>1016.18</v>
      </c>
      <c r="ES162">
        <v>225.64</v>
      </c>
      <c r="ET162">
        <v>536.02</v>
      </c>
      <c r="EU162">
        <v>41.45</v>
      </c>
      <c r="EV162">
        <v>254.52</v>
      </c>
      <c r="EW162">
        <v>25.3</v>
      </c>
      <c r="EX162">
        <v>3.08</v>
      </c>
      <c r="EY162">
        <v>0</v>
      </c>
      <c r="FQ162">
        <v>0</v>
      </c>
      <c r="FR162">
        <f t="shared" si="334"/>
        <v>0</v>
      </c>
      <c r="FS162">
        <v>0</v>
      </c>
      <c r="FX162">
        <v>93</v>
      </c>
      <c r="FY162">
        <v>52.7</v>
      </c>
      <c r="GA162" t="s">
        <v>3</v>
      </c>
      <c r="GD162">
        <v>1</v>
      </c>
      <c r="GF162">
        <v>486376428</v>
      </c>
      <c r="GG162">
        <v>2</v>
      </c>
      <c r="GH162">
        <v>1</v>
      </c>
      <c r="GI162">
        <v>4</v>
      </c>
      <c r="GJ162">
        <v>0</v>
      </c>
      <c r="GK162">
        <v>0</v>
      </c>
      <c r="GL162">
        <f t="shared" si="335"/>
        <v>0</v>
      </c>
      <c r="GM162">
        <f t="shared" si="336"/>
        <v>100482.17</v>
      </c>
      <c r="GN162">
        <f t="shared" si="337"/>
        <v>100482.17</v>
      </c>
      <c r="GO162">
        <f t="shared" si="338"/>
        <v>0</v>
      </c>
      <c r="GP162">
        <f t="shared" si="339"/>
        <v>0</v>
      </c>
      <c r="GR162">
        <v>0</v>
      </c>
      <c r="GS162">
        <v>3</v>
      </c>
      <c r="GT162">
        <v>0</v>
      </c>
      <c r="GU162" t="s">
        <v>3</v>
      </c>
      <c r="GV162">
        <f t="shared" si="340"/>
        <v>0</v>
      </c>
      <c r="GW162">
        <v>1</v>
      </c>
      <c r="GX162">
        <f t="shared" si="341"/>
        <v>0</v>
      </c>
      <c r="HA162">
        <v>0</v>
      </c>
      <c r="HB162">
        <v>0</v>
      </c>
      <c r="HC162">
        <f t="shared" si="342"/>
        <v>0</v>
      </c>
      <c r="HE162" t="s">
        <v>3</v>
      </c>
      <c r="HF162" t="s">
        <v>3</v>
      </c>
      <c r="HM162" t="s">
        <v>3</v>
      </c>
      <c r="HN162" t="s">
        <v>265</v>
      </c>
      <c r="HO162" t="s">
        <v>266</v>
      </c>
      <c r="HP162" t="s">
        <v>263</v>
      </c>
      <c r="HQ162" t="s">
        <v>263</v>
      </c>
      <c r="IK162">
        <v>0</v>
      </c>
    </row>
    <row r="163" spans="1:245" x14ac:dyDescent="0.2">
      <c r="A163">
        <v>17</v>
      </c>
      <c r="B163">
        <v>1</v>
      </c>
      <c r="E163" t="s">
        <v>559</v>
      </c>
      <c r="F163" t="s">
        <v>46</v>
      </c>
      <c r="G163" t="s">
        <v>560</v>
      </c>
      <c r="H163" t="s">
        <v>105</v>
      </c>
      <c r="I163">
        <v>2.6901000000000002</v>
      </c>
      <c r="J163">
        <v>0</v>
      </c>
      <c r="K163">
        <v>2.6901000000000002</v>
      </c>
      <c r="O163">
        <f t="shared" si="310"/>
        <v>173118.95</v>
      </c>
      <c r="P163">
        <f t="shared" si="311"/>
        <v>173118.95</v>
      </c>
      <c r="Q163">
        <f t="shared" si="312"/>
        <v>0</v>
      </c>
      <c r="R163">
        <f t="shared" si="313"/>
        <v>0</v>
      </c>
      <c r="S163">
        <f t="shared" si="314"/>
        <v>0</v>
      </c>
      <c r="T163">
        <f t="shared" si="315"/>
        <v>0</v>
      </c>
      <c r="U163">
        <f t="shared" si="316"/>
        <v>0</v>
      </c>
      <c r="V163">
        <f t="shared" si="317"/>
        <v>0</v>
      </c>
      <c r="W163">
        <f t="shared" si="318"/>
        <v>0</v>
      </c>
      <c r="X163">
        <f t="shared" si="319"/>
        <v>0</v>
      </c>
      <c r="Y163">
        <f t="shared" si="320"/>
        <v>0</v>
      </c>
      <c r="AA163">
        <v>145033679</v>
      </c>
      <c r="AB163">
        <f t="shared" si="321"/>
        <v>7388.53</v>
      </c>
      <c r="AC163">
        <f>ROUND((ES163),2)</f>
        <v>7388.53</v>
      </c>
      <c r="AD163">
        <f>ROUND((((ET163)-(EU163))+AE163),2)</f>
        <v>0</v>
      </c>
      <c r="AE163">
        <f t="shared" ref="AE163:AF165" si="343">ROUND((EU163),2)</f>
        <v>0</v>
      </c>
      <c r="AF163">
        <f t="shared" si="343"/>
        <v>0</v>
      </c>
      <c r="AG163">
        <f t="shared" si="322"/>
        <v>0</v>
      </c>
      <c r="AH163">
        <f t="shared" ref="AH163:AI165" si="344">(EW163)</f>
        <v>0</v>
      </c>
      <c r="AI163">
        <f t="shared" si="344"/>
        <v>0</v>
      </c>
      <c r="AJ163">
        <f t="shared" si="323"/>
        <v>0</v>
      </c>
      <c r="AK163">
        <v>7388.5300000000007</v>
      </c>
      <c r="AL163">
        <v>7388.5300000000007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8.7100000000000009</v>
      </c>
      <c r="BD163" t="s">
        <v>3</v>
      </c>
      <c r="BE163" t="s">
        <v>3</v>
      </c>
      <c r="BF163" t="s">
        <v>3</v>
      </c>
      <c r="BG163" t="s">
        <v>3</v>
      </c>
      <c r="BH163">
        <v>3</v>
      </c>
      <c r="BI163">
        <v>1</v>
      </c>
      <c r="BJ163" t="s">
        <v>3</v>
      </c>
      <c r="BM163">
        <v>1100</v>
      </c>
      <c r="BN163">
        <v>0</v>
      </c>
      <c r="BO163" t="s">
        <v>3</v>
      </c>
      <c r="BP163">
        <v>0</v>
      </c>
      <c r="BQ163">
        <v>8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0</v>
      </c>
      <c r="CA163">
        <v>0</v>
      </c>
      <c r="CB163" t="s">
        <v>3</v>
      </c>
      <c r="CE163">
        <v>0</v>
      </c>
      <c r="CF163">
        <v>0</v>
      </c>
      <c r="CG163">
        <v>0</v>
      </c>
      <c r="CM163">
        <v>0</v>
      </c>
      <c r="CN163" t="s">
        <v>3</v>
      </c>
      <c r="CO163">
        <v>0</v>
      </c>
      <c r="CP163">
        <f t="shared" si="324"/>
        <v>173118.95</v>
      </c>
      <c r="CQ163">
        <f t="shared" si="325"/>
        <v>64354.096300000005</v>
      </c>
      <c r="CR163">
        <f>(((ET163)*BB163-(EU163)*BS163)+AE163*BS163)</f>
        <v>0</v>
      </c>
      <c r="CS163">
        <f t="shared" si="326"/>
        <v>0</v>
      </c>
      <c r="CT163">
        <f t="shared" si="327"/>
        <v>0</v>
      </c>
      <c r="CU163">
        <f t="shared" si="328"/>
        <v>0</v>
      </c>
      <c r="CV163">
        <f t="shared" si="329"/>
        <v>0</v>
      </c>
      <c r="CW163">
        <f t="shared" si="330"/>
        <v>0</v>
      </c>
      <c r="CX163">
        <f t="shared" si="331"/>
        <v>0</v>
      </c>
      <c r="CY163">
        <f t="shared" si="332"/>
        <v>0</v>
      </c>
      <c r="CZ163">
        <f t="shared" si="333"/>
        <v>0</v>
      </c>
      <c r="DC163" t="s">
        <v>3</v>
      </c>
      <c r="DD163" t="s">
        <v>3</v>
      </c>
      <c r="DE163" t="s">
        <v>3</v>
      </c>
      <c r="DF163" t="s">
        <v>3</v>
      </c>
      <c r="DG163" t="s">
        <v>3</v>
      </c>
      <c r="DH163" t="s">
        <v>3</v>
      </c>
      <c r="DI163" t="s">
        <v>3</v>
      </c>
      <c r="DJ163" t="s">
        <v>3</v>
      </c>
      <c r="DK163" t="s">
        <v>3</v>
      </c>
      <c r="DL163" t="s">
        <v>3</v>
      </c>
      <c r="DM163" t="s">
        <v>3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105</v>
      </c>
      <c r="DW163" t="s">
        <v>105</v>
      </c>
      <c r="DX163">
        <v>1000</v>
      </c>
      <c r="DZ163" t="s">
        <v>3</v>
      </c>
      <c r="EA163" t="s">
        <v>3</v>
      </c>
      <c r="EB163" t="s">
        <v>3</v>
      </c>
      <c r="EC163" t="s">
        <v>3</v>
      </c>
      <c r="EE163">
        <v>140625274</v>
      </c>
      <c r="EF163">
        <v>8</v>
      </c>
      <c r="EG163" t="s">
        <v>48</v>
      </c>
      <c r="EH163">
        <v>0</v>
      </c>
      <c r="EI163" t="s">
        <v>3</v>
      </c>
      <c r="EJ163">
        <v>1</v>
      </c>
      <c r="EK163">
        <v>1100</v>
      </c>
      <c r="EL163" t="s">
        <v>49</v>
      </c>
      <c r="EM163" t="s">
        <v>50</v>
      </c>
      <c r="EO163" t="s">
        <v>3</v>
      </c>
      <c r="EQ163">
        <v>0</v>
      </c>
      <c r="ER163">
        <v>7388.5300000000007</v>
      </c>
      <c r="ES163">
        <v>7388.5300000000007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5</v>
      </c>
      <c r="FC163">
        <v>1</v>
      </c>
      <c r="FD163">
        <v>18</v>
      </c>
      <c r="FF163">
        <v>73000</v>
      </c>
      <c r="FQ163">
        <v>0</v>
      </c>
      <c r="FR163">
        <f t="shared" si="334"/>
        <v>0</v>
      </c>
      <c r="FS163">
        <v>0</v>
      </c>
      <c r="FX163">
        <v>0</v>
      </c>
      <c r="FY163">
        <v>0</v>
      </c>
      <c r="GA163" t="s">
        <v>561</v>
      </c>
      <c r="GD163">
        <v>1</v>
      </c>
      <c r="GF163">
        <v>1260017547</v>
      </c>
      <c r="GG163">
        <v>2</v>
      </c>
      <c r="GH163">
        <v>3</v>
      </c>
      <c r="GI163">
        <v>4</v>
      </c>
      <c r="GJ163">
        <v>0</v>
      </c>
      <c r="GK163">
        <v>0</v>
      </c>
      <c r="GL163">
        <f t="shared" si="335"/>
        <v>0</v>
      </c>
      <c r="GM163">
        <f t="shared" si="336"/>
        <v>173118.95</v>
      </c>
      <c r="GN163">
        <f t="shared" si="337"/>
        <v>173118.95</v>
      </c>
      <c r="GO163">
        <f t="shared" si="338"/>
        <v>0</v>
      </c>
      <c r="GP163">
        <f t="shared" si="339"/>
        <v>0</v>
      </c>
      <c r="GR163">
        <v>1</v>
      </c>
      <c r="GS163">
        <v>1</v>
      </c>
      <c r="GT163">
        <v>0</v>
      </c>
      <c r="GU163" t="s">
        <v>3</v>
      </c>
      <c r="GV163">
        <f t="shared" si="340"/>
        <v>0</v>
      </c>
      <c r="GW163">
        <v>1</v>
      </c>
      <c r="GX163">
        <f t="shared" si="341"/>
        <v>0</v>
      </c>
      <c r="HA163">
        <v>0</v>
      </c>
      <c r="HB163">
        <v>0</v>
      </c>
      <c r="HC163">
        <f t="shared" si="342"/>
        <v>0</v>
      </c>
      <c r="HE163" t="s">
        <v>52</v>
      </c>
      <c r="HF163" t="s">
        <v>115</v>
      </c>
      <c r="HM163" t="s">
        <v>3</v>
      </c>
      <c r="HN163" t="s">
        <v>3</v>
      </c>
      <c r="HO163" t="s">
        <v>3</v>
      </c>
      <c r="HP163" t="s">
        <v>3</v>
      </c>
      <c r="HQ163" t="s">
        <v>3</v>
      </c>
      <c r="IK163">
        <v>0</v>
      </c>
    </row>
    <row r="164" spans="1:245" x14ac:dyDescent="0.2">
      <c r="A164">
        <v>17</v>
      </c>
      <c r="B164">
        <v>1</v>
      </c>
      <c r="C164">
        <f>ROW(SmtRes!A412)</f>
        <v>412</v>
      </c>
      <c r="D164">
        <f>ROW(EtalonRes!A412)</f>
        <v>412</v>
      </c>
      <c r="E164" t="s">
        <v>562</v>
      </c>
      <c r="F164" t="s">
        <v>515</v>
      </c>
      <c r="G164" t="s">
        <v>516</v>
      </c>
      <c r="H164" t="s">
        <v>131</v>
      </c>
      <c r="I164">
        <v>168</v>
      </c>
      <c r="J164">
        <v>0</v>
      </c>
      <c r="K164">
        <v>168</v>
      </c>
      <c r="O164">
        <f t="shared" si="310"/>
        <v>3750.92</v>
      </c>
      <c r="P164">
        <f t="shared" si="311"/>
        <v>0</v>
      </c>
      <c r="Q164">
        <f t="shared" si="312"/>
        <v>672.49</v>
      </c>
      <c r="R164">
        <f t="shared" si="313"/>
        <v>0</v>
      </c>
      <c r="S164">
        <f t="shared" si="314"/>
        <v>3078.43</v>
      </c>
      <c r="T164">
        <f t="shared" si="315"/>
        <v>0</v>
      </c>
      <c r="U164">
        <f t="shared" si="316"/>
        <v>11.760000000000002</v>
      </c>
      <c r="V164">
        <f t="shared" si="317"/>
        <v>0</v>
      </c>
      <c r="W164">
        <f t="shared" si="318"/>
        <v>0</v>
      </c>
      <c r="X164">
        <f t="shared" si="319"/>
        <v>2893.72</v>
      </c>
      <c r="Y164">
        <f t="shared" si="320"/>
        <v>1570</v>
      </c>
      <c r="AA164">
        <v>145033679</v>
      </c>
      <c r="AB164">
        <f t="shared" si="321"/>
        <v>0.93</v>
      </c>
      <c r="AC164">
        <f>ROUND((ES164),2)</f>
        <v>0</v>
      </c>
      <c r="AD164">
        <f>ROUND((((ET164)-(EU164))+AE164),2)</f>
        <v>0.33</v>
      </c>
      <c r="AE164">
        <f t="shared" si="343"/>
        <v>0</v>
      </c>
      <c r="AF164">
        <f t="shared" si="343"/>
        <v>0.6</v>
      </c>
      <c r="AG164">
        <f t="shared" si="322"/>
        <v>0</v>
      </c>
      <c r="AH164">
        <f t="shared" si="344"/>
        <v>7.0000000000000007E-2</v>
      </c>
      <c r="AI164">
        <f t="shared" si="344"/>
        <v>0</v>
      </c>
      <c r="AJ164">
        <f t="shared" si="323"/>
        <v>0</v>
      </c>
      <c r="AK164">
        <v>0.93</v>
      </c>
      <c r="AL164">
        <v>0</v>
      </c>
      <c r="AM164">
        <v>0.33</v>
      </c>
      <c r="AN164">
        <v>0</v>
      </c>
      <c r="AO164">
        <v>0.6</v>
      </c>
      <c r="AP164">
        <v>0</v>
      </c>
      <c r="AQ164">
        <v>7.0000000000000007E-2</v>
      </c>
      <c r="AR164">
        <v>0</v>
      </c>
      <c r="AS164">
        <v>0</v>
      </c>
      <c r="AT164">
        <v>94</v>
      </c>
      <c r="AU164">
        <v>51</v>
      </c>
      <c r="AV164">
        <v>1</v>
      </c>
      <c r="AW164">
        <v>1</v>
      </c>
      <c r="AZ164">
        <v>1</v>
      </c>
      <c r="BA164">
        <v>30.54</v>
      </c>
      <c r="BB164">
        <v>12.13</v>
      </c>
      <c r="BC164">
        <v>8.7100000000000009</v>
      </c>
      <c r="BD164" t="s">
        <v>3</v>
      </c>
      <c r="BE164" t="s">
        <v>3</v>
      </c>
      <c r="BF164" t="s">
        <v>3</v>
      </c>
      <c r="BG164" t="s">
        <v>3</v>
      </c>
      <c r="BH164">
        <v>0</v>
      </c>
      <c r="BI164">
        <v>1</v>
      </c>
      <c r="BJ164" t="s">
        <v>517</v>
      </c>
      <c r="BM164">
        <v>13001</v>
      </c>
      <c r="BN164">
        <v>0</v>
      </c>
      <c r="BO164" t="s">
        <v>3</v>
      </c>
      <c r="BP164">
        <v>0</v>
      </c>
      <c r="BQ164">
        <v>2</v>
      </c>
      <c r="BR164">
        <v>0</v>
      </c>
      <c r="BS164">
        <v>30.54</v>
      </c>
      <c r="BT164">
        <v>1</v>
      </c>
      <c r="BU164">
        <v>1</v>
      </c>
      <c r="BV164">
        <v>1</v>
      </c>
      <c r="BW164">
        <v>1</v>
      </c>
      <c r="BX164">
        <v>1</v>
      </c>
      <c r="BY164" t="s">
        <v>3</v>
      </c>
      <c r="BZ164">
        <v>94</v>
      </c>
      <c r="CA164">
        <v>51</v>
      </c>
      <c r="CB164" t="s">
        <v>3</v>
      </c>
      <c r="CE164">
        <v>0</v>
      </c>
      <c r="CF164">
        <v>0</v>
      </c>
      <c r="CG164">
        <v>0</v>
      </c>
      <c r="CM164">
        <v>0</v>
      </c>
      <c r="CN164" t="s">
        <v>3</v>
      </c>
      <c r="CO164">
        <v>0</v>
      </c>
      <c r="CP164">
        <f t="shared" si="324"/>
        <v>3750.92</v>
      </c>
      <c r="CQ164">
        <f t="shared" si="325"/>
        <v>0</v>
      </c>
      <c r="CR164">
        <f>(((ET164)*BB164-(EU164)*BS164)+AE164*BS164)</f>
        <v>4.0029000000000003</v>
      </c>
      <c r="CS164">
        <f t="shared" si="326"/>
        <v>0</v>
      </c>
      <c r="CT164">
        <f t="shared" si="327"/>
        <v>18.323999999999998</v>
      </c>
      <c r="CU164">
        <f t="shared" si="328"/>
        <v>0</v>
      </c>
      <c r="CV164">
        <f t="shared" si="329"/>
        <v>7.0000000000000007E-2</v>
      </c>
      <c r="CW164">
        <f t="shared" si="330"/>
        <v>0</v>
      </c>
      <c r="CX164">
        <f t="shared" si="331"/>
        <v>0</v>
      </c>
      <c r="CY164">
        <f t="shared" si="332"/>
        <v>2893.7241999999997</v>
      </c>
      <c r="CZ164">
        <f t="shared" si="333"/>
        <v>1569.9992999999999</v>
      </c>
      <c r="DC164" t="s">
        <v>3</v>
      </c>
      <c r="DD164" t="s">
        <v>3</v>
      </c>
      <c r="DE164" t="s">
        <v>3</v>
      </c>
      <c r="DF164" t="s">
        <v>3</v>
      </c>
      <c r="DG164" t="s">
        <v>3</v>
      </c>
      <c r="DH164" t="s">
        <v>3</v>
      </c>
      <c r="DI164" t="s">
        <v>3</v>
      </c>
      <c r="DJ164" t="s">
        <v>3</v>
      </c>
      <c r="DK164" t="s">
        <v>3</v>
      </c>
      <c r="DL164" t="s">
        <v>3</v>
      </c>
      <c r="DM164" t="s">
        <v>3</v>
      </c>
      <c r="DN164">
        <v>0</v>
      </c>
      <c r="DO164">
        <v>0</v>
      </c>
      <c r="DP164">
        <v>1</v>
      </c>
      <c r="DQ164">
        <v>1</v>
      </c>
      <c r="DU164">
        <v>1005</v>
      </c>
      <c r="DV164" t="s">
        <v>131</v>
      </c>
      <c r="DW164" t="s">
        <v>131</v>
      </c>
      <c r="DX164">
        <v>1</v>
      </c>
      <c r="DZ164" t="s">
        <v>3</v>
      </c>
      <c r="EA164" t="s">
        <v>3</v>
      </c>
      <c r="EB164" t="s">
        <v>3</v>
      </c>
      <c r="EC164" t="s">
        <v>3</v>
      </c>
      <c r="EE164">
        <v>140625034</v>
      </c>
      <c r="EF164">
        <v>2</v>
      </c>
      <c r="EG164" t="s">
        <v>22</v>
      </c>
      <c r="EH164">
        <v>13</v>
      </c>
      <c r="EI164" t="s">
        <v>518</v>
      </c>
      <c r="EJ164">
        <v>1</v>
      </c>
      <c r="EK164">
        <v>13001</v>
      </c>
      <c r="EL164" t="s">
        <v>519</v>
      </c>
      <c r="EM164" t="s">
        <v>520</v>
      </c>
      <c r="EO164" t="s">
        <v>3</v>
      </c>
      <c r="EQ164">
        <v>0</v>
      </c>
      <c r="ER164">
        <v>0.93</v>
      </c>
      <c r="ES164">
        <v>0</v>
      </c>
      <c r="ET164">
        <v>0.33</v>
      </c>
      <c r="EU164">
        <v>0</v>
      </c>
      <c r="EV164">
        <v>0.6</v>
      </c>
      <c r="EW164">
        <v>7.0000000000000007E-2</v>
      </c>
      <c r="EX164">
        <v>0</v>
      </c>
      <c r="EY164">
        <v>0</v>
      </c>
      <c r="FQ164">
        <v>0</v>
      </c>
      <c r="FR164">
        <f t="shared" si="334"/>
        <v>0</v>
      </c>
      <c r="FS164">
        <v>0</v>
      </c>
      <c r="FX164">
        <v>94</v>
      </c>
      <c r="FY164">
        <v>51</v>
      </c>
      <c r="GA164" t="s">
        <v>3</v>
      </c>
      <c r="GD164">
        <v>1</v>
      </c>
      <c r="GF164">
        <v>-65291318</v>
      </c>
      <c r="GG164">
        <v>2</v>
      </c>
      <c r="GH164">
        <v>1</v>
      </c>
      <c r="GI164">
        <v>4</v>
      </c>
      <c r="GJ164">
        <v>0</v>
      </c>
      <c r="GK164">
        <v>0</v>
      </c>
      <c r="GL164">
        <f t="shared" si="335"/>
        <v>0</v>
      </c>
      <c r="GM164">
        <f t="shared" si="336"/>
        <v>8214.64</v>
      </c>
      <c r="GN164">
        <f t="shared" si="337"/>
        <v>8214.64</v>
      </c>
      <c r="GO164">
        <f t="shared" si="338"/>
        <v>0</v>
      </c>
      <c r="GP164">
        <f t="shared" si="339"/>
        <v>0</v>
      </c>
      <c r="GR164">
        <v>0</v>
      </c>
      <c r="GS164">
        <v>3</v>
      </c>
      <c r="GT164">
        <v>0</v>
      </c>
      <c r="GU164" t="s">
        <v>3</v>
      </c>
      <c r="GV164">
        <f t="shared" si="340"/>
        <v>0</v>
      </c>
      <c r="GW164">
        <v>1</v>
      </c>
      <c r="GX164">
        <f t="shared" si="341"/>
        <v>0</v>
      </c>
      <c r="HA164">
        <v>0</v>
      </c>
      <c r="HB164">
        <v>0</v>
      </c>
      <c r="HC164">
        <f t="shared" si="342"/>
        <v>0</v>
      </c>
      <c r="HE164" t="s">
        <v>3</v>
      </c>
      <c r="HF164" t="s">
        <v>3</v>
      </c>
      <c r="HM164" t="s">
        <v>3</v>
      </c>
      <c r="HN164" t="s">
        <v>521</v>
      </c>
      <c r="HO164" t="s">
        <v>522</v>
      </c>
      <c r="HP164" t="s">
        <v>518</v>
      </c>
      <c r="HQ164" t="s">
        <v>518</v>
      </c>
      <c r="IK164">
        <v>0</v>
      </c>
    </row>
    <row r="165" spans="1:245" x14ac:dyDescent="0.2">
      <c r="A165">
        <v>17</v>
      </c>
      <c r="B165">
        <v>1</v>
      </c>
      <c r="C165">
        <f>ROW(SmtRes!A419)</f>
        <v>419</v>
      </c>
      <c r="D165">
        <f>ROW(EtalonRes!A419)</f>
        <v>419</v>
      </c>
      <c r="E165" t="s">
        <v>563</v>
      </c>
      <c r="F165" t="s">
        <v>524</v>
      </c>
      <c r="G165" t="s">
        <v>525</v>
      </c>
      <c r="H165" t="s">
        <v>19</v>
      </c>
      <c r="I165">
        <f>ROUND(168/100,9)</f>
        <v>1.68</v>
      </c>
      <c r="J165">
        <v>0</v>
      </c>
      <c r="K165">
        <f>ROUND(168/100,9)</f>
        <v>1.68</v>
      </c>
      <c r="O165">
        <f t="shared" si="310"/>
        <v>7373.56</v>
      </c>
      <c r="P165">
        <f t="shared" si="311"/>
        <v>3256.38</v>
      </c>
      <c r="Q165">
        <f t="shared" si="312"/>
        <v>45.44</v>
      </c>
      <c r="R165">
        <f t="shared" si="313"/>
        <v>16.93</v>
      </c>
      <c r="S165">
        <f t="shared" si="314"/>
        <v>4071.74</v>
      </c>
      <c r="T165">
        <f t="shared" si="315"/>
        <v>0</v>
      </c>
      <c r="U165">
        <f t="shared" si="316"/>
        <v>15.2544</v>
      </c>
      <c r="V165">
        <f t="shared" si="317"/>
        <v>5.0399999999999993E-2</v>
      </c>
      <c r="W165">
        <f t="shared" si="318"/>
        <v>0</v>
      </c>
      <c r="X165">
        <f t="shared" si="319"/>
        <v>3843.35</v>
      </c>
      <c r="Y165">
        <f t="shared" si="320"/>
        <v>2085.2199999999998</v>
      </c>
      <c r="AA165">
        <v>145033679</v>
      </c>
      <c r="AB165">
        <f t="shared" si="321"/>
        <v>304.13</v>
      </c>
      <c r="AC165">
        <f>ROUND((ES165),2)</f>
        <v>222.54</v>
      </c>
      <c r="AD165">
        <f>ROUND((((ET165)-(EU165))+AE165),2)</f>
        <v>2.23</v>
      </c>
      <c r="AE165">
        <f t="shared" si="343"/>
        <v>0.33</v>
      </c>
      <c r="AF165">
        <f t="shared" si="343"/>
        <v>79.36</v>
      </c>
      <c r="AG165">
        <f t="shared" si="322"/>
        <v>0</v>
      </c>
      <c r="AH165">
        <f t="shared" si="344"/>
        <v>9.08</v>
      </c>
      <c r="AI165">
        <f t="shared" si="344"/>
        <v>0.03</v>
      </c>
      <c r="AJ165">
        <f t="shared" si="323"/>
        <v>0</v>
      </c>
      <c r="AK165">
        <v>304.13</v>
      </c>
      <c r="AL165">
        <v>222.54</v>
      </c>
      <c r="AM165">
        <v>2.23</v>
      </c>
      <c r="AN165">
        <v>0.33</v>
      </c>
      <c r="AO165">
        <v>79.36</v>
      </c>
      <c r="AP165">
        <v>0</v>
      </c>
      <c r="AQ165">
        <v>9.08</v>
      </c>
      <c r="AR165">
        <v>0.03</v>
      </c>
      <c r="AS165">
        <v>0</v>
      </c>
      <c r="AT165">
        <v>94</v>
      </c>
      <c r="AU165">
        <v>51</v>
      </c>
      <c r="AV165">
        <v>1</v>
      </c>
      <c r="AW165">
        <v>1</v>
      </c>
      <c r="AZ165">
        <v>1</v>
      </c>
      <c r="BA165">
        <v>30.54</v>
      </c>
      <c r="BB165">
        <v>12.13</v>
      </c>
      <c r="BC165">
        <v>8.7100000000000009</v>
      </c>
      <c r="BD165" t="s">
        <v>3</v>
      </c>
      <c r="BE165" t="s">
        <v>3</v>
      </c>
      <c r="BF165" t="s">
        <v>3</v>
      </c>
      <c r="BG165" t="s">
        <v>3</v>
      </c>
      <c r="BH165">
        <v>0</v>
      </c>
      <c r="BI165">
        <v>1</v>
      </c>
      <c r="BJ165" t="s">
        <v>526</v>
      </c>
      <c r="BM165">
        <v>13001</v>
      </c>
      <c r="BN165">
        <v>0</v>
      </c>
      <c r="BO165" t="s">
        <v>3</v>
      </c>
      <c r="BP165">
        <v>0</v>
      </c>
      <c r="BQ165">
        <v>2</v>
      </c>
      <c r="BR165">
        <v>0</v>
      </c>
      <c r="BS165">
        <v>30.54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94</v>
      </c>
      <c r="CA165">
        <v>51</v>
      </c>
      <c r="CB165" t="s">
        <v>3</v>
      </c>
      <c r="CE165">
        <v>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324"/>
        <v>7373.5599999999995</v>
      </c>
      <c r="CQ165">
        <f t="shared" si="325"/>
        <v>1938.3234000000002</v>
      </c>
      <c r="CR165">
        <f>(((ET165)*BB165-(EU165)*BS165)+AE165*BS165)</f>
        <v>27.049900000000001</v>
      </c>
      <c r="CS165">
        <f t="shared" si="326"/>
        <v>10.078200000000001</v>
      </c>
      <c r="CT165">
        <f t="shared" si="327"/>
        <v>2423.6543999999999</v>
      </c>
      <c r="CU165">
        <f t="shared" si="328"/>
        <v>0</v>
      </c>
      <c r="CV165">
        <f t="shared" si="329"/>
        <v>9.08</v>
      </c>
      <c r="CW165">
        <f t="shared" si="330"/>
        <v>0.03</v>
      </c>
      <c r="CX165">
        <f t="shared" si="331"/>
        <v>0</v>
      </c>
      <c r="CY165">
        <f t="shared" si="332"/>
        <v>3843.3498</v>
      </c>
      <c r="CZ165">
        <f t="shared" si="333"/>
        <v>2085.2217000000001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0</v>
      </c>
      <c r="DO165">
        <v>0</v>
      </c>
      <c r="DP165">
        <v>1</v>
      </c>
      <c r="DQ165">
        <v>1</v>
      </c>
      <c r="DU165">
        <v>1005</v>
      </c>
      <c r="DV165" t="s">
        <v>19</v>
      </c>
      <c r="DW165" t="s">
        <v>19</v>
      </c>
      <c r="DX165">
        <v>100</v>
      </c>
      <c r="DZ165" t="s">
        <v>3</v>
      </c>
      <c r="EA165" t="s">
        <v>3</v>
      </c>
      <c r="EB165" t="s">
        <v>3</v>
      </c>
      <c r="EC165" t="s">
        <v>3</v>
      </c>
      <c r="EE165">
        <v>140625034</v>
      </c>
      <c r="EF165">
        <v>2</v>
      </c>
      <c r="EG165" t="s">
        <v>22</v>
      </c>
      <c r="EH165">
        <v>13</v>
      </c>
      <c r="EI165" t="s">
        <v>518</v>
      </c>
      <c r="EJ165">
        <v>1</v>
      </c>
      <c r="EK165">
        <v>13001</v>
      </c>
      <c r="EL165" t="s">
        <v>519</v>
      </c>
      <c r="EM165" t="s">
        <v>520</v>
      </c>
      <c r="EO165" t="s">
        <v>3</v>
      </c>
      <c r="EQ165">
        <v>0</v>
      </c>
      <c r="ER165">
        <v>304.13</v>
      </c>
      <c r="ES165">
        <v>222.54</v>
      </c>
      <c r="ET165">
        <v>2.23</v>
      </c>
      <c r="EU165">
        <v>0.33</v>
      </c>
      <c r="EV165">
        <v>79.36</v>
      </c>
      <c r="EW165">
        <v>9.08</v>
      </c>
      <c r="EX165">
        <v>0.03</v>
      </c>
      <c r="EY165">
        <v>0</v>
      </c>
      <c r="FQ165">
        <v>0</v>
      </c>
      <c r="FR165">
        <f t="shared" si="334"/>
        <v>0</v>
      </c>
      <c r="FS165">
        <v>0</v>
      </c>
      <c r="FX165">
        <v>94</v>
      </c>
      <c r="FY165">
        <v>51</v>
      </c>
      <c r="GA165" t="s">
        <v>3</v>
      </c>
      <c r="GD165">
        <v>1</v>
      </c>
      <c r="GF165">
        <v>-497940178</v>
      </c>
      <c r="GG165">
        <v>2</v>
      </c>
      <c r="GH165">
        <v>1</v>
      </c>
      <c r="GI165">
        <v>4</v>
      </c>
      <c r="GJ165">
        <v>0</v>
      </c>
      <c r="GK165">
        <v>0</v>
      </c>
      <c r="GL165">
        <f t="shared" si="335"/>
        <v>0</v>
      </c>
      <c r="GM165">
        <f t="shared" si="336"/>
        <v>13302.13</v>
      </c>
      <c r="GN165">
        <f t="shared" si="337"/>
        <v>13302.13</v>
      </c>
      <c r="GO165">
        <f t="shared" si="338"/>
        <v>0</v>
      </c>
      <c r="GP165">
        <f t="shared" si="339"/>
        <v>0</v>
      </c>
      <c r="GR165">
        <v>0</v>
      </c>
      <c r="GS165">
        <v>3</v>
      </c>
      <c r="GT165">
        <v>0</v>
      </c>
      <c r="GU165" t="s">
        <v>3</v>
      </c>
      <c r="GV165">
        <f t="shared" si="340"/>
        <v>0</v>
      </c>
      <c r="GW165">
        <v>1</v>
      </c>
      <c r="GX165">
        <f t="shared" si="341"/>
        <v>0</v>
      </c>
      <c r="HA165">
        <v>0</v>
      </c>
      <c r="HB165">
        <v>0</v>
      </c>
      <c r="HC165">
        <f t="shared" si="342"/>
        <v>0</v>
      </c>
      <c r="HE165" t="s">
        <v>3</v>
      </c>
      <c r="HF165" t="s">
        <v>3</v>
      </c>
      <c r="HM165" t="s">
        <v>3</v>
      </c>
      <c r="HN165" t="s">
        <v>521</v>
      </c>
      <c r="HO165" t="s">
        <v>522</v>
      </c>
      <c r="HP165" t="s">
        <v>518</v>
      </c>
      <c r="HQ165" t="s">
        <v>518</v>
      </c>
      <c r="IK165">
        <v>0</v>
      </c>
    </row>
    <row r="166" spans="1:245" x14ac:dyDescent="0.2">
      <c r="A166">
        <v>17</v>
      </c>
      <c r="B166">
        <v>1</v>
      </c>
      <c r="C166">
        <f>ROW(SmtRes!A427)</f>
        <v>427</v>
      </c>
      <c r="D166">
        <f>ROW(EtalonRes!A427)</f>
        <v>427</v>
      </c>
      <c r="E166" t="s">
        <v>564</v>
      </c>
      <c r="F166" t="s">
        <v>528</v>
      </c>
      <c r="G166" t="s">
        <v>529</v>
      </c>
      <c r="H166" t="s">
        <v>19</v>
      </c>
      <c r="I166">
        <f>ROUND(168/100,9)</f>
        <v>1.68</v>
      </c>
      <c r="J166">
        <v>0</v>
      </c>
      <c r="K166">
        <f>ROUND(168/100,9)</f>
        <v>1.68</v>
      </c>
      <c r="O166">
        <f t="shared" si="310"/>
        <v>9406.19</v>
      </c>
      <c r="P166">
        <f t="shared" si="311"/>
        <v>6065</v>
      </c>
      <c r="Q166">
        <f t="shared" si="312"/>
        <v>367.42</v>
      </c>
      <c r="R166">
        <f t="shared" si="313"/>
        <v>33.86</v>
      </c>
      <c r="S166">
        <f t="shared" si="314"/>
        <v>2973.77</v>
      </c>
      <c r="T166">
        <f t="shared" si="315"/>
        <v>0</v>
      </c>
      <c r="U166">
        <f t="shared" si="316"/>
        <v>10.735199999999999</v>
      </c>
      <c r="V166">
        <f t="shared" si="317"/>
        <v>0.10079999999999999</v>
      </c>
      <c r="W166">
        <f t="shared" si="318"/>
        <v>0</v>
      </c>
      <c r="X166">
        <f t="shared" si="319"/>
        <v>2827.17</v>
      </c>
      <c r="Y166">
        <f t="shared" si="320"/>
        <v>1533.89</v>
      </c>
      <c r="AA166">
        <v>145033679</v>
      </c>
      <c r="AB166">
        <f t="shared" si="321"/>
        <v>490.47</v>
      </c>
      <c r="AC166">
        <f>ROUND(((ES166*3)),2)</f>
        <v>414.48</v>
      </c>
      <c r="AD166">
        <f>ROUND(((((ET166*3))-((EU166*3)))+AE166),2)</f>
        <v>18.03</v>
      </c>
      <c r="AE166">
        <f>ROUND(((EU166*3)),2)</f>
        <v>0.66</v>
      </c>
      <c r="AF166">
        <f>ROUND(((EV166*3)),2)</f>
        <v>57.96</v>
      </c>
      <c r="AG166">
        <f t="shared" si="322"/>
        <v>0</v>
      </c>
      <c r="AH166">
        <f>((EW166*3))</f>
        <v>6.39</v>
      </c>
      <c r="AI166">
        <f>((EX166*3))</f>
        <v>0.06</v>
      </c>
      <c r="AJ166">
        <f t="shared" si="323"/>
        <v>0</v>
      </c>
      <c r="AK166">
        <v>163.49</v>
      </c>
      <c r="AL166">
        <v>138.16</v>
      </c>
      <c r="AM166">
        <v>6.01</v>
      </c>
      <c r="AN166">
        <v>0.22</v>
      </c>
      <c r="AO166">
        <v>19.32</v>
      </c>
      <c r="AP166">
        <v>0</v>
      </c>
      <c r="AQ166">
        <v>2.13</v>
      </c>
      <c r="AR166">
        <v>0.02</v>
      </c>
      <c r="AS166">
        <v>0</v>
      </c>
      <c r="AT166">
        <v>94</v>
      </c>
      <c r="AU166">
        <v>51</v>
      </c>
      <c r="AV166">
        <v>1</v>
      </c>
      <c r="AW166">
        <v>1</v>
      </c>
      <c r="AZ166">
        <v>1</v>
      </c>
      <c r="BA166">
        <v>30.54</v>
      </c>
      <c r="BB166">
        <v>12.13</v>
      </c>
      <c r="BC166">
        <v>8.7100000000000009</v>
      </c>
      <c r="BD166" t="s">
        <v>3</v>
      </c>
      <c r="BE166" t="s">
        <v>3</v>
      </c>
      <c r="BF166" t="s">
        <v>3</v>
      </c>
      <c r="BG166" t="s">
        <v>3</v>
      </c>
      <c r="BH166">
        <v>0</v>
      </c>
      <c r="BI166">
        <v>1</v>
      </c>
      <c r="BJ166" t="s">
        <v>530</v>
      </c>
      <c r="BM166">
        <v>13001</v>
      </c>
      <c r="BN166">
        <v>0</v>
      </c>
      <c r="BO166" t="s">
        <v>3</v>
      </c>
      <c r="BP166">
        <v>0</v>
      </c>
      <c r="BQ166">
        <v>2</v>
      </c>
      <c r="BR166">
        <v>0</v>
      </c>
      <c r="BS166">
        <v>30.54</v>
      </c>
      <c r="BT166">
        <v>1</v>
      </c>
      <c r="BU166">
        <v>1</v>
      </c>
      <c r="BV166">
        <v>1</v>
      </c>
      <c r="BW166">
        <v>1</v>
      </c>
      <c r="BX166">
        <v>1</v>
      </c>
      <c r="BY166" t="s">
        <v>3</v>
      </c>
      <c r="BZ166">
        <v>94</v>
      </c>
      <c r="CA166">
        <v>51</v>
      </c>
      <c r="CB166" t="s">
        <v>3</v>
      </c>
      <c r="CE166">
        <v>0</v>
      </c>
      <c r="CF166">
        <v>0</v>
      </c>
      <c r="CG166">
        <v>0</v>
      </c>
      <c r="CM166">
        <v>0</v>
      </c>
      <c r="CN166" t="s">
        <v>3</v>
      </c>
      <c r="CO166">
        <v>0</v>
      </c>
      <c r="CP166">
        <f t="shared" si="324"/>
        <v>9406.19</v>
      </c>
      <c r="CQ166">
        <f t="shared" si="325"/>
        <v>3610.1208000000006</v>
      </c>
      <c r="CR166">
        <f>((((ET166*3))*BB166-((EU166*3))*BS166)+AE166*BS166)</f>
        <v>218.70390000000003</v>
      </c>
      <c r="CS166">
        <f t="shared" si="326"/>
        <v>20.156400000000001</v>
      </c>
      <c r="CT166">
        <f t="shared" si="327"/>
        <v>1770.0984000000001</v>
      </c>
      <c r="CU166">
        <f t="shared" si="328"/>
        <v>0</v>
      </c>
      <c r="CV166">
        <f t="shared" si="329"/>
        <v>6.39</v>
      </c>
      <c r="CW166">
        <f t="shared" si="330"/>
        <v>0.06</v>
      </c>
      <c r="CX166">
        <f t="shared" si="331"/>
        <v>0</v>
      </c>
      <c r="CY166">
        <f t="shared" si="332"/>
        <v>2827.1722000000004</v>
      </c>
      <c r="CZ166">
        <f t="shared" si="333"/>
        <v>1533.8913</v>
      </c>
      <c r="DC166" t="s">
        <v>3</v>
      </c>
      <c r="DD166" t="s">
        <v>531</v>
      </c>
      <c r="DE166" t="s">
        <v>531</v>
      </c>
      <c r="DF166" t="s">
        <v>531</v>
      </c>
      <c r="DG166" t="s">
        <v>531</v>
      </c>
      <c r="DH166" t="s">
        <v>3</v>
      </c>
      <c r="DI166" t="s">
        <v>531</v>
      </c>
      <c r="DJ166" t="s">
        <v>531</v>
      </c>
      <c r="DK166" t="s">
        <v>3</v>
      </c>
      <c r="DL166" t="s">
        <v>3</v>
      </c>
      <c r="DM166" t="s">
        <v>3</v>
      </c>
      <c r="DN166">
        <v>0</v>
      </c>
      <c r="DO166">
        <v>0</v>
      </c>
      <c r="DP166">
        <v>1</v>
      </c>
      <c r="DQ166">
        <v>1</v>
      </c>
      <c r="DU166">
        <v>1005</v>
      </c>
      <c r="DV166" t="s">
        <v>19</v>
      </c>
      <c r="DW166" t="s">
        <v>19</v>
      </c>
      <c r="DX166">
        <v>100</v>
      </c>
      <c r="DZ166" t="s">
        <v>3</v>
      </c>
      <c r="EA166" t="s">
        <v>3</v>
      </c>
      <c r="EB166" t="s">
        <v>3</v>
      </c>
      <c r="EC166" t="s">
        <v>3</v>
      </c>
      <c r="EE166">
        <v>140625034</v>
      </c>
      <c r="EF166">
        <v>2</v>
      </c>
      <c r="EG166" t="s">
        <v>22</v>
      </c>
      <c r="EH166">
        <v>13</v>
      </c>
      <c r="EI166" t="s">
        <v>518</v>
      </c>
      <c r="EJ166">
        <v>1</v>
      </c>
      <c r="EK166">
        <v>13001</v>
      </c>
      <c r="EL166" t="s">
        <v>519</v>
      </c>
      <c r="EM166" t="s">
        <v>520</v>
      </c>
      <c r="EO166" t="s">
        <v>3</v>
      </c>
      <c r="EQ166">
        <v>0</v>
      </c>
      <c r="ER166">
        <v>163.49</v>
      </c>
      <c r="ES166">
        <v>138.16</v>
      </c>
      <c r="ET166">
        <v>6.01</v>
      </c>
      <c r="EU166">
        <v>0.22</v>
      </c>
      <c r="EV166">
        <v>19.32</v>
      </c>
      <c r="EW166">
        <v>2.13</v>
      </c>
      <c r="EX166">
        <v>0.02</v>
      </c>
      <c r="EY166">
        <v>0</v>
      </c>
      <c r="FQ166">
        <v>0</v>
      </c>
      <c r="FR166">
        <f t="shared" si="334"/>
        <v>0</v>
      </c>
      <c r="FS166">
        <v>0</v>
      </c>
      <c r="FX166">
        <v>94</v>
      </c>
      <c r="FY166">
        <v>51</v>
      </c>
      <c r="GA166" t="s">
        <v>3</v>
      </c>
      <c r="GD166">
        <v>1</v>
      </c>
      <c r="GF166">
        <v>-1083810809</v>
      </c>
      <c r="GG166">
        <v>2</v>
      </c>
      <c r="GH166">
        <v>1</v>
      </c>
      <c r="GI166">
        <v>4</v>
      </c>
      <c r="GJ166">
        <v>0</v>
      </c>
      <c r="GK166">
        <v>0</v>
      </c>
      <c r="GL166">
        <f t="shared" si="335"/>
        <v>0</v>
      </c>
      <c r="GM166">
        <f t="shared" si="336"/>
        <v>13767.25</v>
      </c>
      <c r="GN166">
        <f t="shared" si="337"/>
        <v>13767.25</v>
      </c>
      <c r="GO166">
        <f t="shared" si="338"/>
        <v>0</v>
      </c>
      <c r="GP166">
        <f t="shared" si="339"/>
        <v>0</v>
      </c>
      <c r="GR166">
        <v>0</v>
      </c>
      <c r="GS166">
        <v>3</v>
      </c>
      <c r="GT166">
        <v>0</v>
      </c>
      <c r="GU166" t="s">
        <v>531</v>
      </c>
      <c r="GV166">
        <f>ROUND(((GT166*3)),2)</f>
        <v>0</v>
      </c>
      <c r="GW166">
        <v>1</v>
      </c>
      <c r="GX166">
        <f t="shared" si="341"/>
        <v>0</v>
      </c>
      <c r="HA166">
        <v>0</v>
      </c>
      <c r="HB166">
        <v>0</v>
      </c>
      <c r="HC166">
        <f t="shared" si="342"/>
        <v>0</v>
      </c>
      <c r="HE166" t="s">
        <v>3</v>
      </c>
      <c r="HF166" t="s">
        <v>3</v>
      </c>
      <c r="HM166" t="s">
        <v>3</v>
      </c>
      <c r="HN166" t="s">
        <v>521</v>
      </c>
      <c r="HO166" t="s">
        <v>522</v>
      </c>
      <c r="HP166" t="s">
        <v>518</v>
      </c>
      <c r="HQ166" t="s">
        <v>518</v>
      </c>
      <c r="IK166">
        <v>0</v>
      </c>
    </row>
    <row r="167" spans="1:245" x14ac:dyDescent="0.2">
      <c r="A167">
        <v>18</v>
      </c>
      <c r="B167">
        <v>1</v>
      </c>
      <c r="C167">
        <v>426</v>
      </c>
      <c r="E167" t="s">
        <v>565</v>
      </c>
      <c r="F167" t="s">
        <v>535</v>
      </c>
      <c r="G167" t="s">
        <v>536</v>
      </c>
      <c r="H167" t="s">
        <v>105</v>
      </c>
      <c r="I167">
        <f>I166*J167</f>
        <v>-4.5359999999999998E-2</v>
      </c>
      <c r="J167">
        <v>-2.7E-2</v>
      </c>
      <c r="K167">
        <v>-8.9999999999999993E-3</v>
      </c>
      <c r="O167">
        <f t="shared" si="310"/>
        <v>-5654.81</v>
      </c>
      <c r="P167">
        <f t="shared" si="311"/>
        <v>-5654.81</v>
      </c>
      <c r="Q167">
        <f t="shared" si="312"/>
        <v>0</v>
      </c>
      <c r="R167">
        <f t="shared" si="313"/>
        <v>0</v>
      </c>
      <c r="S167">
        <f t="shared" si="314"/>
        <v>0</v>
      </c>
      <c r="T167">
        <f t="shared" si="315"/>
        <v>0</v>
      </c>
      <c r="U167">
        <f t="shared" si="316"/>
        <v>0</v>
      </c>
      <c r="V167">
        <f t="shared" si="317"/>
        <v>0</v>
      </c>
      <c r="W167">
        <f t="shared" si="318"/>
        <v>0</v>
      </c>
      <c r="X167">
        <f t="shared" si="319"/>
        <v>0</v>
      </c>
      <c r="Y167">
        <f t="shared" si="320"/>
        <v>0</v>
      </c>
      <c r="AA167">
        <v>145033679</v>
      </c>
      <c r="AB167">
        <f t="shared" si="321"/>
        <v>14312.87</v>
      </c>
      <c r="AC167">
        <f>ROUND((ES167),2)</f>
        <v>14312.87</v>
      </c>
      <c r="AD167">
        <f>ROUND((((ET167)-(EU167))+AE167),2)</f>
        <v>0</v>
      </c>
      <c r="AE167">
        <f>ROUND((EU167),2)</f>
        <v>0</v>
      </c>
      <c r="AF167">
        <f>ROUND((EV167),2)</f>
        <v>0</v>
      </c>
      <c r="AG167">
        <f t="shared" si="322"/>
        <v>0</v>
      </c>
      <c r="AH167">
        <f>(EW167)</f>
        <v>0</v>
      </c>
      <c r="AI167">
        <f>(EX167)</f>
        <v>0</v>
      </c>
      <c r="AJ167">
        <f t="shared" si="323"/>
        <v>0</v>
      </c>
      <c r="AK167">
        <v>14312.87</v>
      </c>
      <c r="AL167">
        <v>14312.87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94</v>
      </c>
      <c r="AU167">
        <v>51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8.7100000000000009</v>
      </c>
      <c r="BD167" t="s">
        <v>3</v>
      </c>
      <c r="BE167" t="s">
        <v>3</v>
      </c>
      <c r="BF167" t="s">
        <v>3</v>
      </c>
      <c r="BG167" t="s">
        <v>3</v>
      </c>
      <c r="BH167">
        <v>3</v>
      </c>
      <c r="BI167">
        <v>1</v>
      </c>
      <c r="BJ167" t="s">
        <v>537</v>
      </c>
      <c r="BM167">
        <v>13001</v>
      </c>
      <c r="BN167">
        <v>0</v>
      </c>
      <c r="BO167" t="s">
        <v>3</v>
      </c>
      <c r="BP167">
        <v>0</v>
      </c>
      <c r="BQ167">
        <v>2</v>
      </c>
      <c r="BR167">
        <v>1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3</v>
      </c>
      <c r="BZ167">
        <v>94</v>
      </c>
      <c r="CA167">
        <v>51</v>
      </c>
      <c r="CB167" t="s">
        <v>3</v>
      </c>
      <c r="CE167">
        <v>0</v>
      </c>
      <c r="CF167">
        <v>0</v>
      </c>
      <c r="CG167">
        <v>0</v>
      </c>
      <c r="CM167">
        <v>0</v>
      </c>
      <c r="CN167" t="s">
        <v>3</v>
      </c>
      <c r="CO167">
        <v>0</v>
      </c>
      <c r="CP167">
        <f t="shared" si="324"/>
        <v>-5654.81</v>
      </c>
      <c r="CQ167">
        <f t="shared" si="325"/>
        <v>124665.09770000001</v>
      </c>
      <c r="CR167">
        <f>(((ET167)*BB167-(EU167)*BS167)+AE167*BS167)</f>
        <v>0</v>
      </c>
      <c r="CS167">
        <f t="shared" si="326"/>
        <v>0</v>
      </c>
      <c r="CT167">
        <f t="shared" si="327"/>
        <v>0</v>
      </c>
      <c r="CU167">
        <f t="shared" si="328"/>
        <v>0</v>
      </c>
      <c r="CV167">
        <f t="shared" si="329"/>
        <v>0</v>
      </c>
      <c r="CW167">
        <f t="shared" si="330"/>
        <v>0</v>
      </c>
      <c r="CX167">
        <f t="shared" si="331"/>
        <v>0</v>
      </c>
      <c r="CY167">
        <f t="shared" si="332"/>
        <v>0</v>
      </c>
      <c r="CZ167">
        <f t="shared" si="333"/>
        <v>0</v>
      </c>
      <c r="DC167" t="s">
        <v>3</v>
      </c>
      <c r="DD167" t="s">
        <v>3</v>
      </c>
      <c r="DE167" t="s">
        <v>3</v>
      </c>
      <c r="DF167" t="s">
        <v>3</v>
      </c>
      <c r="DG167" t="s">
        <v>3</v>
      </c>
      <c r="DH167" t="s">
        <v>3</v>
      </c>
      <c r="DI167" t="s">
        <v>3</v>
      </c>
      <c r="DJ167" t="s">
        <v>3</v>
      </c>
      <c r="DK167" t="s">
        <v>3</v>
      </c>
      <c r="DL167" t="s">
        <v>3</v>
      </c>
      <c r="DM167" t="s">
        <v>3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105</v>
      </c>
      <c r="DW167" t="s">
        <v>105</v>
      </c>
      <c r="DX167">
        <v>1000</v>
      </c>
      <c r="DZ167" t="s">
        <v>3</v>
      </c>
      <c r="EA167" t="s">
        <v>3</v>
      </c>
      <c r="EB167" t="s">
        <v>3</v>
      </c>
      <c r="EC167" t="s">
        <v>3</v>
      </c>
      <c r="EE167">
        <v>140625034</v>
      </c>
      <c r="EF167">
        <v>2</v>
      </c>
      <c r="EG167" t="s">
        <v>22</v>
      </c>
      <c r="EH167">
        <v>13</v>
      </c>
      <c r="EI167" t="s">
        <v>518</v>
      </c>
      <c r="EJ167">
        <v>1</v>
      </c>
      <c r="EK167">
        <v>13001</v>
      </c>
      <c r="EL167" t="s">
        <v>519</v>
      </c>
      <c r="EM167" t="s">
        <v>520</v>
      </c>
      <c r="EO167" t="s">
        <v>3</v>
      </c>
      <c r="EQ167">
        <v>32768</v>
      </c>
      <c r="ER167">
        <v>14312.87</v>
      </c>
      <c r="ES167">
        <v>14312.87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334"/>
        <v>0</v>
      </c>
      <c r="FS167">
        <v>0</v>
      </c>
      <c r="FX167">
        <v>94</v>
      </c>
      <c r="FY167">
        <v>51</v>
      </c>
      <c r="GA167" t="s">
        <v>3</v>
      </c>
      <c r="GD167">
        <v>1</v>
      </c>
      <c r="GF167">
        <v>499358224</v>
      </c>
      <c r="GG167">
        <v>2</v>
      </c>
      <c r="GH167">
        <v>1</v>
      </c>
      <c r="GI167">
        <v>4</v>
      </c>
      <c r="GJ167">
        <v>0</v>
      </c>
      <c r="GK167">
        <v>0</v>
      </c>
      <c r="GL167">
        <f t="shared" si="335"/>
        <v>0</v>
      </c>
      <c r="GM167">
        <f t="shared" si="336"/>
        <v>-5654.81</v>
      </c>
      <c r="GN167">
        <f t="shared" si="337"/>
        <v>-5654.81</v>
      </c>
      <c r="GO167">
        <f t="shared" si="338"/>
        <v>0</v>
      </c>
      <c r="GP167">
        <f t="shared" si="339"/>
        <v>0</v>
      </c>
      <c r="GR167">
        <v>0</v>
      </c>
      <c r="GS167">
        <v>3</v>
      </c>
      <c r="GT167">
        <v>0</v>
      </c>
      <c r="GU167" t="s">
        <v>3</v>
      </c>
      <c r="GV167">
        <f>ROUND((GT167),2)</f>
        <v>0</v>
      </c>
      <c r="GW167">
        <v>1</v>
      </c>
      <c r="GX167">
        <f t="shared" si="341"/>
        <v>0</v>
      </c>
      <c r="HA167">
        <v>0</v>
      </c>
      <c r="HB167">
        <v>0</v>
      </c>
      <c r="HC167">
        <f t="shared" si="342"/>
        <v>0</v>
      </c>
      <c r="HE167" t="s">
        <v>3</v>
      </c>
      <c r="HF167" t="s">
        <v>3</v>
      </c>
      <c r="HM167" t="s">
        <v>531</v>
      </c>
      <c r="HN167" t="s">
        <v>521</v>
      </c>
      <c r="HO167" t="s">
        <v>522</v>
      </c>
      <c r="HP167" t="s">
        <v>518</v>
      </c>
      <c r="HQ167" t="s">
        <v>518</v>
      </c>
      <c r="IK167">
        <v>0</v>
      </c>
    </row>
    <row r="168" spans="1:245" x14ac:dyDescent="0.2">
      <c r="A168">
        <v>17</v>
      </c>
      <c r="B168">
        <v>1</v>
      </c>
      <c r="E168" t="s">
        <v>566</v>
      </c>
      <c r="F168" t="s">
        <v>46</v>
      </c>
      <c r="G168" t="s">
        <v>539</v>
      </c>
      <c r="H168" t="s">
        <v>43</v>
      </c>
      <c r="I168">
        <v>60.48</v>
      </c>
      <c r="J168">
        <v>0</v>
      </c>
      <c r="K168">
        <v>60.48</v>
      </c>
      <c r="O168">
        <f t="shared" si="310"/>
        <v>14249.42</v>
      </c>
      <c r="P168">
        <f t="shared" si="311"/>
        <v>14249.42</v>
      </c>
      <c r="Q168">
        <f t="shared" si="312"/>
        <v>0</v>
      </c>
      <c r="R168">
        <f t="shared" si="313"/>
        <v>0</v>
      </c>
      <c r="S168">
        <f t="shared" si="314"/>
        <v>0</v>
      </c>
      <c r="T168">
        <f t="shared" si="315"/>
        <v>0</v>
      </c>
      <c r="U168">
        <f t="shared" si="316"/>
        <v>0</v>
      </c>
      <c r="V168">
        <f t="shared" si="317"/>
        <v>0</v>
      </c>
      <c r="W168">
        <f t="shared" si="318"/>
        <v>0</v>
      </c>
      <c r="X168">
        <f t="shared" si="319"/>
        <v>0</v>
      </c>
      <c r="Y168">
        <f t="shared" si="320"/>
        <v>0</v>
      </c>
      <c r="AA168">
        <v>145033679</v>
      </c>
      <c r="AB168">
        <f t="shared" si="321"/>
        <v>27.05</v>
      </c>
      <c r="AC168">
        <f>ROUND((ES168),2)</f>
        <v>27.05</v>
      </c>
      <c r="AD168">
        <f>ROUND((((ET168)-(EU168))+AE168),2)</f>
        <v>0</v>
      </c>
      <c r="AE168">
        <f>ROUND((EU168),2)</f>
        <v>0</v>
      </c>
      <c r="AF168">
        <f>ROUND((EV168),2)</f>
        <v>0</v>
      </c>
      <c r="AG168">
        <f t="shared" si="322"/>
        <v>0</v>
      </c>
      <c r="AH168">
        <f>(EW168)</f>
        <v>0</v>
      </c>
      <c r="AI168">
        <f>(EX168)</f>
        <v>0</v>
      </c>
      <c r="AJ168">
        <f t="shared" si="323"/>
        <v>0</v>
      </c>
      <c r="AK168">
        <v>27.050000000000004</v>
      </c>
      <c r="AL168">
        <v>27.050000000000004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1</v>
      </c>
      <c r="AW168">
        <v>1</v>
      </c>
      <c r="AZ168">
        <v>1</v>
      </c>
      <c r="BA168">
        <v>1</v>
      </c>
      <c r="BB168">
        <v>1</v>
      </c>
      <c r="BC168">
        <v>8.7100000000000009</v>
      </c>
      <c r="BD168" t="s">
        <v>3</v>
      </c>
      <c r="BE168" t="s">
        <v>3</v>
      </c>
      <c r="BF168" t="s">
        <v>3</v>
      </c>
      <c r="BG168" t="s">
        <v>3</v>
      </c>
      <c r="BH168">
        <v>3</v>
      </c>
      <c r="BI168">
        <v>1</v>
      </c>
      <c r="BJ168" t="s">
        <v>3</v>
      </c>
      <c r="BM168">
        <v>1100</v>
      </c>
      <c r="BN168">
        <v>0</v>
      </c>
      <c r="BO168" t="s">
        <v>3</v>
      </c>
      <c r="BP168">
        <v>0</v>
      </c>
      <c r="BQ168">
        <v>8</v>
      </c>
      <c r="BR168">
        <v>0</v>
      </c>
      <c r="BS168">
        <v>1</v>
      </c>
      <c r="BT168">
        <v>1</v>
      </c>
      <c r="BU168">
        <v>1</v>
      </c>
      <c r="BV168">
        <v>1</v>
      </c>
      <c r="BW168">
        <v>1</v>
      </c>
      <c r="BX168">
        <v>1</v>
      </c>
      <c r="BY168" t="s">
        <v>3</v>
      </c>
      <c r="BZ168">
        <v>0</v>
      </c>
      <c r="CA168">
        <v>0</v>
      </c>
      <c r="CB168" t="s">
        <v>3</v>
      </c>
      <c r="CE168">
        <v>0</v>
      </c>
      <c r="CF168">
        <v>0</v>
      </c>
      <c r="CG168">
        <v>0</v>
      </c>
      <c r="CM168">
        <v>0</v>
      </c>
      <c r="CN168" t="s">
        <v>3</v>
      </c>
      <c r="CO168">
        <v>0</v>
      </c>
      <c r="CP168">
        <f t="shared" si="324"/>
        <v>14249.42</v>
      </c>
      <c r="CQ168">
        <f t="shared" si="325"/>
        <v>235.60550000000003</v>
      </c>
      <c r="CR168">
        <f>(((ET168)*BB168-(EU168)*BS168)+AE168*BS168)</f>
        <v>0</v>
      </c>
      <c r="CS168">
        <f t="shared" si="326"/>
        <v>0</v>
      </c>
      <c r="CT168">
        <f t="shared" si="327"/>
        <v>0</v>
      </c>
      <c r="CU168">
        <f t="shared" si="328"/>
        <v>0</v>
      </c>
      <c r="CV168">
        <f t="shared" si="329"/>
        <v>0</v>
      </c>
      <c r="CW168">
        <f t="shared" si="330"/>
        <v>0</v>
      </c>
      <c r="CX168">
        <f t="shared" si="331"/>
        <v>0</v>
      </c>
      <c r="CY168">
        <f t="shared" si="332"/>
        <v>0</v>
      </c>
      <c r="CZ168">
        <f t="shared" si="333"/>
        <v>0</v>
      </c>
      <c r="DC168" t="s">
        <v>3</v>
      </c>
      <c r="DD168" t="s">
        <v>3</v>
      </c>
      <c r="DE168" t="s">
        <v>3</v>
      </c>
      <c r="DF168" t="s">
        <v>3</v>
      </c>
      <c r="DG168" t="s">
        <v>3</v>
      </c>
      <c r="DH168" t="s">
        <v>3</v>
      </c>
      <c r="DI168" t="s">
        <v>3</v>
      </c>
      <c r="DJ168" t="s">
        <v>3</v>
      </c>
      <c r="DK168" t="s">
        <v>3</v>
      </c>
      <c r="DL168" t="s">
        <v>3</v>
      </c>
      <c r="DM168" t="s">
        <v>3</v>
      </c>
      <c r="DN168">
        <v>0</v>
      </c>
      <c r="DO168">
        <v>0</v>
      </c>
      <c r="DP168">
        <v>1</v>
      </c>
      <c r="DQ168">
        <v>1</v>
      </c>
      <c r="DU168">
        <v>1009</v>
      </c>
      <c r="DV168" t="s">
        <v>43</v>
      </c>
      <c r="DW168" t="s">
        <v>43</v>
      </c>
      <c r="DX168">
        <v>1</v>
      </c>
      <c r="DZ168" t="s">
        <v>3</v>
      </c>
      <c r="EA168" t="s">
        <v>3</v>
      </c>
      <c r="EB168" t="s">
        <v>3</v>
      </c>
      <c r="EC168" t="s">
        <v>3</v>
      </c>
      <c r="EE168">
        <v>140625274</v>
      </c>
      <c r="EF168">
        <v>8</v>
      </c>
      <c r="EG168" t="s">
        <v>48</v>
      </c>
      <c r="EH168">
        <v>0</v>
      </c>
      <c r="EI168" t="s">
        <v>3</v>
      </c>
      <c r="EJ168">
        <v>1</v>
      </c>
      <c r="EK168">
        <v>1100</v>
      </c>
      <c r="EL168" t="s">
        <v>49</v>
      </c>
      <c r="EM168" t="s">
        <v>50</v>
      </c>
      <c r="EO168" t="s">
        <v>3</v>
      </c>
      <c r="EQ168">
        <v>0</v>
      </c>
      <c r="ER168">
        <v>27.050000000000004</v>
      </c>
      <c r="ES168">
        <v>27.050000000000004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5</v>
      </c>
      <c r="FC168">
        <v>1</v>
      </c>
      <c r="FD168">
        <v>18</v>
      </c>
      <c r="FF168">
        <v>264</v>
      </c>
      <c r="FQ168">
        <v>0</v>
      </c>
      <c r="FR168">
        <f t="shared" si="334"/>
        <v>0</v>
      </c>
      <c r="FS168">
        <v>0</v>
      </c>
      <c r="FX168">
        <v>0</v>
      </c>
      <c r="FY168">
        <v>0</v>
      </c>
      <c r="GA168" t="s">
        <v>540</v>
      </c>
      <c r="GD168">
        <v>1</v>
      </c>
      <c r="GF168">
        <v>592724087</v>
      </c>
      <c r="GG168">
        <v>2</v>
      </c>
      <c r="GH168">
        <v>3</v>
      </c>
      <c r="GI168">
        <v>4</v>
      </c>
      <c r="GJ168">
        <v>0</v>
      </c>
      <c r="GK168">
        <v>0</v>
      </c>
      <c r="GL168">
        <f t="shared" si="335"/>
        <v>0</v>
      </c>
      <c r="GM168">
        <f t="shared" si="336"/>
        <v>14249.42</v>
      </c>
      <c r="GN168">
        <f t="shared" si="337"/>
        <v>14249.42</v>
      </c>
      <c r="GO168">
        <f t="shared" si="338"/>
        <v>0</v>
      </c>
      <c r="GP168">
        <f t="shared" si="339"/>
        <v>0</v>
      </c>
      <c r="GR168">
        <v>1</v>
      </c>
      <c r="GS168">
        <v>1</v>
      </c>
      <c r="GT168">
        <v>0</v>
      </c>
      <c r="GU168" t="s">
        <v>3</v>
      </c>
      <c r="GV168">
        <f>ROUND((GT168),2)</f>
        <v>0</v>
      </c>
      <c r="GW168">
        <v>1</v>
      </c>
      <c r="GX168">
        <f t="shared" si="341"/>
        <v>0</v>
      </c>
      <c r="HA168">
        <v>0</v>
      </c>
      <c r="HB168">
        <v>0</v>
      </c>
      <c r="HC168">
        <f t="shared" si="342"/>
        <v>0</v>
      </c>
      <c r="HE168" t="s">
        <v>52</v>
      </c>
      <c r="HF168" t="s">
        <v>29</v>
      </c>
      <c r="HM168" t="s">
        <v>3</v>
      </c>
      <c r="HN168" t="s">
        <v>3</v>
      </c>
      <c r="HO168" t="s">
        <v>3</v>
      </c>
      <c r="HP168" t="s">
        <v>3</v>
      </c>
      <c r="HQ168" t="s">
        <v>3</v>
      </c>
      <c r="IK168">
        <v>0</v>
      </c>
    </row>
    <row r="169" spans="1:245" x14ac:dyDescent="0.2">
      <c r="A169">
        <v>17</v>
      </c>
      <c r="B169">
        <v>1</v>
      </c>
      <c r="C169">
        <f>ROW(SmtRes!A454)</f>
        <v>454</v>
      </c>
      <c r="D169">
        <f>ROW(EtalonRes!A454)</f>
        <v>454</v>
      </c>
      <c r="E169" t="s">
        <v>567</v>
      </c>
      <c r="F169" t="s">
        <v>568</v>
      </c>
      <c r="G169" t="s">
        <v>569</v>
      </c>
      <c r="H169" t="s">
        <v>19</v>
      </c>
      <c r="I169">
        <f>ROUND(400.2/100,9)</f>
        <v>4.0019999999999998</v>
      </c>
      <c r="J169">
        <v>0</v>
      </c>
      <c r="K169">
        <f>ROUND(400.2/100,9)</f>
        <v>4.0019999999999998</v>
      </c>
      <c r="O169">
        <f t="shared" si="310"/>
        <v>315116.78999999998</v>
      </c>
      <c r="P169">
        <f t="shared" si="311"/>
        <v>10486.51</v>
      </c>
      <c r="Q169">
        <f t="shared" si="312"/>
        <v>166821.12</v>
      </c>
      <c r="R169">
        <f t="shared" si="313"/>
        <v>40242.51</v>
      </c>
      <c r="S169">
        <f t="shared" si="314"/>
        <v>137809.16</v>
      </c>
      <c r="T169">
        <f t="shared" si="315"/>
        <v>0</v>
      </c>
      <c r="U169">
        <f t="shared" si="316"/>
        <v>497.50862999999993</v>
      </c>
      <c r="V169">
        <f t="shared" si="317"/>
        <v>97.223587499999994</v>
      </c>
      <c r="W169">
        <f t="shared" si="318"/>
        <v>0</v>
      </c>
      <c r="X169">
        <f t="shared" si="319"/>
        <v>165588.04999999999</v>
      </c>
      <c r="Y169">
        <f t="shared" si="320"/>
        <v>93833.23</v>
      </c>
      <c r="AA169">
        <v>145033679</v>
      </c>
      <c r="AB169">
        <f t="shared" si="321"/>
        <v>4864.8500000000004</v>
      </c>
      <c r="AC169">
        <f>ROUND((ES169),2)</f>
        <v>300.83999999999997</v>
      </c>
      <c r="AD169">
        <f>ROUND((((((ET169*1.25)*1.15))-(((EU169*1.25)*1.15)))+AE169),2)</f>
        <v>3436.47</v>
      </c>
      <c r="AE169">
        <f>ROUND((((EU169*1.25)*1.15)),2)</f>
        <v>329.26</v>
      </c>
      <c r="AF169">
        <f>ROUND((((EV169*1.15)*1.15)),2)</f>
        <v>1127.54</v>
      </c>
      <c r="AG169">
        <f t="shared" si="322"/>
        <v>0</v>
      </c>
      <c r="AH169">
        <f>(((EW169*1.15)*1.15))</f>
        <v>124.31499999999998</v>
      </c>
      <c r="AI169">
        <f>(((EX169*1.25)*1.15))</f>
        <v>24.293749999999999</v>
      </c>
      <c r="AJ169">
        <f t="shared" si="323"/>
        <v>0</v>
      </c>
      <c r="AK169">
        <v>3544.01</v>
      </c>
      <c r="AL169">
        <v>300.83999999999997</v>
      </c>
      <c r="AM169">
        <v>2390.59</v>
      </c>
      <c r="AN169">
        <v>229.05</v>
      </c>
      <c r="AO169">
        <v>852.58</v>
      </c>
      <c r="AP169">
        <v>0</v>
      </c>
      <c r="AQ169">
        <v>94</v>
      </c>
      <c r="AR169">
        <v>16.899999999999999</v>
      </c>
      <c r="AS169">
        <v>0</v>
      </c>
      <c r="AT169">
        <v>93</v>
      </c>
      <c r="AU169">
        <v>52.7</v>
      </c>
      <c r="AV169">
        <v>1</v>
      </c>
      <c r="AW169">
        <v>1</v>
      </c>
      <c r="AZ169">
        <v>1</v>
      </c>
      <c r="BA169">
        <v>30.54</v>
      </c>
      <c r="BB169">
        <v>12.13</v>
      </c>
      <c r="BC169">
        <v>8.7100000000000009</v>
      </c>
      <c r="BD169" t="s">
        <v>3</v>
      </c>
      <c r="BE169" t="s">
        <v>3</v>
      </c>
      <c r="BF169" t="s">
        <v>3</v>
      </c>
      <c r="BG169" t="s">
        <v>3</v>
      </c>
      <c r="BH169">
        <v>0</v>
      </c>
      <c r="BI169">
        <v>1</v>
      </c>
      <c r="BJ169" t="s">
        <v>570</v>
      </c>
      <c r="BM169">
        <v>9001</v>
      </c>
      <c r="BN169">
        <v>0</v>
      </c>
      <c r="BO169" t="s">
        <v>3</v>
      </c>
      <c r="BP169">
        <v>0</v>
      </c>
      <c r="BQ169">
        <v>2</v>
      </c>
      <c r="BR169">
        <v>0</v>
      </c>
      <c r="BS169">
        <v>30.54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3</v>
      </c>
      <c r="BZ169">
        <v>93</v>
      </c>
      <c r="CA169">
        <v>62</v>
      </c>
      <c r="CB169" t="s">
        <v>3</v>
      </c>
      <c r="CE169">
        <v>0</v>
      </c>
      <c r="CF169">
        <v>0</v>
      </c>
      <c r="CG169">
        <v>0</v>
      </c>
      <c r="CM169">
        <v>0</v>
      </c>
      <c r="CN169" t="s">
        <v>1104</v>
      </c>
      <c r="CO169">
        <v>0</v>
      </c>
      <c r="CP169">
        <f t="shared" si="324"/>
        <v>315116.79000000004</v>
      </c>
      <c r="CQ169">
        <f t="shared" si="325"/>
        <v>2620.3164000000002</v>
      </c>
      <c r="CR169">
        <f>(((((ET169*1.25)*1.15))*BB169-(((EU169*1.25)*1.15))*BS169)+AE169*BS169)</f>
        <v>41684.43809375001</v>
      </c>
      <c r="CS169">
        <f t="shared" si="326"/>
        <v>10055.600399999999</v>
      </c>
      <c r="CT169">
        <f t="shared" si="327"/>
        <v>34435.071599999996</v>
      </c>
      <c r="CU169">
        <f t="shared" si="328"/>
        <v>0</v>
      </c>
      <c r="CV169">
        <f t="shared" si="329"/>
        <v>124.31499999999998</v>
      </c>
      <c r="CW169">
        <f t="shared" si="330"/>
        <v>24.293749999999999</v>
      </c>
      <c r="CX169">
        <f t="shared" si="331"/>
        <v>0</v>
      </c>
      <c r="CY169">
        <f t="shared" si="332"/>
        <v>165588.05310000002</v>
      </c>
      <c r="CZ169">
        <f t="shared" si="333"/>
        <v>93833.230090000012</v>
      </c>
      <c r="DC169" t="s">
        <v>3</v>
      </c>
      <c r="DD169" t="s">
        <v>3</v>
      </c>
      <c r="DE169" t="s">
        <v>90</v>
      </c>
      <c r="DF169" t="s">
        <v>90</v>
      </c>
      <c r="DG169" t="s">
        <v>91</v>
      </c>
      <c r="DH169" t="s">
        <v>3</v>
      </c>
      <c r="DI169" t="s">
        <v>91</v>
      </c>
      <c r="DJ169" t="s">
        <v>90</v>
      </c>
      <c r="DK169" t="s">
        <v>3</v>
      </c>
      <c r="DL169" t="s">
        <v>3</v>
      </c>
      <c r="DM169" t="s">
        <v>92</v>
      </c>
      <c r="DN169">
        <v>0</v>
      </c>
      <c r="DO169">
        <v>0</v>
      </c>
      <c r="DP169">
        <v>1</v>
      </c>
      <c r="DQ169">
        <v>1</v>
      </c>
      <c r="DU169">
        <v>1005</v>
      </c>
      <c r="DV169" t="s">
        <v>19</v>
      </c>
      <c r="DW169" t="s">
        <v>19</v>
      </c>
      <c r="DX169">
        <v>100</v>
      </c>
      <c r="DZ169" t="s">
        <v>3</v>
      </c>
      <c r="EA169" t="s">
        <v>3</v>
      </c>
      <c r="EB169" t="s">
        <v>3</v>
      </c>
      <c r="EC169" t="s">
        <v>3</v>
      </c>
      <c r="EE169">
        <v>140625026</v>
      </c>
      <c r="EF169">
        <v>2</v>
      </c>
      <c r="EG169" t="s">
        <v>22</v>
      </c>
      <c r="EH169">
        <v>9</v>
      </c>
      <c r="EI169" t="s">
        <v>263</v>
      </c>
      <c r="EJ169">
        <v>1</v>
      </c>
      <c r="EK169">
        <v>9001</v>
      </c>
      <c r="EL169" t="s">
        <v>263</v>
      </c>
      <c r="EM169" t="s">
        <v>264</v>
      </c>
      <c r="EO169" t="s">
        <v>95</v>
      </c>
      <c r="EQ169">
        <v>0</v>
      </c>
      <c r="ER169">
        <v>3544.01</v>
      </c>
      <c r="ES169">
        <v>300.83999999999997</v>
      </c>
      <c r="ET169">
        <v>2390.59</v>
      </c>
      <c r="EU169">
        <v>229.05</v>
      </c>
      <c r="EV169">
        <v>852.58</v>
      </c>
      <c r="EW169">
        <v>94</v>
      </c>
      <c r="EX169">
        <v>16.899999999999999</v>
      </c>
      <c r="EY169">
        <v>0</v>
      </c>
      <c r="FQ169">
        <v>0</v>
      </c>
      <c r="FR169">
        <f t="shared" si="334"/>
        <v>0</v>
      </c>
      <c r="FS169">
        <v>0</v>
      </c>
      <c r="FX169">
        <v>93</v>
      </c>
      <c r="FY169">
        <v>52.7</v>
      </c>
      <c r="GA169" t="s">
        <v>3</v>
      </c>
      <c r="GD169">
        <v>1</v>
      </c>
      <c r="GF169">
        <v>1279106230</v>
      </c>
      <c r="GG169">
        <v>2</v>
      </c>
      <c r="GH169">
        <v>1</v>
      </c>
      <c r="GI169">
        <v>4</v>
      </c>
      <c r="GJ169">
        <v>0</v>
      </c>
      <c r="GK169">
        <v>0</v>
      </c>
      <c r="GL169">
        <f t="shared" si="335"/>
        <v>0</v>
      </c>
      <c r="GM169">
        <f t="shared" si="336"/>
        <v>574538.06999999995</v>
      </c>
      <c r="GN169">
        <f t="shared" si="337"/>
        <v>574538.06999999995</v>
      </c>
      <c r="GO169">
        <f t="shared" si="338"/>
        <v>0</v>
      </c>
      <c r="GP169">
        <f t="shared" si="339"/>
        <v>0</v>
      </c>
      <c r="GR169">
        <v>0</v>
      </c>
      <c r="GS169">
        <v>3</v>
      </c>
      <c r="GT169">
        <v>0</v>
      </c>
      <c r="GU169" t="s">
        <v>3</v>
      </c>
      <c r="GV169">
        <f>ROUND((GT169),2)</f>
        <v>0</v>
      </c>
      <c r="GW169">
        <v>1</v>
      </c>
      <c r="GX169">
        <f t="shared" si="341"/>
        <v>0</v>
      </c>
      <c r="HA169">
        <v>0</v>
      </c>
      <c r="HB169">
        <v>0</v>
      </c>
      <c r="HC169">
        <f t="shared" si="342"/>
        <v>0</v>
      </c>
      <c r="HE169" t="s">
        <v>3</v>
      </c>
      <c r="HF169" t="s">
        <v>3</v>
      </c>
      <c r="HM169" t="s">
        <v>3</v>
      </c>
      <c r="HN169" t="s">
        <v>265</v>
      </c>
      <c r="HO169" t="s">
        <v>266</v>
      </c>
      <c r="HP169" t="s">
        <v>263</v>
      </c>
      <c r="HQ169" t="s">
        <v>263</v>
      </c>
      <c r="IK169">
        <v>0</v>
      </c>
    </row>
    <row r="170" spans="1:245" x14ac:dyDescent="0.2">
      <c r="A170">
        <v>17</v>
      </c>
      <c r="B170">
        <v>1</v>
      </c>
      <c r="E170" t="s">
        <v>571</v>
      </c>
      <c r="F170" t="s">
        <v>46</v>
      </c>
      <c r="G170" t="s">
        <v>572</v>
      </c>
      <c r="H170" t="s">
        <v>131</v>
      </c>
      <c r="I170">
        <f>ROUND(I169*105,9)</f>
        <v>420.21</v>
      </c>
      <c r="J170">
        <v>0</v>
      </c>
      <c r="K170">
        <f>ROUND(I169*105,9)</f>
        <v>420.21</v>
      </c>
      <c r="O170">
        <f t="shared" si="310"/>
        <v>274904.78999999998</v>
      </c>
      <c r="P170">
        <f t="shared" si="311"/>
        <v>274904.78999999998</v>
      </c>
      <c r="Q170">
        <f t="shared" si="312"/>
        <v>0</v>
      </c>
      <c r="R170">
        <f t="shared" si="313"/>
        <v>0</v>
      </c>
      <c r="S170">
        <f t="shared" si="314"/>
        <v>0</v>
      </c>
      <c r="T170">
        <f t="shared" si="315"/>
        <v>0</v>
      </c>
      <c r="U170">
        <f t="shared" si="316"/>
        <v>0</v>
      </c>
      <c r="V170">
        <f t="shared" si="317"/>
        <v>0</v>
      </c>
      <c r="W170">
        <f t="shared" si="318"/>
        <v>0</v>
      </c>
      <c r="X170">
        <f t="shared" si="319"/>
        <v>0</v>
      </c>
      <c r="Y170">
        <f t="shared" si="320"/>
        <v>0</v>
      </c>
      <c r="AA170">
        <v>145033679</v>
      </c>
      <c r="AB170">
        <f t="shared" si="321"/>
        <v>75.11</v>
      </c>
      <c r="AC170">
        <f>ROUND((ES170),2)</f>
        <v>75.11</v>
      </c>
      <c r="AD170">
        <f>ROUND((((ET170)-(EU170))+AE170),2)</f>
        <v>0</v>
      </c>
      <c r="AE170">
        <f>ROUND((EU170),2)</f>
        <v>0</v>
      </c>
      <c r="AF170">
        <f>ROUND((EV170),2)</f>
        <v>0</v>
      </c>
      <c r="AG170">
        <f t="shared" si="322"/>
        <v>0</v>
      </c>
      <c r="AH170">
        <f>(EW170)</f>
        <v>0</v>
      </c>
      <c r="AI170">
        <f>(EX170)</f>
        <v>0</v>
      </c>
      <c r="AJ170">
        <f t="shared" si="323"/>
        <v>0</v>
      </c>
      <c r="AK170">
        <v>75.11</v>
      </c>
      <c r="AL170">
        <v>75.11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1</v>
      </c>
      <c r="AW170">
        <v>1</v>
      </c>
      <c r="AZ170">
        <v>1</v>
      </c>
      <c r="BA170">
        <v>1</v>
      </c>
      <c r="BB170">
        <v>1</v>
      </c>
      <c r="BC170">
        <v>8.7100000000000009</v>
      </c>
      <c r="BD170" t="s">
        <v>3</v>
      </c>
      <c r="BE170" t="s">
        <v>3</v>
      </c>
      <c r="BF170" t="s">
        <v>3</v>
      </c>
      <c r="BG170" t="s">
        <v>3</v>
      </c>
      <c r="BH170">
        <v>3</v>
      </c>
      <c r="BI170">
        <v>1</v>
      </c>
      <c r="BJ170" t="s">
        <v>3</v>
      </c>
      <c r="BM170">
        <v>1100</v>
      </c>
      <c r="BN170">
        <v>0</v>
      </c>
      <c r="BO170" t="s">
        <v>3</v>
      </c>
      <c r="BP170">
        <v>0</v>
      </c>
      <c r="BQ170">
        <v>8</v>
      </c>
      <c r="BR170">
        <v>0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1</v>
      </c>
      <c r="BY170" t="s">
        <v>3</v>
      </c>
      <c r="BZ170">
        <v>0</v>
      </c>
      <c r="CA170">
        <v>0</v>
      </c>
      <c r="CB170" t="s">
        <v>3</v>
      </c>
      <c r="CE170">
        <v>0</v>
      </c>
      <c r="CF170">
        <v>0</v>
      </c>
      <c r="CG170">
        <v>0</v>
      </c>
      <c r="CM170">
        <v>0</v>
      </c>
      <c r="CN170" t="s">
        <v>3</v>
      </c>
      <c r="CO170">
        <v>0</v>
      </c>
      <c r="CP170">
        <f t="shared" si="324"/>
        <v>274904.78999999998</v>
      </c>
      <c r="CQ170">
        <f t="shared" si="325"/>
        <v>654.20810000000006</v>
      </c>
      <c r="CR170">
        <f>(((ET170)*BB170-(EU170)*BS170)+AE170*BS170)</f>
        <v>0</v>
      </c>
      <c r="CS170">
        <f t="shared" si="326"/>
        <v>0</v>
      </c>
      <c r="CT170">
        <f t="shared" si="327"/>
        <v>0</v>
      </c>
      <c r="CU170">
        <f t="shared" si="328"/>
        <v>0</v>
      </c>
      <c r="CV170">
        <f t="shared" si="329"/>
        <v>0</v>
      </c>
      <c r="CW170">
        <f t="shared" si="330"/>
        <v>0</v>
      </c>
      <c r="CX170">
        <f t="shared" si="331"/>
        <v>0</v>
      </c>
      <c r="CY170">
        <f t="shared" si="332"/>
        <v>0</v>
      </c>
      <c r="CZ170">
        <f t="shared" si="333"/>
        <v>0</v>
      </c>
      <c r="DC170" t="s">
        <v>3</v>
      </c>
      <c r="DD170" t="s">
        <v>3</v>
      </c>
      <c r="DE170" t="s">
        <v>3</v>
      </c>
      <c r="DF170" t="s">
        <v>3</v>
      </c>
      <c r="DG170" t="s">
        <v>3</v>
      </c>
      <c r="DH170" t="s">
        <v>3</v>
      </c>
      <c r="DI170" t="s">
        <v>3</v>
      </c>
      <c r="DJ170" t="s">
        <v>3</v>
      </c>
      <c r="DK170" t="s">
        <v>3</v>
      </c>
      <c r="DL170" t="s">
        <v>3</v>
      </c>
      <c r="DM170" t="s">
        <v>3</v>
      </c>
      <c r="DN170">
        <v>0</v>
      </c>
      <c r="DO170">
        <v>0</v>
      </c>
      <c r="DP170">
        <v>1</v>
      </c>
      <c r="DQ170">
        <v>1</v>
      </c>
      <c r="DU170">
        <v>1005</v>
      </c>
      <c r="DV170" t="s">
        <v>131</v>
      </c>
      <c r="DW170" t="s">
        <v>131</v>
      </c>
      <c r="DX170">
        <v>1</v>
      </c>
      <c r="DZ170" t="s">
        <v>3</v>
      </c>
      <c r="EA170" t="s">
        <v>3</v>
      </c>
      <c r="EB170" t="s">
        <v>3</v>
      </c>
      <c r="EC170" t="s">
        <v>3</v>
      </c>
      <c r="EE170">
        <v>140625274</v>
      </c>
      <c r="EF170">
        <v>8</v>
      </c>
      <c r="EG170" t="s">
        <v>48</v>
      </c>
      <c r="EH170">
        <v>0</v>
      </c>
      <c r="EI170" t="s">
        <v>3</v>
      </c>
      <c r="EJ170">
        <v>1</v>
      </c>
      <c r="EK170">
        <v>1100</v>
      </c>
      <c r="EL170" t="s">
        <v>49</v>
      </c>
      <c r="EM170" t="s">
        <v>50</v>
      </c>
      <c r="EO170" t="s">
        <v>3</v>
      </c>
      <c r="EQ170">
        <v>0</v>
      </c>
      <c r="ER170">
        <v>75.11</v>
      </c>
      <c r="ES170">
        <v>75.11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5</v>
      </c>
      <c r="FC170">
        <v>1</v>
      </c>
      <c r="FD170">
        <v>18</v>
      </c>
      <c r="FF170">
        <v>733</v>
      </c>
      <c r="FQ170">
        <v>0</v>
      </c>
      <c r="FR170">
        <f t="shared" si="334"/>
        <v>0</v>
      </c>
      <c r="FS170">
        <v>0</v>
      </c>
      <c r="FX170">
        <v>0</v>
      </c>
      <c r="FY170">
        <v>0</v>
      </c>
      <c r="GA170" t="s">
        <v>573</v>
      </c>
      <c r="GD170">
        <v>1</v>
      </c>
      <c r="GF170">
        <v>520291998</v>
      </c>
      <c r="GG170">
        <v>2</v>
      </c>
      <c r="GH170">
        <v>3</v>
      </c>
      <c r="GI170">
        <v>4</v>
      </c>
      <c r="GJ170">
        <v>0</v>
      </c>
      <c r="GK170">
        <v>0</v>
      </c>
      <c r="GL170">
        <f t="shared" si="335"/>
        <v>0</v>
      </c>
      <c r="GM170">
        <f t="shared" si="336"/>
        <v>274904.78999999998</v>
      </c>
      <c r="GN170">
        <f t="shared" si="337"/>
        <v>274904.78999999998</v>
      </c>
      <c r="GO170">
        <f t="shared" si="338"/>
        <v>0</v>
      </c>
      <c r="GP170">
        <f t="shared" si="339"/>
        <v>0</v>
      </c>
      <c r="GR170">
        <v>1</v>
      </c>
      <c r="GS170">
        <v>1</v>
      </c>
      <c r="GT170">
        <v>0</v>
      </c>
      <c r="GU170" t="s">
        <v>3</v>
      </c>
      <c r="GV170">
        <f>ROUND((GT170),2)</f>
        <v>0</v>
      </c>
      <c r="GW170">
        <v>1</v>
      </c>
      <c r="GX170">
        <f t="shared" si="341"/>
        <v>0</v>
      </c>
      <c r="HA170">
        <v>0</v>
      </c>
      <c r="HB170">
        <v>0</v>
      </c>
      <c r="HC170">
        <f t="shared" si="342"/>
        <v>0</v>
      </c>
      <c r="HE170" t="s">
        <v>52</v>
      </c>
      <c r="HF170" t="s">
        <v>29</v>
      </c>
      <c r="HM170" t="s">
        <v>3</v>
      </c>
      <c r="HN170" t="s">
        <v>3</v>
      </c>
      <c r="HO170" t="s">
        <v>3</v>
      </c>
      <c r="HP170" t="s">
        <v>3</v>
      </c>
      <c r="HQ170" t="s">
        <v>3</v>
      </c>
      <c r="IK170">
        <v>0</v>
      </c>
    </row>
    <row r="171" spans="1:245" x14ac:dyDescent="0.2">
      <c r="A171">
        <v>17</v>
      </c>
      <c r="B171">
        <v>1</v>
      </c>
      <c r="E171" t="s">
        <v>574</v>
      </c>
      <c r="F171" t="s">
        <v>46</v>
      </c>
      <c r="G171" t="s">
        <v>575</v>
      </c>
      <c r="H171" t="s">
        <v>100</v>
      </c>
      <c r="I171">
        <v>4410</v>
      </c>
      <c r="J171">
        <v>0</v>
      </c>
      <c r="K171">
        <v>4410</v>
      </c>
      <c r="O171">
        <f t="shared" si="310"/>
        <v>17285</v>
      </c>
      <c r="P171">
        <f t="shared" si="311"/>
        <v>17285</v>
      </c>
      <c r="Q171">
        <f t="shared" si="312"/>
        <v>0</v>
      </c>
      <c r="R171">
        <f t="shared" si="313"/>
        <v>0</v>
      </c>
      <c r="S171">
        <f t="shared" si="314"/>
        <v>0</v>
      </c>
      <c r="T171">
        <f t="shared" si="315"/>
        <v>0</v>
      </c>
      <c r="U171">
        <f t="shared" si="316"/>
        <v>0</v>
      </c>
      <c r="V171">
        <f t="shared" si="317"/>
        <v>0</v>
      </c>
      <c r="W171">
        <f t="shared" si="318"/>
        <v>0</v>
      </c>
      <c r="X171">
        <f t="shared" si="319"/>
        <v>0</v>
      </c>
      <c r="Y171">
        <f t="shared" si="320"/>
        <v>0</v>
      </c>
      <c r="AA171">
        <v>145033679</v>
      </c>
      <c r="AB171">
        <f t="shared" si="321"/>
        <v>0.45</v>
      </c>
      <c r="AC171">
        <f>ROUND((ES171),2)</f>
        <v>0.45</v>
      </c>
      <c r="AD171">
        <f>ROUND((((ET171)-(EU171))+AE171),2)</f>
        <v>0</v>
      </c>
      <c r="AE171">
        <f>ROUND((EU171),2)</f>
        <v>0</v>
      </c>
      <c r="AF171">
        <f>ROUND((EV171),2)</f>
        <v>0</v>
      </c>
      <c r="AG171">
        <f t="shared" si="322"/>
        <v>0</v>
      </c>
      <c r="AH171">
        <f>(EW171)</f>
        <v>0</v>
      </c>
      <c r="AI171">
        <f>(EX171)</f>
        <v>0</v>
      </c>
      <c r="AJ171">
        <f t="shared" si="323"/>
        <v>0</v>
      </c>
      <c r="AK171">
        <v>0.45</v>
      </c>
      <c r="AL171">
        <v>0.45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8.7100000000000009</v>
      </c>
      <c r="BD171" t="s">
        <v>3</v>
      </c>
      <c r="BE171" t="s">
        <v>3</v>
      </c>
      <c r="BF171" t="s">
        <v>3</v>
      </c>
      <c r="BG171" t="s">
        <v>3</v>
      </c>
      <c r="BH171">
        <v>3</v>
      </c>
      <c r="BI171">
        <v>1</v>
      </c>
      <c r="BJ171" t="s">
        <v>3</v>
      </c>
      <c r="BM171">
        <v>1100</v>
      </c>
      <c r="BN171">
        <v>0</v>
      </c>
      <c r="BO171" t="s">
        <v>3</v>
      </c>
      <c r="BP171">
        <v>0</v>
      </c>
      <c r="BQ171">
        <v>8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3</v>
      </c>
      <c r="BZ171">
        <v>0</v>
      </c>
      <c r="CA171">
        <v>0</v>
      </c>
      <c r="CB171" t="s">
        <v>3</v>
      </c>
      <c r="CE171">
        <v>0</v>
      </c>
      <c r="CF171">
        <v>0</v>
      </c>
      <c r="CG171">
        <v>0</v>
      </c>
      <c r="CM171">
        <v>0</v>
      </c>
      <c r="CN171" t="s">
        <v>3</v>
      </c>
      <c r="CO171">
        <v>0</v>
      </c>
      <c r="CP171">
        <f t="shared" si="324"/>
        <v>17285</v>
      </c>
      <c r="CQ171">
        <f t="shared" si="325"/>
        <v>3.9195000000000007</v>
      </c>
      <c r="CR171">
        <f>(((ET171)*BB171-(EU171)*BS171)+AE171*BS171)</f>
        <v>0</v>
      </c>
      <c r="CS171">
        <f t="shared" si="326"/>
        <v>0</v>
      </c>
      <c r="CT171">
        <f t="shared" si="327"/>
        <v>0</v>
      </c>
      <c r="CU171">
        <f t="shared" si="328"/>
        <v>0</v>
      </c>
      <c r="CV171">
        <f t="shared" si="329"/>
        <v>0</v>
      </c>
      <c r="CW171">
        <f t="shared" si="330"/>
        <v>0</v>
      </c>
      <c r="CX171">
        <f t="shared" si="331"/>
        <v>0</v>
      </c>
      <c r="CY171">
        <f t="shared" si="332"/>
        <v>0</v>
      </c>
      <c r="CZ171">
        <f t="shared" si="333"/>
        <v>0</v>
      </c>
      <c r="DC171" t="s">
        <v>3</v>
      </c>
      <c r="DD171" t="s">
        <v>3</v>
      </c>
      <c r="DE171" t="s">
        <v>3</v>
      </c>
      <c r="DF171" t="s">
        <v>3</v>
      </c>
      <c r="DG171" t="s">
        <v>3</v>
      </c>
      <c r="DH171" t="s">
        <v>3</v>
      </c>
      <c r="DI171" t="s">
        <v>3</v>
      </c>
      <c r="DJ171" t="s">
        <v>3</v>
      </c>
      <c r="DK171" t="s">
        <v>3</v>
      </c>
      <c r="DL171" t="s">
        <v>3</v>
      </c>
      <c r="DM171" t="s">
        <v>3</v>
      </c>
      <c r="DN171">
        <v>0</v>
      </c>
      <c r="DO171">
        <v>0</v>
      </c>
      <c r="DP171">
        <v>1</v>
      </c>
      <c r="DQ171">
        <v>1</v>
      </c>
      <c r="DU171">
        <v>1010</v>
      </c>
      <c r="DV171" t="s">
        <v>100</v>
      </c>
      <c r="DW171" t="s">
        <v>100</v>
      </c>
      <c r="DX171">
        <v>1</v>
      </c>
      <c r="DZ171" t="s">
        <v>3</v>
      </c>
      <c r="EA171" t="s">
        <v>3</v>
      </c>
      <c r="EB171" t="s">
        <v>3</v>
      </c>
      <c r="EC171" t="s">
        <v>3</v>
      </c>
      <c r="EE171">
        <v>140625274</v>
      </c>
      <c r="EF171">
        <v>8</v>
      </c>
      <c r="EG171" t="s">
        <v>48</v>
      </c>
      <c r="EH171">
        <v>0</v>
      </c>
      <c r="EI171" t="s">
        <v>3</v>
      </c>
      <c r="EJ171">
        <v>1</v>
      </c>
      <c r="EK171">
        <v>1100</v>
      </c>
      <c r="EL171" t="s">
        <v>49</v>
      </c>
      <c r="EM171" t="s">
        <v>50</v>
      </c>
      <c r="EO171" t="s">
        <v>3</v>
      </c>
      <c r="EQ171">
        <v>0</v>
      </c>
      <c r="ER171">
        <v>0.45</v>
      </c>
      <c r="ES171">
        <v>0.45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5</v>
      </c>
      <c r="FC171">
        <v>1</v>
      </c>
      <c r="FD171">
        <v>18</v>
      </c>
      <c r="FF171">
        <v>4.4400000000000004</v>
      </c>
      <c r="FQ171">
        <v>0</v>
      </c>
      <c r="FR171">
        <f t="shared" si="334"/>
        <v>0</v>
      </c>
      <c r="FS171">
        <v>0</v>
      </c>
      <c r="FX171">
        <v>0</v>
      </c>
      <c r="FY171">
        <v>0</v>
      </c>
      <c r="GA171" t="s">
        <v>576</v>
      </c>
      <c r="GD171">
        <v>1</v>
      </c>
      <c r="GF171">
        <v>-953225563</v>
      </c>
      <c r="GG171">
        <v>2</v>
      </c>
      <c r="GH171">
        <v>3</v>
      </c>
      <c r="GI171">
        <v>4</v>
      </c>
      <c r="GJ171">
        <v>0</v>
      </c>
      <c r="GK171">
        <v>0</v>
      </c>
      <c r="GL171">
        <f t="shared" si="335"/>
        <v>0</v>
      </c>
      <c r="GM171">
        <f t="shared" si="336"/>
        <v>17285</v>
      </c>
      <c r="GN171">
        <f t="shared" si="337"/>
        <v>17285</v>
      </c>
      <c r="GO171">
        <f t="shared" si="338"/>
        <v>0</v>
      </c>
      <c r="GP171">
        <f t="shared" si="339"/>
        <v>0</v>
      </c>
      <c r="GR171">
        <v>1</v>
      </c>
      <c r="GS171">
        <v>1</v>
      </c>
      <c r="GT171">
        <v>0</v>
      </c>
      <c r="GU171" t="s">
        <v>3</v>
      </c>
      <c r="GV171">
        <f>ROUND((GT171),2)</f>
        <v>0</v>
      </c>
      <c r="GW171">
        <v>1</v>
      </c>
      <c r="GX171">
        <f t="shared" si="341"/>
        <v>0</v>
      </c>
      <c r="HA171">
        <v>0</v>
      </c>
      <c r="HB171">
        <v>0</v>
      </c>
      <c r="HC171">
        <f t="shared" si="342"/>
        <v>0</v>
      </c>
      <c r="HE171" t="s">
        <v>52</v>
      </c>
      <c r="HF171" t="s">
        <v>29</v>
      </c>
      <c r="HM171" t="s">
        <v>3</v>
      </c>
      <c r="HN171" t="s">
        <v>3</v>
      </c>
      <c r="HO171" t="s">
        <v>3</v>
      </c>
      <c r="HP171" t="s">
        <v>3</v>
      </c>
      <c r="HQ171" t="s">
        <v>3</v>
      </c>
      <c r="IK171">
        <v>0</v>
      </c>
    </row>
    <row r="172" spans="1:245" x14ac:dyDescent="0.2">
      <c r="A172">
        <v>19</v>
      </c>
      <c r="B172">
        <v>1</v>
      </c>
      <c r="F172" t="s">
        <v>3</v>
      </c>
      <c r="G172" t="s">
        <v>577</v>
      </c>
      <c r="H172" t="s">
        <v>3</v>
      </c>
      <c r="AA172">
        <v>1</v>
      </c>
      <c r="IK172">
        <v>0</v>
      </c>
    </row>
    <row r="173" spans="1:245" x14ac:dyDescent="0.2">
      <c r="A173">
        <v>17</v>
      </c>
      <c r="B173">
        <v>1</v>
      </c>
      <c r="E173" t="s">
        <v>578</v>
      </c>
      <c r="F173" t="s">
        <v>579</v>
      </c>
      <c r="G173" t="s">
        <v>580</v>
      </c>
      <c r="H173" t="s">
        <v>446</v>
      </c>
      <c r="I173">
        <f>ROUND(25.03*0.1,9)</f>
        <v>2.5030000000000001</v>
      </c>
      <c r="J173">
        <v>0</v>
      </c>
      <c r="K173">
        <f>ROUND(25.03*0.1,9)</f>
        <v>2.5030000000000001</v>
      </c>
      <c r="O173">
        <f>0</f>
        <v>0</v>
      </c>
      <c r="P173">
        <f>0</f>
        <v>0</v>
      </c>
      <c r="Q173">
        <f>0</f>
        <v>0</v>
      </c>
      <c r="R173">
        <f>0</f>
        <v>0</v>
      </c>
      <c r="S173">
        <f>0</f>
        <v>0</v>
      </c>
      <c r="T173">
        <f>0</f>
        <v>0</v>
      </c>
      <c r="U173">
        <f>0</f>
        <v>0</v>
      </c>
      <c r="V173">
        <f>0</f>
        <v>0</v>
      </c>
      <c r="W173">
        <f>0</f>
        <v>0</v>
      </c>
      <c r="X173">
        <f>0</f>
        <v>0</v>
      </c>
      <c r="Y173">
        <f>0</f>
        <v>0</v>
      </c>
      <c r="AA173">
        <v>145033679</v>
      </c>
      <c r="AB173">
        <f>ROUND((AK173),2)</f>
        <v>42.98</v>
      </c>
      <c r="AC173">
        <f>0</f>
        <v>0</v>
      </c>
      <c r="AD173">
        <f>0</f>
        <v>0</v>
      </c>
      <c r="AE173">
        <f>0</f>
        <v>0</v>
      </c>
      <c r="AF173">
        <f>0</f>
        <v>0</v>
      </c>
      <c r="AG173">
        <f>0</f>
        <v>0</v>
      </c>
      <c r="AH173">
        <f>0</f>
        <v>0</v>
      </c>
      <c r="AI173">
        <f>0</f>
        <v>0</v>
      </c>
      <c r="AJ173">
        <f>0</f>
        <v>0</v>
      </c>
      <c r="AK173">
        <v>42.98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12.02</v>
      </c>
      <c r="BA173">
        <v>1</v>
      </c>
      <c r="BB173">
        <v>1</v>
      </c>
      <c r="BC173">
        <v>1</v>
      </c>
      <c r="BD173" t="s">
        <v>3</v>
      </c>
      <c r="BE173" t="s">
        <v>3</v>
      </c>
      <c r="BF173" t="s">
        <v>3</v>
      </c>
      <c r="BG173" t="s">
        <v>3</v>
      </c>
      <c r="BH173">
        <v>0</v>
      </c>
      <c r="BI173">
        <v>1</v>
      </c>
      <c r="BJ173" t="s">
        <v>581</v>
      </c>
      <c r="BM173">
        <v>700004</v>
      </c>
      <c r="BN173">
        <v>0</v>
      </c>
      <c r="BO173" t="s">
        <v>3</v>
      </c>
      <c r="BP173">
        <v>0</v>
      </c>
      <c r="BQ173">
        <v>19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3</v>
      </c>
      <c r="BZ173">
        <v>0</v>
      </c>
      <c r="CA173">
        <v>0</v>
      </c>
      <c r="CB173" t="s">
        <v>3</v>
      </c>
      <c r="CE173">
        <v>0</v>
      </c>
      <c r="CF173">
        <v>0</v>
      </c>
      <c r="CG173">
        <v>0</v>
      </c>
      <c r="CM173">
        <v>0</v>
      </c>
      <c r="CN173" t="s">
        <v>3</v>
      </c>
      <c r="CO173">
        <v>0</v>
      </c>
      <c r="CP173">
        <f>AB173*AZ173</f>
        <v>516.61959999999999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C173" t="s">
        <v>3</v>
      </c>
      <c r="DD173" t="s">
        <v>3</v>
      </c>
      <c r="DE173" t="s">
        <v>3</v>
      </c>
      <c r="DF173" t="s">
        <v>3</v>
      </c>
      <c r="DG173" t="s">
        <v>3</v>
      </c>
      <c r="DH173" t="s">
        <v>3</v>
      </c>
      <c r="DI173" t="s">
        <v>3</v>
      </c>
      <c r="DJ173" t="s">
        <v>3</v>
      </c>
      <c r="DK173" t="s">
        <v>3</v>
      </c>
      <c r="DL173" t="s">
        <v>3</v>
      </c>
      <c r="DM173" t="s">
        <v>3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446</v>
      </c>
      <c r="DW173" t="s">
        <v>446</v>
      </c>
      <c r="DX173">
        <v>1</v>
      </c>
      <c r="DZ173" t="s">
        <v>3</v>
      </c>
      <c r="EA173" t="s">
        <v>3</v>
      </c>
      <c r="EB173" t="s">
        <v>3</v>
      </c>
      <c r="EC173" t="s">
        <v>3</v>
      </c>
      <c r="EE173">
        <v>140625282</v>
      </c>
      <c r="EF173">
        <v>19</v>
      </c>
      <c r="EG173" t="s">
        <v>582</v>
      </c>
      <c r="EH173">
        <v>106</v>
      </c>
      <c r="EI173" t="s">
        <v>582</v>
      </c>
      <c r="EJ173">
        <v>1</v>
      </c>
      <c r="EK173">
        <v>700004</v>
      </c>
      <c r="EL173" t="s">
        <v>582</v>
      </c>
      <c r="EM173" t="s">
        <v>583</v>
      </c>
      <c r="EO173" t="s">
        <v>3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FQ173">
        <v>0</v>
      </c>
      <c r="FR173">
        <f>ROUND(IF(BI173=3,GM173,0),2)</f>
        <v>0</v>
      </c>
      <c r="FS173">
        <v>0</v>
      </c>
      <c r="FX173">
        <v>0</v>
      </c>
      <c r="FY173">
        <v>0</v>
      </c>
      <c r="GA173" t="s">
        <v>3</v>
      </c>
      <c r="GD173">
        <v>1</v>
      </c>
      <c r="GF173">
        <v>-1368885421</v>
      </c>
      <c r="GG173">
        <v>2</v>
      </c>
      <c r="GH173">
        <v>1</v>
      </c>
      <c r="GI173">
        <v>4</v>
      </c>
      <c r="GJ173">
        <v>2</v>
      </c>
      <c r="GK173">
        <v>0</v>
      </c>
      <c r="GL173">
        <f>ROUND(IF(AND(BH173=3,BI173=3,FS173&lt;&gt;0),P173,0),2)</f>
        <v>0</v>
      </c>
      <c r="GM173">
        <f>ROUND(CP173*I173,2)</f>
        <v>1293.0999999999999</v>
      </c>
      <c r="GN173">
        <f>IF(OR(BI173=0,BI173=1),ROUND(CP173*I173,2),0)</f>
        <v>1293.0999999999999</v>
      </c>
      <c r="GO173">
        <f>IF(BI173=2,ROUND(CP173*I173,2),0)</f>
        <v>0</v>
      </c>
      <c r="GP173">
        <f>IF(BI173=4,ROUND(CP173*I173,2)+GX173,0)</f>
        <v>0</v>
      </c>
      <c r="GR173">
        <v>0</v>
      </c>
      <c r="GS173">
        <v>3</v>
      </c>
      <c r="GT173">
        <v>0</v>
      </c>
      <c r="GU173" t="s">
        <v>3</v>
      </c>
      <c r="GV173">
        <f>0</f>
        <v>0</v>
      </c>
      <c r="GW173">
        <v>1</v>
      </c>
      <c r="GX173">
        <f>0</f>
        <v>0</v>
      </c>
      <c r="HA173">
        <v>0</v>
      </c>
      <c r="HB173">
        <v>0</v>
      </c>
      <c r="HC173">
        <v>0</v>
      </c>
      <c r="HD173">
        <f>GM173</f>
        <v>1293.0999999999999</v>
      </c>
      <c r="HE173" t="s">
        <v>3</v>
      </c>
      <c r="HF173" t="s">
        <v>3</v>
      </c>
      <c r="HM173" t="s">
        <v>3</v>
      </c>
      <c r="HN173" t="s">
        <v>3</v>
      </c>
      <c r="HO173" t="s">
        <v>3</v>
      </c>
      <c r="HP173" t="s">
        <v>3</v>
      </c>
      <c r="HQ173" t="s">
        <v>3</v>
      </c>
      <c r="IK173">
        <v>0</v>
      </c>
    </row>
    <row r="174" spans="1:245" x14ac:dyDescent="0.2">
      <c r="A174">
        <v>17</v>
      </c>
      <c r="B174">
        <v>1</v>
      </c>
      <c r="E174" t="s">
        <v>584</v>
      </c>
      <c r="F174" t="s">
        <v>585</v>
      </c>
      <c r="G174" t="s">
        <v>586</v>
      </c>
      <c r="H174" t="s">
        <v>446</v>
      </c>
      <c r="I174">
        <f>ROUND(25.03*0.9,9)</f>
        <v>22.527000000000001</v>
      </c>
      <c r="J174">
        <v>0</v>
      </c>
      <c r="K174">
        <f>ROUND(25.03*0.9,9)</f>
        <v>22.527000000000001</v>
      </c>
      <c r="O174">
        <f>0</f>
        <v>0</v>
      </c>
      <c r="P174">
        <f>0</f>
        <v>0</v>
      </c>
      <c r="Q174">
        <f>0</f>
        <v>0</v>
      </c>
      <c r="R174">
        <f>0</f>
        <v>0</v>
      </c>
      <c r="S174">
        <f>0</f>
        <v>0</v>
      </c>
      <c r="T174">
        <f>0</f>
        <v>0</v>
      </c>
      <c r="U174">
        <f>0</f>
        <v>0</v>
      </c>
      <c r="V174">
        <f>0</f>
        <v>0</v>
      </c>
      <c r="W174">
        <f>0</f>
        <v>0</v>
      </c>
      <c r="X174">
        <f>0</f>
        <v>0</v>
      </c>
      <c r="Y174">
        <f>0</f>
        <v>0</v>
      </c>
      <c r="AA174">
        <v>145033679</v>
      </c>
      <c r="AB174">
        <f>ROUND((AK174),2)</f>
        <v>3.28</v>
      </c>
      <c r="AC174">
        <f>0</f>
        <v>0</v>
      </c>
      <c r="AD174">
        <f>0</f>
        <v>0</v>
      </c>
      <c r="AE174">
        <f>0</f>
        <v>0</v>
      </c>
      <c r="AF174">
        <f>0</f>
        <v>0</v>
      </c>
      <c r="AG174">
        <f>0</f>
        <v>0</v>
      </c>
      <c r="AH174">
        <f>0</f>
        <v>0</v>
      </c>
      <c r="AI174">
        <f>0</f>
        <v>0</v>
      </c>
      <c r="AJ174">
        <f>0</f>
        <v>0</v>
      </c>
      <c r="AK174">
        <v>3.28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1</v>
      </c>
      <c r="AZ174">
        <v>12.02</v>
      </c>
      <c r="BA174">
        <v>1</v>
      </c>
      <c r="BB174">
        <v>1</v>
      </c>
      <c r="BC174">
        <v>1</v>
      </c>
      <c r="BD174" t="s">
        <v>3</v>
      </c>
      <c r="BE174" t="s">
        <v>3</v>
      </c>
      <c r="BF174" t="s">
        <v>3</v>
      </c>
      <c r="BG174" t="s">
        <v>3</v>
      </c>
      <c r="BH174">
        <v>0</v>
      </c>
      <c r="BI174">
        <v>1</v>
      </c>
      <c r="BJ174" t="s">
        <v>587</v>
      </c>
      <c r="BM174">
        <v>700004</v>
      </c>
      <c r="BN174">
        <v>0</v>
      </c>
      <c r="BO174" t="s">
        <v>3</v>
      </c>
      <c r="BP174">
        <v>0</v>
      </c>
      <c r="BQ174">
        <v>19</v>
      </c>
      <c r="BR174">
        <v>0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 t="s">
        <v>3</v>
      </c>
      <c r="BZ174">
        <v>0</v>
      </c>
      <c r="CA174">
        <v>0</v>
      </c>
      <c r="CB174" t="s">
        <v>3</v>
      </c>
      <c r="CE174">
        <v>0</v>
      </c>
      <c r="CF174">
        <v>0</v>
      </c>
      <c r="CG174">
        <v>0</v>
      </c>
      <c r="CM174">
        <v>0</v>
      </c>
      <c r="CN174" t="s">
        <v>3</v>
      </c>
      <c r="CO174">
        <v>0</v>
      </c>
      <c r="CP174">
        <f>AB174*AZ174</f>
        <v>39.425599999999996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C174" t="s">
        <v>3</v>
      </c>
      <c r="DD174" t="s">
        <v>3</v>
      </c>
      <c r="DE174" t="s">
        <v>3</v>
      </c>
      <c r="DF174" t="s">
        <v>3</v>
      </c>
      <c r="DG174" t="s">
        <v>3</v>
      </c>
      <c r="DH174" t="s">
        <v>3</v>
      </c>
      <c r="DI174" t="s">
        <v>3</v>
      </c>
      <c r="DJ174" t="s">
        <v>3</v>
      </c>
      <c r="DK174" t="s">
        <v>3</v>
      </c>
      <c r="DL174" t="s">
        <v>3</v>
      </c>
      <c r="DM174" t="s">
        <v>3</v>
      </c>
      <c r="DN174">
        <v>0</v>
      </c>
      <c r="DO174">
        <v>0</v>
      </c>
      <c r="DP174">
        <v>1</v>
      </c>
      <c r="DQ174">
        <v>1</v>
      </c>
      <c r="DU174">
        <v>1013</v>
      </c>
      <c r="DV174" t="s">
        <v>446</v>
      </c>
      <c r="DW174" t="s">
        <v>446</v>
      </c>
      <c r="DX174">
        <v>1</v>
      </c>
      <c r="DZ174" t="s">
        <v>3</v>
      </c>
      <c r="EA174" t="s">
        <v>3</v>
      </c>
      <c r="EB174" t="s">
        <v>3</v>
      </c>
      <c r="EC174" t="s">
        <v>3</v>
      </c>
      <c r="EE174">
        <v>140625282</v>
      </c>
      <c r="EF174">
        <v>19</v>
      </c>
      <c r="EG174" t="s">
        <v>582</v>
      </c>
      <c r="EH174">
        <v>106</v>
      </c>
      <c r="EI174" t="s">
        <v>582</v>
      </c>
      <c r="EJ174">
        <v>1</v>
      </c>
      <c r="EK174">
        <v>700004</v>
      </c>
      <c r="EL174" t="s">
        <v>582</v>
      </c>
      <c r="EM174" t="s">
        <v>583</v>
      </c>
      <c r="EO174" t="s">
        <v>3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FQ174">
        <v>0</v>
      </c>
      <c r="FR174">
        <f>ROUND(IF(BI174=3,GM174,0),2)</f>
        <v>0</v>
      </c>
      <c r="FS174">
        <v>0</v>
      </c>
      <c r="FX174">
        <v>0</v>
      </c>
      <c r="FY174">
        <v>0</v>
      </c>
      <c r="GA174" t="s">
        <v>3</v>
      </c>
      <c r="GD174">
        <v>1</v>
      </c>
      <c r="GF174">
        <v>1072927856</v>
      </c>
      <c r="GG174">
        <v>2</v>
      </c>
      <c r="GH174">
        <v>1</v>
      </c>
      <c r="GI174">
        <v>4</v>
      </c>
      <c r="GJ174">
        <v>2</v>
      </c>
      <c r="GK174">
        <v>0</v>
      </c>
      <c r="GL174">
        <f>ROUND(IF(AND(BH174=3,BI174=3,FS174&lt;&gt;0),P174,0),2)</f>
        <v>0</v>
      </c>
      <c r="GM174">
        <f>ROUND(CP174*I174,2)</f>
        <v>888.14</v>
      </c>
      <c r="GN174">
        <f>IF(OR(BI174=0,BI174=1),ROUND(CP174*I174,2),0)</f>
        <v>888.14</v>
      </c>
      <c r="GO174">
        <f>IF(BI174=2,ROUND(CP174*I174,2),0)</f>
        <v>0</v>
      </c>
      <c r="GP174">
        <f>IF(BI174=4,ROUND(CP174*I174,2)+GX174,0)</f>
        <v>0</v>
      </c>
      <c r="GR174">
        <v>0</v>
      </c>
      <c r="GS174">
        <v>3</v>
      </c>
      <c r="GT174">
        <v>0</v>
      </c>
      <c r="GU174" t="s">
        <v>3</v>
      </c>
      <c r="GV174">
        <f>0</f>
        <v>0</v>
      </c>
      <c r="GW174">
        <v>1</v>
      </c>
      <c r="GX174">
        <f>0</f>
        <v>0</v>
      </c>
      <c r="HA174">
        <v>0</v>
      </c>
      <c r="HB174">
        <v>0</v>
      </c>
      <c r="HC174">
        <v>0</v>
      </c>
      <c r="HD174">
        <f>GM174</f>
        <v>888.14</v>
      </c>
      <c r="HE174" t="s">
        <v>3</v>
      </c>
      <c r="HF174" t="s">
        <v>3</v>
      </c>
      <c r="HM174" t="s">
        <v>3</v>
      </c>
      <c r="HN174" t="s">
        <v>3</v>
      </c>
      <c r="HO174" t="s">
        <v>3</v>
      </c>
      <c r="HP174" t="s">
        <v>3</v>
      </c>
      <c r="HQ174" t="s">
        <v>3</v>
      </c>
      <c r="IK174">
        <v>0</v>
      </c>
    </row>
    <row r="175" spans="1:245" x14ac:dyDescent="0.2">
      <c r="A175">
        <v>17</v>
      </c>
      <c r="B175">
        <v>1</v>
      </c>
      <c r="E175" t="s">
        <v>588</v>
      </c>
      <c r="F175" t="s">
        <v>589</v>
      </c>
      <c r="G175" t="s">
        <v>590</v>
      </c>
      <c r="H175" t="s">
        <v>446</v>
      </c>
      <c r="I175">
        <f>ROUND(I173+I174,9)</f>
        <v>25.03</v>
      </c>
      <c r="J175">
        <v>0</v>
      </c>
      <c r="K175">
        <f>ROUND(I173+I174,9)</f>
        <v>25.03</v>
      </c>
      <c r="O175">
        <f>0</f>
        <v>0</v>
      </c>
      <c r="P175">
        <f>0</f>
        <v>0</v>
      </c>
      <c r="Q175">
        <f>0</f>
        <v>0</v>
      </c>
      <c r="R175">
        <f>0</f>
        <v>0</v>
      </c>
      <c r="S175">
        <f>0</f>
        <v>0</v>
      </c>
      <c r="T175">
        <f>0</f>
        <v>0</v>
      </c>
      <c r="U175">
        <f>0</f>
        <v>0</v>
      </c>
      <c r="V175">
        <f>0</f>
        <v>0</v>
      </c>
      <c r="W175">
        <f>0</f>
        <v>0</v>
      </c>
      <c r="X175">
        <f>0</f>
        <v>0</v>
      </c>
      <c r="Y175">
        <f>0</f>
        <v>0</v>
      </c>
      <c r="AA175">
        <v>145033679</v>
      </c>
      <c r="AB175">
        <f>ROUND((AK175),2)</f>
        <v>27.16</v>
      </c>
      <c r="AC175">
        <f>0</f>
        <v>0</v>
      </c>
      <c r="AD175">
        <f>0</f>
        <v>0</v>
      </c>
      <c r="AE175">
        <f>0</f>
        <v>0</v>
      </c>
      <c r="AF175">
        <f>0</f>
        <v>0</v>
      </c>
      <c r="AG175">
        <f>0</f>
        <v>0</v>
      </c>
      <c r="AH175">
        <f>0</f>
        <v>0</v>
      </c>
      <c r="AI175">
        <f>0</f>
        <v>0</v>
      </c>
      <c r="AJ175">
        <f>0</f>
        <v>0</v>
      </c>
      <c r="AK175">
        <v>27.16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12.02</v>
      </c>
      <c r="BA175">
        <v>1</v>
      </c>
      <c r="BB175">
        <v>1</v>
      </c>
      <c r="BC175">
        <v>1</v>
      </c>
      <c r="BD175" t="s">
        <v>3</v>
      </c>
      <c r="BE175" t="s">
        <v>3</v>
      </c>
      <c r="BF175" t="s">
        <v>3</v>
      </c>
      <c r="BG175" t="s">
        <v>3</v>
      </c>
      <c r="BH175">
        <v>0</v>
      </c>
      <c r="BI175">
        <v>1</v>
      </c>
      <c r="BJ175" t="s">
        <v>591</v>
      </c>
      <c r="BM175">
        <v>700011</v>
      </c>
      <c r="BN175">
        <v>0</v>
      </c>
      <c r="BO175" t="s">
        <v>3</v>
      </c>
      <c r="BP175">
        <v>0</v>
      </c>
      <c r="BQ175">
        <v>40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3</v>
      </c>
      <c r="BZ175">
        <v>0</v>
      </c>
      <c r="CA175">
        <v>0</v>
      </c>
      <c r="CB175" t="s">
        <v>3</v>
      </c>
      <c r="CE175">
        <v>0</v>
      </c>
      <c r="CF175">
        <v>0</v>
      </c>
      <c r="CG175">
        <v>0</v>
      </c>
      <c r="CM175">
        <v>0</v>
      </c>
      <c r="CN175" t="s">
        <v>3</v>
      </c>
      <c r="CO175">
        <v>0</v>
      </c>
      <c r="CP175">
        <f>AB175*AZ175</f>
        <v>326.46319999999997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C175" t="s">
        <v>3</v>
      </c>
      <c r="DD175" t="s">
        <v>3</v>
      </c>
      <c r="DE175" t="s">
        <v>3</v>
      </c>
      <c r="DF175" t="s">
        <v>3</v>
      </c>
      <c r="DG175" t="s">
        <v>3</v>
      </c>
      <c r="DH175" t="s">
        <v>3</v>
      </c>
      <c r="DI175" t="s">
        <v>3</v>
      </c>
      <c r="DJ175" t="s">
        <v>3</v>
      </c>
      <c r="DK175" t="s">
        <v>3</v>
      </c>
      <c r="DL175" t="s">
        <v>3</v>
      </c>
      <c r="DM175" t="s">
        <v>3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446</v>
      </c>
      <c r="DW175" t="s">
        <v>446</v>
      </c>
      <c r="DX175">
        <v>1</v>
      </c>
      <c r="DZ175" t="s">
        <v>3</v>
      </c>
      <c r="EA175" t="s">
        <v>3</v>
      </c>
      <c r="EB175" t="s">
        <v>3</v>
      </c>
      <c r="EC175" t="s">
        <v>3</v>
      </c>
      <c r="EE175">
        <v>140625621</v>
      </c>
      <c r="EF175">
        <v>40</v>
      </c>
      <c r="EG175" t="s">
        <v>448</v>
      </c>
      <c r="EH175">
        <v>107</v>
      </c>
      <c r="EI175" t="s">
        <v>449</v>
      </c>
      <c r="EJ175">
        <v>1</v>
      </c>
      <c r="EK175">
        <v>700011</v>
      </c>
      <c r="EL175" t="s">
        <v>450</v>
      </c>
      <c r="EM175" t="s">
        <v>451</v>
      </c>
      <c r="EO175" t="s">
        <v>3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FQ175">
        <v>0</v>
      </c>
      <c r="FR175">
        <f>ROUND(IF(BI175=3,GM175,0),2)</f>
        <v>0</v>
      </c>
      <c r="FS175">
        <v>0</v>
      </c>
      <c r="FX175">
        <v>0</v>
      </c>
      <c r="FY175">
        <v>0</v>
      </c>
      <c r="GA175" t="s">
        <v>3</v>
      </c>
      <c r="GD175">
        <v>1</v>
      </c>
      <c r="GF175">
        <v>-680963116</v>
      </c>
      <c r="GG175">
        <v>2</v>
      </c>
      <c r="GH175">
        <v>1</v>
      </c>
      <c r="GI175">
        <v>4</v>
      </c>
      <c r="GJ175">
        <v>2</v>
      </c>
      <c r="GK175">
        <v>0</v>
      </c>
      <c r="GL175">
        <f>ROUND(IF(AND(BH175=3,BI175=3,FS175&lt;&gt;0),P175,0),2)</f>
        <v>0</v>
      </c>
      <c r="GM175">
        <f>ROUND(CP175*I175,2)</f>
        <v>8171.37</v>
      </c>
      <c r="GN175">
        <f>IF(OR(BI175=0,BI175=1),ROUND(CP175*I175,2),0)</f>
        <v>8171.37</v>
      </c>
      <c r="GO175">
        <f>IF(BI175=2,ROUND(CP175*I175,2),0)</f>
        <v>0</v>
      </c>
      <c r="GP175">
        <f>IF(BI175=4,ROUND(CP175*I175,2)+GX175,0)</f>
        <v>0</v>
      </c>
      <c r="GR175">
        <v>0</v>
      </c>
      <c r="GS175">
        <v>3</v>
      </c>
      <c r="GT175">
        <v>0</v>
      </c>
      <c r="GU175" t="s">
        <v>3</v>
      </c>
      <c r="GV175">
        <f>0</f>
        <v>0</v>
      </c>
      <c r="GW175">
        <v>1</v>
      </c>
      <c r="GX175">
        <f>0</f>
        <v>0</v>
      </c>
      <c r="HA175">
        <v>0</v>
      </c>
      <c r="HB175">
        <v>0</v>
      </c>
      <c r="HC175">
        <v>0</v>
      </c>
      <c r="HD175">
        <f>GM175</f>
        <v>8171.37</v>
      </c>
      <c r="HE175" t="s">
        <v>3</v>
      </c>
      <c r="HF175" t="s">
        <v>3</v>
      </c>
      <c r="HM175" t="s">
        <v>3</v>
      </c>
      <c r="HN175" t="s">
        <v>3</v>
      </c>
      <c r="HO175" t="s">
        <v>3</v>
      </c>
      <c r="HP175" t="s">
        <v>3</v>
      </c>
      <c r="HQ175" t="s">
        <v>3</v>
      </c>
      <c r="IK175">
        <v>0</v>
      </c>
    </row>
    <row r="176" spans="1:245" x14ac:dyDescent="0.2">
      <c r="A176">
        <v>17</v>
      </c>
      <c r="B176">
        <v>1</v>
      </c>
      <c r="E176" t="s">
        <v>592</v>
      </c>
      <c r="F176" t="s">
        <v>593</v>
      </c>
      <c r="G176" t="s">
        <v>594</v>
      </c>
      <c r="H176" t="s">
        <v>105</v>
      </c>
      <c r="I176">
        <f>ROUND(I175,9)</f>
        <v>25.03</v>
      </c>
      <c r="J176">
        <v>0</v>
      </c>
      <c r="K176">
        <f>ROUND(I175,9)</f>
        <v>25.03</v>
      </c>
      <c r="O176">
        <f>ROUND(CP176,2)</f>
        <v>16477.29</v>
      </c>
      <c r="P176">
        <f>ROUND(CQ176*I176,2)</f>
        <v>16477.29</v>
      </c>
      <c r="Q176">
        <f>ROUND(CR176*I176,2)</f>
        <v>0</v>
      </c>
      <c r="R176">
        <f>ROUND(CS176*I176,2)</f>
        <v>0</v>
      </c>
      <c r="S176">
        <f>ROUND(CT176*I176,2)</f>
        <v>0</v>
      </c>
      <c r="T176">
        <f>ROUND(CU176*I176,2)</f>
        <v>0</v>
      </c>
      <c r="U176">
        <f>CV176*I176</f>
        <v>0</v>
      </c>
      <c r="V176">
        <f>CW176*I176</f>
        <v>0</v>
      </c>
      <c r="W176">
        <f>ROUND(CX176*I176,2)</f>
        <v>0</v>
      </c>
      <c r="X176">
        <f>ROUND(CY176,2)</f>
        <v>0</v>
      </c>
      <c r="Y176">
        <f>ROUND(CZ176,2)</f>
        <v>0</v>
      </c>
      <c r="AA176">
        <v>145033679</v>
      </c>
      <c r="AB176">
        <f>ROUND((AC176+AD176+AF176),2)</f>
        <v>75.58</v>
      </c>
      <c r="AC176">
        <f>ROUND((ES176),2)</f>
        <v>75.58</v>
      </c>
      <c r="AD176">
        <f>ROUND((((ET176)-(EU176))+AE176),2)</f>
        <v>0</v>
      </c>
      <c r="AE176">
        <f>ROUND((EU176),2)</f>
        <v>0</v>
      </c>
      <c r="AF176">
        <f>ROUND((EV176),2)</f>
        <v>0</v>
      </c>
      <c r="AG176">
        <f>ROUND((AP176),2)</f>
        <v>0</v>
      </c>
      <c r="AH176">
        <f>(EW176)</f>
        <v>0</v>
      </c>
      <c r="AI176">
        <f>(EX176)</f>
        <v>0</v>
      </c>
      <c r="AJ176">
        <f>(AS176)</f>
        <v>0</v>
      </c>
      <c r="AK176">
        <v>75.58</v>
      </c>
      <c r="AL176">
        <v>75.58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1</v>
      </c>
      <c r="AW176">
        <v>1</v>
      </c>
      <c r="AZ176">
        <v>1</v>
      </c>
      <c r="BA176">
        <v>1</v>
      </c>
      <c r="BB176">
        <v>1</v>
      </c>
      <c r="BC176">
        <v>8.7100000000000009</v>
      </c>
      <c r="BD176" t="s">
        <v>3</v>
      </c>
      <c r="BE176" t="s">
        <v>3</v>
      </c>
      <c r="BF176" t="s">
        <v>3</v>
      </c>
      <c r="BG176" t="s">
        <v>3</v>
      </c>
      <c r="BH176">
        <v>3</v>
      </c>
      <c r="BI176">
        <v>1</v>
      </c>
      <c r="BJ176" t="s">
        <v>3</v>
      </c>
      <c r="BM176">
        <v>1100</v>
      </c>
      <c r="BN176">
        <v>0</v>
      </c>
      <c r="BO176" t="s">
        <v>3</v>
      </c>
      <c r="BP176">
        <v>0</v>
      </c>
      <c r="BQ176">
        <v>8</v>
      </c>
      <c r="BR176">
        <v>0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 t="s">
        <v>3</v>
      </c>
      <c r="BZ176">
        <v>0</v>
      </c>
      <c r="CA176">
        <v>0</v>
      </c>
      <c r="CB176" t="s">
        <v>3</v>
      </c>
      <c r="CE176">
        <v>0</v>
      </c>
      <c r="CF176">
        <v>0</v>
      </c>
      <c r="CG176">
        <v>0</v>
      </c>
      <c r="CM176">
        <v>0</v>
      </c>
      <c r="CN176" t="s">
        <v>3</v>
      </c>
      <c r="CO176">
        <v>0</v>
      </c>
      <c r="CP176">
        <f>(P176+Q176+S176)</f>
        <v>16477.29</v>
      </c>
      <c r="CQ176">
        <f>AC176*BC176</f>
        <v>658.30180000000007</v>
      </c>
      <c r="CR176">
        <f>(((ET176)*BB176-(EU176)*BS176)+AE176*BS176)</f>
        <v>0</v>
      </c>
      <c r="CS176">
        <f>AE176*BS176</f>
        <v>0</v>
      </c>
      <c r="CT176">
        <f>AF176*BA176</f>
        <v>0</v>
      </c>
      <c r="CU176">
        <f>AG176</f>
        <v>0</v>
      </c>
      <c r="CV176">
        <f>AH176</f>
        <v>0</v>
      </c>
      <c r="CW176">
        <f>AI176</f>
        <v>0</v>
      </c>
      <c r="CX176">
        <f>AJ176</f>
        <v>0</v>
      </c>
      <c r="CY176">
        <f>(((S176+R176)*AT176)/100)</f>
        <v>0</v>
      </c>
      <c r="CZ176">
        <f>(((S176+R176)*AU176)/100)</f>
        <v>0</v>
      </c>
      <c r="DC176" t="s">
        <v>3</v>
      </c>
      <c r="DD176" t="s">
        <v>3</v>
      </c>
      <c r="DE176" t="s">
        <v>3</v>
      </c>
      <c r="DF176" t="s">
        <v>3</v>
      </c>
      <c r="DG176" t="s">
        <v>3</v>
      </c>
      <c r="DH176" t="s">
        <v>3</v>
      </c>
      <c r="DI176" t="s">
        <v>3</v>
      </c>
      <c r="DJ176" t="s">
        <v>3</v>
      </c>
      <c r="DK176" t="s">
        <v>3</v>
      </c>
      <c r="DL176" t="s">
        <v>3</v>
      </c>
      <c r="DM176" t="s">
        <v>3</v>
      </c>
      <c r="DN176">
        <v>0</v>
      </c>
      <c r="DO176">
        <v>0</v>
      </c>
      <c r="DP176">
        <v>1</v>
      </c>
      <c r="DQ176">
        <v>1</v>
      </c>
      <c r="DU176">
        <v>1009</v>
      </c>
      <c r="DV176" t="s">
        <v>105</v>
      </c>
      <c r="DW176" t="s">
        <v>105</v>
      </c>
      <c r="DX176">
        <v>1000</v>
      </c>
      <c r="DZ176" t="s">
        <v>3</v>
      </c>
      <c r="EA176" t="s">
        <v>3</v>
      </c>
      <c r="EB176" t="s">
        <v>3</v>
      </c>
      <c r="EC176" t="s">
        <v>3</v>
      </c>
      <c r="EE176">
        <v>140625274</v>
      </c>
      <c r="EF176">
        <v>8</v>
      </c>
      <c r="EG176" t="s">
        <v>48</v>
      </c>
      <c r="EH176">
        <v>0</v>
      </c>
      <c r="EI176" t="s">
        <v>3</v>
      </c>
      <c r="EJ176">
        <v>1</v>
      </c>
      <c r="EK176">
        <v>1100</v>
      </c>
      <c r="EL176" t="s">
        <v>49</v>
      </c>
      <c r="EM176" t="s">
        <v>50</v>
      </c>
      <c r="EO176" t="s">
        <v>3</v>
      </c>
      <c r="EQ176">
        <v>0</v>
      </c>
      <c r="ER176">
        <v>75.58</v>
      </c>
      <c r="ES176">
        <v>75.58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5</v>
      </c>
      <c r="FC176">
        <v>1</v>
      </c>
      <c r="FD176">
        <v>18</v>
      </c>
      <c r="FF176">
        <v>790</v>
      </c>
      <c r="FQ176">
        <v>0</v>
      </c>
      <c r="FR176">
        <f>ROUND(IF(BI176=3,GM176,0),2)</f>
        <v>0</v>
      </c>
      <c r="FS176">
        <v>0</v>
      </c>
      <c r="FX176">
        <v>0</v>
      </c>
      <c r="FY176">
        <v>0</v>
      </c>
      <c r="GA176" t="s">
        <v>595</v>
      </c>
      <c r="GD176">
        <v>1</v>
      </c>
      <c r="GF176">
        <v>166994309</v>
      </c>
      <c r="GG176">
        <v>2</v>
      </c>
      <c r="GH176">
        <v>3</v>
      </c>
      <c r="GI176">
        <v>4</v>
      </c>
      <c r="GJ176">
        <v>0</v>
      </c>
      <c r="GK176">
        <v>0</v>
      </c>
      <c r="GL176">
        <f>ROUND(IF(AND(BH176=3,BI176=3,FS176&lt;&gt;0),P176,0),2)</f>
        <v>0</v>
      </c>
      <c r="GM176">
        <f>ROUND(O176+X176+Y176,2)+GX176</f>
        <v>16477.29</v>
      </c>
      <c r="GN176">
        <f>IF(OR(BI176=0,BI176=1),ROUND(O176+X176+Y176,2),0)</f>
        <v>16477.29</v>
      </c>
      <c r="GO176">
        <f>IF(BI176=2,ROUND(O176+X176+Y176,2),0)</f>
        <v>0</v>
      </c>
      <c r="GP176">
        <f>IF(BI176=4,ROUND(O176+X176+Y176,2)+GX176,0)</f>
        <v>0</v>
      </c>
      <c r="GR176">
        <v>1</v>
      </c>
      <c r="GS176">
        <v>1</v>
      </c>
      <c r="GT176">
        <v>0</v>
      </c>
      <c r="GU176" t="s">
        <v>3</v>
      </c>
      <c r="GV176">
        <f>ROUND((GT176),2)</f>
        <v>0</v>
      </c>
      <c r="GW176">
        <v>1</v>
      </c>
      <c r="GX176">
        <f>ROUND(HC176*I176,2)</f>
        <v>0</v>
      </c>
      <c r="HA176">
        <v>0</v>
      </c>
      <c r="HB176">
        <v>0</v>
      </c>
      <c r="HC176">
        <f>GV176*GW176</f>
        <v>0</v>
      </c>
      <c r="HE176" t="s">
        <v>258</v>
      </c>
      <c r="HF176" t="s">
        <v>258</v>
      </c>
      <c r="HM176" t="s">
        <v>3</v>
      </c>
      <c r="HN176" t="s">
        <v>3</v>
      </c>
      <c r="HO176" t="s">
        <v>3</v>
      </c>
      <c r="HP176" t="s">
        <v>3</v>
      </c>
      <c r="HQ176" t="s">
        <v>3</v>
      </c>
      <c r="IK176">
        <v>0</v>
      </c>
    </row>
    <row r="178" spans="1:206" x14ac:dyDescent="0.2">
      <c r="A178" s="2">
        <v>51</v>
      </c>
      <c r="B178" s="2">
        <f>B20</f>
        <v>1</v>
      </c>
      <c r="C178" s="2">
        <f>A20</f>
        <v>3</v>
      </c>
      <c r="D178" s="2">
        <f>ROW(A20)</f>
        <v>20</v>
      </c>
      <c r="E178" s="2"/>
      <c r="F178" s="2" t="str">
        <f>IF(F20&lt;&gt;"",F20,"")</f>
        <v>Новая локальная смета</v>
      </c>
      <c r="G178" s="2" t="str">
        <f>IF(G20&lt;&gt;"",G20,"")</f>
        <v>Новая локальная смета</v>
      </c>
      <c r="H178" s="2">
        <v>0</v>
      </c>
      <c r="I178" s="2"/>
      <c r="J178" s="2"/>
      <c r="K178" s="2"/>
      <c r="L178" s="2"/>
      <c r="M178" s="2"/>
      <c r="N178" s="2"/>
      <c r="O178" s="2">
        <f t="shared" ref="O178:T178" si="345">ROUND(AB178,2)</f>
        <v>3274366.23</v>
      </c>
      <c r="P178" s="2">
        <f t="shared" si="345"/>
        <v>1955855.3</v>
      </c>
      <c r="Q178" s="2">
        <f t="shared" si="345"/>
        <v>554119.06000000006</v>
      </c>
      <c r="R178" s="2">
        <f t="shared" si="345"/>
        <v>203632.68</v>
      </c>
      <c r="S178" s="2">
        <f t="shared" si="345"/>
        <v>764391.87</v>
      </c>
      <c r="T178" s="2">
        <f t="shared" si="345"/>
        <v>0</v>
      </c>
      <c r="U178" s="2">
        <f>AH178</f>
        <v>2804.4622104254995</v>
      </c>
      <c r="V178" s="2">
        <f>AI178</f>
        <v>184.90067485124999</v>
      </c>
      <c r="W178" s="2">
        <f>ROUND(AJ178,2)</f>
        <v>0</v>
      </c>
      <c r="X178" s="2">
        <f>ROUND(AK178,2)</f>
        <v>795641.51</v>
      </c>
      <c r="Y178" s="2">
        <f>ROUND(AL178,2)</f>
        <v>437877.04</v>
      </c>
      <c r="Z178" s="2"/>
      <c r="AA178" s="2"/>
      <c r="AB178" s="2">
        <f>ROUND(SUMIF(AA24:AA176,"=145033679",O24:O176),2)</f>
        <v>3274366.23</v>
      </c>
      <c r="AC178" s="2">
        <f>ROUND(SUMIF(AA24:AA176,"=145033679",P24:P176),2)</f>
        <v>1955855.3</v>
      </c>
      <c r="AD178" s="2">
        <f>ROUND(SUMIF(AA24:AA176,"=145033679",Q24:Q176),2)</f>
        <v>554119.06000000006</v>
      </c>
      <c r="AE178" s="2">
        <f>ROUND(SUMIF(AA24:AA176,"=145033679",R24:R176),2)</f>
        <v>203632.68</v>
      </c>
      <c r="AF178" s="2">
        <f>ROUND(SUMIF(AA24:AA176,"=145033679",S24:S176),2)</f>
        <v>764391.87</v>
      </c>
      <c r="AG178" s="2">
        <f>ROUND(SUMIF(AA24:AA176,"=145033679",T24:T176),2)</f>
        <v>0</v>
      </c>
      <c r="AH178" s="2">
        <f>SUMIF(AA24:AA176,"=145033679",U24:U176)</f>
        <v>2804.4622104254995</v>
      </c>
      <c r="AI178" s="2">
        <f>SUMIF(AA24:AA176,"=145033679",V24:V176)</f>
        <v>184.90067485124999</v>
      </c>
      <c r="AJ178" s="2">
        <f>ROUND(SUMIF(AA24:AA176,"=145033679",W24:W176),2)</f>
        <v>0</v>
      </c>
      <c r="AK178" s="2">
        <f>ROUND(SUMIF(AA24:AA176,"=145033679",X24:X176),2)</f>
        <v>795641.51</v>
      </c>
      <c r="AL178" s="2">
        <f>ROUND(SUMIF(AA24:AA176,"=145033679",Y24:Y176),2)</f>
        <v>437877.04</v>
      </c>
      <c r="AM178" s="2"/>
      <c r="AN178" s="2"/>
      <c r="AO178" s="2">
        <f t="shared" ref="AO178:BD178" si="346">ROUND(BX178,2)</f>
        <v>0</v>
      </c>
      <c r="AP178" s="2">
        <f t="shared" si="346"/>
        <v>0</v>
      </c>
      <c r="AQ178" s="2">
        <f t="shared" si="346"/>
        <v>0</v>
      </c>
      <c r="AR178" s="2">
        <f t="shared" si="346"/>
        <v>4523440.37</v>
      </c>
      <c r="AS178" s="2">
        <f t="shared" si="346"/>
        <v>3916026.99</v>
      </c>
      <c r="AT178" s="2">
        <f t="shared" si="346"/>
        <v>607413.38</v>
      </c>
      <c r="AU178" s="2">
        <f t="shared" si="346"/>
        <v>0</v>
      </c>
      <c r="AV178" s="2">
        <f t="shared" si="346"/>
        <v>1955855.3</v>
      </c>
      <c r="AW178" s="2">
        <f t="shared" si="346"/>
        <v>1955855.3</v>
      </c>
      <c r="AX178" s="2">
        <f t="shared" si="346"/>
        <v>0</v>
      </c>
      <c r="AY178" s="2">
        <f t="shared" si="346"/>
        <v>1955855.3</v>
      </c>
      <c r="AZ178" s="2">
        <f t="shared" si="346"/>
        <v>0</v>
      </c>
      <c r="BA178" s="2">
        <f t="shared" si="346"/>
        <v>0</v>
      </c>
      <c r="BB178" s="2">
        <f t="shared" si="346"/>
        <v>0</v>
      </c>
      <c r="BC178" s="2">
        <f t="shared" si="346"/>
        <v>0</v>
      </c>
      <c r="BD178" s="2">
        <f t="shared" si="346"/>
        <v>15555.59</v>
      </c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>
        <f>ROUND(SUMIF(AA24:AA176,"=145033679",FQ24:FQ176),2)</f>
        <v>0</v>
      </c>
      <c r="BY178" s="2">
        <f>ROUND(SUMIF(AA24:AA176,"=145033679",FR24:FR176),2)</f>
        <v>0</v>
      </c>
      <c r="BZ178" s="2">
        <f>ROUND(SUMIF(AA24:AA176,"=145033679",GL24:GL176),2)</f>
        <v>0</v>
      </c>
      <c r="CA178" s="2">
        <f>ROUND(SUMIF(AA24:AA176,"=145033679",GM24:GM176),2)</f>
        <v>4523440.37</v>
      </c>
      <c r="CB178" s="2">
        <f>ROUND(SUMIF(AA24:AA176,"=145033679",GN24:GN176),2)</f>
        <v>3916026.99</v>
      </c>
      <c r="CC178" s="2">
        <f>ROUND(SUMIF(AA24:AA176,"=145033679",GO24:GO176),2)</f>
        <v>607413.38</v>
      </c>
      <c r="CD178" s="2">
        <f>ROUND(SUMIF(AA24:AA176,"=145033679",GP24:GP176),2)</f>
        <v>0</v>
      </c>
      <c r="CE178" s="2">
        <f>AC178-BX178</f>
        <v>1955855.3</v>
      </c>
      <c r="CF178" s="2">
        <f>AC178-BY178</f>
        <v>1955855.3</v>
      </c>
      <c r="CG178" s="2">
        <f>BX178-BZ178</f>
        <v>0</v>
      </c>
      <c r="CH178" s="2">
        <f>AC178-BX178-BY178+BZ178</f>
        <v>1955855.3</v>
      </c>
      <c r="CI178" s="2">
        <f>BY178-BZ178</f>
        <v>0</v>
      </c>
      <c r="CJ178" s="2">
        <f>ROUND(SUMIF(AA24:AA176,"=145033679",GX24:GX176),2)</f>
        <v>0</v>
      </c>
      <c r="CK178" s="2">
        <f>ROUND(SUMIF(AA24:AA176,"=145033679",GY24:GY176),2)</f>
        <v>0</v>
      </c>
      <c r="CL178" s="2">
        <f>ROUND(SUMIF(AA24:AA176,"=145033679",GZ24:GZ176),2)</f>
        <v>0</v>
      </c>
      <c r="CM178" s="2">
        <f>ROUND(SUMIF(AA24:AA176,"=145033679",HD24:HD176),2)</f>
        <v>15555.59</v>
      </c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>
        <v>0</v>
      </c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201</v>
      </c>
      <c r="F180" s="4">
        <f>ROUND(Source!O178,O180)</f>
        <v>3274366.23</v>
      </c>
      <c r="G180" s="4" t="s">
        <v>596</v>
      </c>
      <c r="H180" s="4" t="s">
        <v>597</v>
      </c>
      <c r="I180" s="4"/>
      <c r="J180" s="4"/>
      <c r="K180" s="4">
        <v>201</v>
      </c>
      <c r="L180" s="4">
        <v>1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3274366.23</v>
      </c>
      <c r="X180" s="4">
        <v>1</v>
      </c>
      <c r="Y180" s="4">
        <v>3274366.23</v>
      </c>
      <c r="Z180" s="4"/>
      <c r="AA180" s="4"/>
      <c r="AB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202</v>
      </c>
      <c r="F181" s="4">
        <f>ROUND(Source!P178,O181)</f>
        <v>1955855.3</v>
      </c>
      <c r="G181" s="4" t="s">
        <v>598</v>
      </c>
      <c r="H181" s="4" t="s">
        <v>599</v>
      </c>
      <c r="I181" s="4"/>
      <c r="J181" s="4"/>
      <c r="K181" s="4">
        <v>202</v>
      </c>
      <c r="L181" s="4">
        <v>2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1955855.3</v>
      </c>
      <c r="X181" s="4">
        <v>1</v>
      </c>
      <c r="Y181" s="4">
        <v>1955855.3</v>
      </c>
      <c r="Z181" s="4"/>
      <c r="AA181" s="4"/>
      <c r="AB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222</v>
      </c>
      <c r="F182" s="4">
        <f>ROUND(Source!AO178,O182)</f>
        <v>0</v>
      </c>
      <c r="G182" s="4" t="s">
        <v>600</v>
      </c>
      <c r="H182" s="4" t="s">
        <v>601</v>
      </c>
      <c r="I182" s="4"/>
      <c r="J182" s="4"/>
      <c r="K182" s="4">
        <v>222</v>
      </c>
      <c r="L182" s="4">
        <v>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0</v>
      </c>
      <c r="X182" s="4">
        <v>1</v>
      </c>
      <c r="Y182" s="4">
        <v>0</v>
      </c>
      <c r="Z182" s="4"/>
      <c r="AA182" s="4"/>
      <c r="AB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225</v>
      </c>
      <c r="F183" s="4">
        <f>ROUND(Source!AV178,O183)</f>
        <v>1955855.3</v>
      </c>
      <c r="G183" s="4" t="s">
        <v>602</v>
      </c>
      <c r="H183" s="4" t="s">
        <v>603</v>
      </c>
      <c r="I183" s="4"/>
      <c r="J183" s="4"/>
      <c r="K183" s="4">
        <v>225</v>
      </c>
      <c r="L183" s="4">
        <v>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1955855.3</v>
      </c>
      <c r="X183" s="4">
        <v>1</v>
      </c>
      <c r="Y183" s="4">
        <v>1955855.3</v>
      </c>
      <c r="Z183" s="4"/>
      <c r="AA183" s="4"/>
      <c r="AB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226</v>
      </c>
      <c r="F184" s="4">
        <f>ROUND(Source!AW178,O184)</f>
        <v>1955855.3</v>
      </c>
      <c r="G184" s="4" t="s">
        <v>604</v>
      </c>
      <c r="H184" s="4" t="s">
        <v>605</v>
      </c>
      <c r="I184" s="4"/>
      <c r="J184" s="4"/>
      <c r="K184" s="4">
        <v>226</v>
      </c>
      <c r="L184" s="4">
        <v>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1955855.3</v>
      </c>
      <c r="X184" s="4">
        <v>1</v>
      </c>
      <c r="Y184" s="4">
        <v>1955855.3</v>
      </c>
      <c r="Z184" s="4"/>
      <c r="AA184" s="4"/>
      <c r="AB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227</v>
      </c>
      <c r="F185" s="4">
        <f>ROUND(Source!AX178,O185)</f>
        <v>0</v>
      </c>
      <c r="G185" s="4" t="s">
        <v>606</v>
      </c>
      <c r="H185" s="4" t="s">
        <v>607</v>
      </c>
      <c r="I185" s="4"/>
      <c r="J185" s="4"/>
      <c r="K185" s="4">
        <v>227</v>
      </c>
      <c r="L185" s="4">
        <v>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228</v>
      </c>
      <c r="F186" s="4">
        <f>ROUND(Source!AY178,O186)</f>
        <v>1955855.3</v>
      </c>
      <c r="G186" s="4" t="s">
        <v>608</v>
      </c>
      <c r="H186" s="4" t="s">
        <v>609</v>
      </c>
      <c r="I186" s="4"/>
      <c r="J186" s="4"/>
      <c r="K186" s="4">
        <v>228</v>
      </c>
      <c r="L186" s="4">
        <v>7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1955855.3</v>
      </c>
      <c r="X186" s="4">
        <v>1</v>
      </c>
      <c r="Y186" s="4">
        <v>1955855.3</v>
      </c>
      <c r="Z186" s="4"/>
      <c r="AA186" s="4"/>
      <c r="AB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216</v>
      </c>
      <c r="F187" s="4">
        <f>ROUND(Source!AP178,O187)</f>
        <v>0</v>
      </c>
      <c r="G187" s="4" t="s">
        <v>610</v>
      </c>
      <c r="H187" s="4" t="s">
        <v>611</v>
      </c>
      <c r="I187" s="4"/>
      <c r="J187" s="4"/>
      <c r="K187" s="4">
        <v>216</v>
      </c>
      <c r="L187" s="4">
        <v>8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0</v>
      </c>
      <c r="X187" s="4">
        <v>1</v>
      </c>
      <c r="Y187" s="4">
        <v>0</v>
      </c>
      <c r="Z187" s="4"/>
      <c r="AA187" s="4"/>
      <c r="AB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223</v>
      </c>
      <c r="F188" s="4">
        <f>ROUND(Source!AQ178,O188)</f>
        <v>0</v>
      </c>
      <c r="G188" s="4" t="s">
        <v>612</v>
      </c>
      <c r="H188" s="4" t="s">
        <v>613</v>
      </c>
      <c r="I188" s="4"/>
      <c r="J188" s="4"/>
      <c r="K188" s="4">
        <v>223</v>
      </c>
      <c r="L188" s="4">
        <v>9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0</v>
      </c>
      <c r="X188" s="4">
        <v>1</v>
      </c>
      <c r="Y188" s="4">
        <v>0</v>
      </c>
      <c r="Z188" s="4"/>
      <c r="AA188" s="4"/>
      <c r="AB188" s="4"/>
    </row>
    <row r="189" spans="1:206" x14ac:dyDescent="0.2">
      <c r="A189" s="4">
        <v>50</v>
      </c>
      <c r="B189" s="4">
        <v>0</v>
      </c>
      <c r="C189" s="4">
        <v>0</v>
      </c>
      <c r="D189" s="4">
        <v>1</v>
      </c>
      <c r="E189" s="4">
        <v>229</v>
      </c>
      <c r="F189" s="4">
        <f>ROUND(Source!AZ178,O189)</f>
        <v>0</v>
      </c>
      <c r="G189" s="4" t="s">
        <v>614</v>
      </c>
      <c r="H189" s="4" t="s">
        <v>615</v>
      </c>
      <c r="I189" s="4"/>
      <c r="J189" s="4"/>
      <c r="K189" s="4">
        <v>229</v>
      </c>
      <c r="L189" s="4">
        <v>10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>
        <v>0</v>
      </c>
      <c r="X189" s="4">
        <v>1</v>
      </c>
      <c r="Y189" s="4">
        <v>0</v>
      </c>
      <c r="Z189" s="4"/>
      <c r="AA189" s="4"/>
      <c r="AB189" s="4"/>
    </row>
    <row r="190" spans="1:206" x14ac:dyDescent="0.2">
      <c r="A190" s="4">
        <v>50</v>
      </c>
      <c r="B190" s="4">
        <v>0</v>
      </c>
      <c r="C190" s="4">
        <v>0</v>
      </c>
      <c r="D190" s="4">
        <v>1</v>
      </c>
      <c r="E190" s="4">
        <v>203</v>
      </c>
      <c r="F190" s="4">
        <f>ROUND(Source!Q178,O190)</f>
        <v>554119.06000000006</v>
      </c>
      <c r="G190" s="4" t="s">
        <v>83</v>
      </c>
      <c r="H190" s="4" t="s">
        <v>616</v>
      </c>
      <c r="I190" s="4"/>
      <c r="J190" s="4"/>
      <c r="K190" s="4">
        <v>203</v>
      </c>
      <c r="L190" s="4">
        <v>11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>
        <v>554119.06000000006</v>
      </c>
      <c r="X190" s="4">
        <v>1</v>
      </c>
      <c r="Y190" s="4">
        <v>554119.06000000006</v>
      </c>
      <c r="Z190" s="4"/>
      <c r="AA190" s="4"/>
      <c r="AB190" s="4"/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231</v>
      </c>
      <c r="F191" s="4">
        <f>ROUND(Source!BB178,O191)</f>
        <v>0</v>
      </c>
      <c r="G191" s="4" t="s">
        <v>617</v>
      </c>
      <c r="H191" s="4" t="s">
        <v>618</v>
      </c>
      <c r="I191" s="4"/>
      <c r="J191" s="4"/>
      <c r="K191" s="4">
        <v>231</v>
      </c>
      <c r="L191" s="4">
        <v>12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>
        <v>0</v>
      </c>
      <c r="X191" s="4">
        <v>1</v>
      </c>
      <c r="Y191" s="4">
        <v>0</v>
      </c>
      <c r="Z191" s="4"/>
      <c r="AA191" s="4"/>
      <c r="AB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204</v>
      </c>
      <c r="F192" s="4">
        <f>ROUND(Source!R178,O192)</f>
        <v>203632.68</v>
      </c>
      <c r="G192" s="4" t="s">
        <v>619</v>
      </c>
      <c r="H192" s="4" t="s">
        <v>620</v>
      </c>
      <c r="I192" s="4"/>
      <c r="J192" s="4"/>
      <c r="K192" s="4">
        <v>204</v>
      </c>
      <c r="L192" s="4">
        <v>13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>
        <v>203632.68</v>
      </c>
      <c r="X192" s="4">
        <v>1</v>
      </c>
      <c r="Y192" s="4">
        <v>203632.68</v>
      </c>
      <c r="Z192" s="4"/>
      <c r="AA192" s="4"/>
      <c r="AB192" s="4"/>
    </row>
    <row r="193" spans="1:206" x14ac:dyDescent="0.2">
      <c r="A193" s="4">
        <v>50</v>
      </c>
      <c r="B193" s="4">
        <v>0</v>
      </c>
      <c r="C193" s="4">
        <v>0</v>
      </c>
      <c r="D193" s="4">
        <v>1</v>
      </c>
      <c r="E193" s="4">
        <v>205</v>
      </c>
      <c r="F193" s="4">
        <f>ROUND(Source!S178,O193)</f>
        <v>764391.87</v>
      </c>
      <c r="G193" s="4" t="s">
        <v>621</v>
      </c>
      <c r="H193" s="4" t="s">
        <v>622</v>
      </c>
      <c r="I193" s="4"/>
      <c r="J193" s="4"/>
      <c r="K193" s="4">
        <v>205</v>
      </c>
      <c r="L193" s="4">
        <v>14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>
        <v>764391.87</v>
      </c>
      <c r="X193" s="4">
        <v>1</v>
      </c>
      <c r="Y193" s="4">
        <v>764391.87</v>
      </c>
      <c r="Z193" s="4"/>
      <c r="AA193" s="4"/>
      <c r="AB193" s="4"/>
    </row>
    <row r="194" spans="1:206" x14ac:dyDescent="0.2">
      <c r="A194" s="4">
        <v>50</v>
      </c>
      <c r="B194" s="4">
        <v>0</v>
      </c>
      <c r="C194" s="4">
        <v>0</v>
      </c>
      <c r="D194" s="4">
        <v>1</v>
      </c>
      <c r="E194" s="4">
        <v>232</v>
      </c>
      <c r="F194" s="4">
        <f>ROUND(Source!BC178,O194)</f>
        <v>0</v>
      </c>
      <c r="G194" s="4" t="s">
        <v>623</v>
      </c>
      <c r="H194" s="4" t="s">
        <v>624</v>
      </c>
      <c r="I194" s="4"/>
      <c r="J194" s="4"/>
      <c r="K194" s="4">
        <v>232</v>
      </c>
      <c r="L194" s="4">
        <v>15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0</v>
      </c>
      <c r="X194" s="4">
        <v>1</v>
      </c>
      <c r="Y194" s="4">
        <v>0</v>
      </c>
      <c r="Z194" s="4"/>
      <c r="AA194" s="4"/>
      <c r="AB194" s="4"/>
    </row>
    <row r="195" spans="1:206" x14ac:dyDescent="0.2">
      <c r="A195" s="4">
        <v>50</v>
      </c>
      <c r="B195" s="4">
        <v>0</v>
      </c>
      <c r="C195" s="4">
        <v>0</v>
      </c>
      <c r="D195" s="4">
        <v>1</v>
      </c>
      <c r="E195" s="4">
        <v>214</v>
      </c>
      <c r="F195" s="4">
        <f>ROUND(Source!AS178,O195)</f>
        <v>3916026.99</v>
      </c>
      <c r="G195" s="4" t="s">
        <v>625</v>
      </c>
      <c r="H195" s="4" t="s">
        <v>626</v>
      </c>
      <c r="I195" s="4"/>
      <c r="J195" s="4"/>
      <c r="K195" s="4">
        <v>214</v>
      </c>
      <c r="L195" s="4">
        <v>16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3916026.99</v>
      </c>
      <c r="X195" s="4">
        <v>1</v>
      </c>
      <c r="Y195" s="4">
        <v>3916026.99</v>
      </c>
      <c r="Z195" s="4"/>
      <c r="AA195" s="4"/>
      <c r="AB195" s="4"/>
    </row>
    <row r="196" spans="1:206" x14ac:dyDescent="0.2">
      <c r="A196" s="4">
        <v>50</v>
      </c>
      <c r="B196" s="4">
        <v>0</v>
      </c>
      <c r="C196" s="4">
        <v>0</v>
      </c>
      <c r="D196" s="4">
        <v>1</v>
      </c>
      <c r="E196" s="4">
        <v>215</v>
      </c>
      <c r="F196" s="4">
        <f>ROUND(Source!AT178,O196)</f>
        <v>607413.38</v>
      </c>
      <c r="G196" s="4" t="s">
        <v>627</v>
      </c>
      <c r="H196" s="4" t="s">
        <v>628</v>
      </c>
      <c r="I196" s="4"/>
      <c r="J196" s="4"/>
      <c r="K196" s="4">
        <v>215</v>
      </c>
      <c r="L196" s="4">
        <v>17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>
        <v>607413.38</v>
      </c>
      <c r="X196" s="4">
        <v>1</v>
      </c>
      <c r="Y196" s="4">
        <v>607413.38</v>
      </c>
      <c r="Z196" s="4"/>
      <c r="AA196" s="4"/>
      <c r="AB196" s="4"/>
    </row>
    <row r="197" spans="1:206" x14ac:dyDescent="0.2">
      <c r="A197" s="4">
        <v>50</v>
      </c>
      <c r="B197" s="4">
        <v>0</v>
      </c>
      <c r="C197" s="4">
        <v>0</v>
      </c>
      <c r="D197" s="4">
        <v>1</v>
      </c>
      <c r="E197" s="4">
        <v>217</v>
      </c>
      <c r="F197" s="4">
        <f>ROUND(Source!AU178,O197)</f>
        <v>0</v>
      </c>
      <c r="G197" s="4" t="s">
        <v>629</v>
      </c>
      <c r="H197" s="4" t="s">
        <v>630</v>
      </c>
      <c r="I197" s="4"/>
      <c r="J197" s="4"/>
      <c r="K197" s="4">
        <v>217</v>
      </c>
      <c r="L197" s="4">
        <v>18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>
        <v>0</v>
      </c>
      <c r="X197" s="4">
        <v>1</v>
      </c>
      <c r="Y197" s="4">
        <v>0</v>
      </c>
      <c r="Z197" s="4"/>
      <c r="AA197" s="4"/>
      <c r="AB197" s="4"/>
    </row>
    <row r="198" spans="1:206" x14ac:dyDescent="0.2">
      <c r="A198" s="4">
        <v>50</v>
      </c>
      <c r="B198" s="4">
        <v>0</v>
      </c>
      <c r="C198" s="4">
        <v>0</v>
      </c>
      <c r="D198" s="4">
        <v>1</v>
      </c>
      <c r="E198" s="4">
        <v>230</v>
      </c>
      <c r="F198" s="4">
        <f>ROUND(Source!BA178,O198)</f>
        <v>0</v>
      </c>
      <c r="G198" s="4" t="s">
        <v>631</v>
      </c>
      <c r="H198" s="4" t="s">
        <v>632</v>
      </c>
      <c r="I198" s="4"/>
      <c r="J198" s="4"/>
      <c r="K198" s="4">
        <v>230</v>
      </c>
      <c r="L198" s="4">
        <v>19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>
        <v>0</v>
      </c>
      <c r="X198" s="4">
        <v>1</v>
      </c>
      <c r="Y198" s="4">
        <v>0</v>
      </c>
      <c r="Z198" s="4"/>
      <c r="AA198" s="4"/>
      <c r="AB198" s="4"/>
    </row>
    <row r="199" spans="1:206" x14ac:dyDescent="0.2">
      <c r="A199" s="4">
        <v>50</v>
      </c>
      <c r="B199" s="4">
        <v>0</v>
      </c>
      <c r="C199" s="4">
        <v>0</v>
      </c>
      <c r="D199" s="4">
        <v>1</v>
      </c>
      <c r="E199" s="4">
        <v>206</v>
      </c>
      <c r="F199" s="4">
        <f>ROUND(Source!T178,O199)</f>
        <v>0</v>
      </c>
      <c r="G199" s="4" t="s">
        <v>633</v>
      </c>
      <c r="H199" s="4" t="s">
        <v>634</v>
      </c>
      <c r="I199" s="4"/>
      <c r="J199" s="4"/>
      <c r="K199" s="4">
        <v>206</v>
      </c>
      <c r="L199" s="4">
        <v>20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>
        <v>0</v>
      </c>
      <c r="X199" s="4">
        <v>1</v>
      </c>
      <c r="Y199" s="4">
        <v>0</v>
      </c>
      <c r="Z199" s="4"/>
      <c r="AA199" s="4"/>
      <c r="AB199" s="4"/>
    </row>
    <row r="200" spans="1:206" x14ac:dyDescent="0.2">
      <c r="A200" s="4">
        <v>50</v>
      </c>
      <c r="B200" s="4">
        <v>0</v>
      </c>
      <c r="C200" s="4">
        <v>0</v>
      </c>
      <c r="D200" s="4">
        <v>1</v>
      </c>
      <c r="E200" s="4">
        <v>207</v>
      </c>
      <c r="F200" s="4">
        <f>Source!U178</f>
        <v>2804.4622104254995</v>
      </c>
      <c r="G200" s="4" t="s">
        <v>635</v>
      </c>
      <c r="H200" s="4" t="s">
        <v>636</v>
      </c>
      <c r="I200" s="4"/>
      <c r="J200" s="4"/>
      <c r="K200" s="4">
        <v>207</v>
      </c>
      <c r="L200" s="4">
        <v>21</v>
      </c>
      <c r="M200" s="4">
        <v>3</v>
      </c>
      <c r="N200" s="4" t="s">
        <v>3</v>
      </c>
      <c r="O200" s="4">
        <v>-1</v>
      </c>
      <c r="P200" s="4"/>
      <c r="Q200" s="4"/>
      <c r="R200" s="4"/>
      <c r="S200" s="4"/>
      <c r="T200" s="4"/>
      <c r="U200" s="4"/>
      <c r="V200" s="4"/>
      <c r="W200" s="4">
        <v>2804.4622104254995</v>
      </c>
      <c r="X200" s="4">
        <v>1</v>
      </c>
      <c r="Y200" s="4">
        <v>2804.4622104254995</v>
      </c>
      <c r="Z200" s="4"/>
      <c r="AA200" s="4"/>
      <c r="AB200" s="4"/>
    </row>
    <row r="201" spans="1:206" x14ac:dyDescent="0.2">
      <c r="A201" s="4">
        <v>50</v>
      </c>
      <c r="B201" s="4">
        <v>0</v>
      </c>
      <c r="C201" s="4">
        <v>0</v>
      </c>
      <c r="D201" s="4">
        <v>1</v>
      </c>
      <c r="E201" s="4">
        <v>208</v>
      </c>
      <c r="F201" s="4">
        <f>Source!V178</f>
        <v>184.90067485124999</v>
      </c>
      <c r="G201" s="4" t="s">
        <v>637</v>
      </c>
      <c r="H201" s="4" t="s">
        <v>638</v>
      </c>
      <c r="I201" s="4"/>
      <c r="J201" s="4"/>
      <c r="K201" s="4">
        <v>208</v>
      </c>
      <c r="L201" s="4">
        <v>22</v>
      </c>
      <c r="M201" s="4">
        <v>3</v>
      </c>
      <c r="N201" s="4" t="s">
        <v>3</v>
      </c>
      <c r="O201" s="4">
        <v>-1</v>
      </c>
      <c r="P201" s="4"/>
      <c r="Q201" s="4"/>
      <c r="R201" s="4"/>
      <c r="S201" s="4"/>
      <c r="T201" s="4"/>
      <c r="U201" s="4"/>
      <c r="V201" s="4"/>
      <c r="W201" s="4">
        <v>184.90067485125002</v>
      </c>
      <c r="X201" s="4">
        <v>1</v>
      </c>
      <c r="Y201" s="4">
        <v>184.90067485125002</v>
      </c>
      <c r="Z201" s="4"/>
      <c r="AA201" s="4"/>
      <c r="AB201" s="4"/>
    </row>
    <row r="202" spans="1:206" x14ac:dyDescent="0.2">
      <c r="A202" s="4">
        <v>50</v>
      </c>
      <c r="B202" s="4">
        <v>0</v>
      </c>
      <c r="C202" s="4">
        <v>0</v>
      </c>
      <c r="D202" s="4">
        <v>1</v>
      </c>
      <c r="E202" s="4">
        <v>209</v>
      </c>
      <c r="F202" s="4">
        <f>ROUND(Source!W178,O202)</f>
        <v>0</v>
      </c>
      <c r="G202" s="4" t="s">
        <v>639</v>
      </c>
      <c r="H202" s="4" t="s">
        <v>640</v>
      </c>
      <c r="I202" s="4"/>
      <c r="J202" s="4"/>
      <c r="K202" s="4">
        <v>209</v>
      </c>
      <c r="L202" s="4">
        <v>23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>
        <v>0</v>
      </c>
      <c r="X202" s="4">
        <v>1</v>
      </c>
      <c r="Y202" s="4">
        <v>0</v>
      </c>
      <c r="Z202" s="4"/>
      <c r="AA202" s="4"/>
      <c r="AB202" s="4"/>
    </row>
    <row r="203" spans="1:206" x14ac:dyDescent="0.2">
      <c r="A203" s="4">
        <v>50</v>
      </c>
      <c r="B203" s="4">
        <v>0</v>
      </c>
      <c r="C203" s="4">
        <v>0</v>
      </c>
      <c r="D203" s="4">
        <v>1</v>
      </c>
      <c r="E203" s="4">
        <v>233</v>
      </c>
      <c r="F203" s="4">
        <f>ROUND(Source!BD178,O203)</f>
        <v>15555.59</v>
      </c>
      <c r="G203" s="4" t="s">
        <v>641</v>
      </c>
      <c r="H203" s="4" t="s">
        <v>642</v>
      </c>
      <c r="I203" s="4"/>
      <c r="J203" s="4"/>
      <c r="K203" s="4">
        <v>233</v>
      </c>
      <c r="L203" s="4">
        <v>24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>
        <v>15555.59</v>
      </c>
      <c r="X203" s="4">
        <v>1</v>
      </c>
      <c r="Y203" s="4">
        <v>15555.59</v>
      </c>
      <c r="Z203" s="4"/>
      <c r="AA203" s="4"/>
      <c r="AB203" s="4"/>
    </row>
    <row r="204" spans="1:206" x14ac:dyDescent="0.2">
      <c r="A204" s="4">
        <v>50</v>
      </c>
      <c r="B204" s="4">
        <v>0</v>
      </c>
      <c r="C204" s="4">
        <v>0</v>
      </c>
      <c r="D204" s="4">
        <v>1</v>
      </c>
      <c r="E204" s="4">
        <v>210</v>
      </c>
      <c r="F204" s="4">
        <f>ROUND(Source!X178,O204)</f>
        <v>795641.51</v>
      </c>
      <c r="G204" s="4" t="s">
        <v>643</v>
      </c>
      <c r="H204" s="4" t="s">
        <v>644</v>
      </c>
      <c r="I204" s="4"/>
      <c r="J204" s="4"/>
      <c r="K204" s="4">
        <v>210</v>
      </c>
      <c r="L204" s="4">
        <v>25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>
        <v>795641.51</v>
      </c>
      <c r="X204" s="4">
        <v>1</v>
      </c>
      <c r="Y204" s="4">
        <v>795641.51</v>
      </c>
      <c r="Z204" s="4"/>
      <c r="AA204" s="4"/>
      <c r="AB204" s="4"/>
    </row>
    <row r="205" spans="1:206" x14ac:dyDescent="0.2">
      <c r="A205" s="4">
        <v>50</v>
      </c>
      <c r="B205" s="4">
        <v>0</v>
      </c>
      <c r="C205" s="4">
        <v>0</v>
      </c>
      <c r="D205" s="4">
        <v>1</v>
      </c>
      <c r="E205" s="4">
        <v>211</v>
      </c>
      <c r="F205" s="4">
        <f>ROUND(Source!Y178,O205)</f>
        <v>437877.04</v>
      </c>
      <c r="G205" s="4" t="s">
        <v>645</v>
      </c>
      <c r="H205" s="4" t="s">
        <v>646</v>
      </c>
      <c r="I205" s="4"/>
      <c r="J205" s="4"/>
      <c r="K205" s="4">
        <v>211</v>
      </c>
      <c r="L205" s="4">
        <v>26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>
        <v>437877.04</v>
      </c>
      <c r="X205" s="4">
        <v>1</v>
      </c>
      <c r="Y205" s="4">
        <v>437877.04</v>
      </c>
      <c r="Z205" s="4"/>
      <c r="AA205" s="4"/>
      <c r="AB205" s="4"/>
    </row>
    <row r="206" spans="1:206" x14ac:dyDescent="0.2">
      <c r="A206" s="4">
        <v>50</v>
      </c>
      <c r="B206" s="4">
        <v>0</v>
      </c>
      <c r="C206" s="4">
        <v>0</v>
      </c>
      <c r="D206" s="4">
        <v>1</v>
      </c>
      <c r="E206" s="4">
        <v>224</v>
      </c>
      <c r="F206" s="4">
        <f>ROUND(Source!AR178,O206)</f>
        <v>4523440.37</v>
      </c>
      <c r="G206" s="4" t="s">
        <v>647</v>
      </c>
      <c r="H206" s="4" t="s">
        <v>648</v>
      </c>
      <c r="I206" s="4"/>
      <c r="J206" s="4"/>
      <c r="K206" s="4">
        <v>224</v>
      </c>
      <c r="L206" s="4">
        <v>27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>
        <v>4523440.37</v>
      </c>
      <c r="X206" s="4">
        <v>1</v>
      </c>
      <c r="Y206" s="4">
        <v>4523440.37</v>
      </c>
      <c r="Z206" s="4"/>
      <c r="AA206" s="4"/>
      <c r="AB206" s="4"/>
    </row>
    <row r="208" spans="1:206" x14ac:dyDescent="0.2">
      <c r="A208" s="2">
        <v>51</v>
      </c>
      <c r="B208" s="2">
        <f>B12</f>
        <v>270</v>
      </c>
      <c r="C208" s="2">
        <f>A12</f>
        <v>1</v>
      </c>
      <c r="D208" s="2">
        <f>ROW(A12)</f>
        <v>12</v>
      </c>
      <c r="E208" s="2"/>
      <c r="F208" s="2" t="str">
        <f>IF(F12&lt;&gt;"",F12,"")</f>
        <v/>
      </c>
      <c r="G208" s="2" t="str">
        <f>IF(G12&lt;&gt;"",G12,"")</f>
        <v>Ремонт здания первичного дробления Инв. № 10-10003</v>
      </c>
      <c r="H208" s="2">
        <v>0</v>
      </c>
      <c r="I208" s="2"/>
      <c r="J208" s="2"/>
      <c r="K208" s="2"/>
      <c r="L208" s="2"/>
      <c r="M208" s="2"/>
      <c r="N208" s="2"/>
      <c r="O208" s="2">
        <f t="shared" ref="O208:T208" si="347">ROUND(O178,2)</f>
        <v>3274366.23</v>
      </c>
      <c r="P208" s="2">
        <f t="shared" si="347"/>
        <v>1955855.3</v>
      </c>
      <c r="Q208" s="2">
        <f t="shared" si="347"/>
        <v>554119.06000000006</v>
      </c>
      <c r="R208" s="2">
        <f t="shared" si="347"/>
        <v>203632.68</v>
      </c>
      <c r="S208" s="2">
        <f t="shared" si="347"/>
        <v>764391.87</v>
      </c>
      <c r="T208" s="2">
        <f t="shared" si="347"/>
        <v>0</v>
      </c>
      <c r="U208" s="2">
        <f>U178</f>
        <v>2804.4622104254995</v>
      </c>
      <c r="V208" s="2">
        <f>V178</f>
        <v>184.90067485124999</v>
      </c>
      <c r="W208" s="2">
        <f>ROUND(W178,2)</f>
        <v>0</v>
      </c>
      <c r="X208" s="2">
        <f>ROUND(X178,2)</f>
        <v>795641.51</v>
      </c>
      <c r="Y208" s="2">
        <f>ROUND(Y178,2)</f>
        <v>437877.04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>
        <f t="shared" ref="AO208:BD208" si="348">ROUND(AO178,2)</f>
        <v>0</v>
      </c>
      <c r="AP208" s="2">
        <f t="shared" si="348"/>
        <v>0</v>
      </c>
      <c r="AQ208" s="2">
        <f t="shared" si="348"/>
        <v>0</v>
      </c>
      <c r="AR208" s="2">
        <f t="shared" si="348"/>
        <v>4523440.37</v>
      </c>
      <c r="AS208" s="2">
        <f t="shared" si="348"/>
        <v>3916026.99</v>
      </c>
      <c r="AT208" s="2">
        <f t="shared" si="348"/>
        <v>607413.38</v>
      </c>
      <c r="AU208" s="2">
        <f t="shared" si="348"/>
        <v>0</v>
      </c>
      <c r="AV208" s="2">
        <f t="shared" si="348"/>
        <v>1955855.3</v>
      </c>
      <c r="AW208" s="2">
        <f t="shared" si="348"/>
        <v>1955855.3</v>
      </c>
      <c r="AX208" s="2">
        <f t="shared" si="348"/>
        <v>0</v>
      </c>
      <c r="AY208" s="2">
        <f t="shared" si="348"/>
        <v>1955855.3</v>
      </c>
      <c r="AZ208" s="2">
        <f t="shared" si="348"/>
        <v>0</v>
      </c>
      <c r="BA208" s="2">
        <f t="shared" si="348"/>
        <v>0</v>
      </c>
      <c r="BB208" s="2">
        <f t="shared" si="348"/>
        <v>0</v>
      </c>
      <c r="BC208" s="2">
        <f t="shared" si="348"/>
        <v>0</v>
      </c>
      <c r="BD208" s="2">
        <f t="shared" si="348"/>
        <v>15555.59</v>
      </c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>
        <v>0</v>
      </c>
    </row>
    <row r="210" spans="1:28" x14ac:dyDescent="0.2">
      <c r="A210" s="4">
        <v>50</v>
      </c>
      <c r="B210" s="4">
        <v>1</v>
      </c>
      <c r="C210" s="4">
        <v>0</v>
      </c>
      <c r="D210" s="4">
        <v>1</v>
      </c>
      <c r="E210" s="4">
        <v>201</v>
      </c>
      <c r="F210" s="4">
        <f>ROUND(Source!O208,O210)</f>
        <v>3274366.23</v>
      </c>
      <c r="G210" s="4" t="s">
        <v>596</v>
      </c>
      <c r="H210" s="4" t="s">
        <v>597</v>
      </c>
      <c r="I210" s="4"/>
      <c r="J210" s="4"/>
      <c r="K210" s="4">
        <v>201</v>
      </c>
      <c r="L210" s="4">
        <v>1</v>
      </c>
      <c r="M210" s="4">
        <v>1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>
        <v>3274366.23</v>
      </c>
      <c r="X210" s="4">
        <v>1</v>
      </c>
      <c r="Y210" s="4">
        <v>3274366.23</v>
      </c>
      <c r="Z210" s="4"/>
      <c r="AA210" s="4"/>
      <c r="AB210" s="4"/>
    </row>
    <row r="211" spans="1:28" x14ac:dyDescent="0.2">
      <c r="A211" s="4">
        <v>50</v>
      </c>
      <c r="B211" s="4">
        <v>1</v>
      </c>
      <c r="C211" s="4">
        <v>0</v>
      </c>
      <c r="D211" s="4">
        <v>1</v>
      </c>
      <c r="E211" s="4">
        <v>202</v>
      </c>
      <c r="F211" s="4">
        <f>ROUND(Source!P208,O211)</f>
        <v>1955855.3</v>
      </c>
      <c r="G211" s="4" t="s">
        <v>598</v>
      </c>
      <c r="H211" s="4" t="s">
        <v>599</v>
      </c>
      <c r="I211" s="4"/>
      <c r="J211" s="4"/>
      <c r="K211" s="4">
        <v>202</v>
      </c>
      <c r="L211" s="4">
        <v>2</v>
      </c>
      <c r="M211" s="4">
        <v>1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>
        <v>1955855.3</v>
      </c>
      <c r="X211" s="4">
        <v>1</v>
      </c>
      <c r="Y211" s="4">
        <v>1955855.3</v>
      </c>
      <c r="Z211" s="4"/>
      <c r="AA211" s="4"/>
      <c r="AB211" s="4"/>
    </row>
    <row r="212" spans="1:28" x14ac:dyDescent="0.2">
      <c r="A212" s="4">
        <v>50</v>
      </c>
      <c r="B212" s="4">
        <v>0</v>
      </c>
      <c r="C212" s="4">
        <v>0</v>
      </c>
      <c r="D212" s="4">
        <v>1</v>
      </c>
      <c r="E212" s="4">
        <v>222</v>
      </c>
      <c r="F212" s="4">
        <f>ROUND(Source!AO208,O212)</f>
        <v>0</v>
      </c>
      <c r="G212" s="4" t="s">
        <v>600</v>
      </c>
      <c r="H212" s="4" t="s">
        <v>601</v>
      </c>
      <c r="I212" s="4"/>
      <c r="J212" s="4"/>
      <c r="K212" s="4">
        <v>222</v>
      </c>
      <c r="L212" s="4">
        <v>3</v>
      </c>
      <c r="M212" s="4">
        <v>1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>
        <v>0</v>
      </c>
      <c r="X212" s="4">
        <v>1</v>
      </c>
      <c r="Y212" s="4">
        <v>0</v>
      </c>
      <c r="Z212" s="4"/>
      <c r="AA212" s="4"/>
      <c r="AB212" s="4"/>
    </row>
    <row r="213" spans="1:28" x14ac:dyDescent="0.2">
      <c r="A213" s="4">
        <v>50</v>
      </c>
      <c r="B213" s="4">
        <v>1</v>
      </c>
      <c r="C213" s="4">
        <v>0</v>
      </c>
      <c r="D213" s="4">
        <v>1</v>
      </c>
      <c r="E213" s="4">
        <v>225</v>
      </c>
      <c r="F213" s="4">
        <f>ROUND(Source!AV208,O213)</f>
        <v>1955855.3</v>
      </c>
      <c r="G213" s="4" t="s">
        <v>602</v>
      </c>
      <c r="H213" s="4" t="s">
        <v>603</v>
      </c>
      <c r="I213" s="4"/>
      <c r="J213" s="4"/>
      <c r="K213" s="4">
        <v>225</v>
      </c>
      <c r="L213" s="4">
        <v>4</v>
      </c>
      <c r="M213" s="4">
        <v>1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>
        <v>1955855.3</v>
      </c>
      <c r="X213" s="4">
        <v>1</v>
      </c>
      <c r="Y213" s="4">
        <v>1955855.3</v>
      </c>
      <c r="Z213" s="4"/>
      <c r="AA213" s="4"/>
      <c r="AB213" s="4"/>
    </row>
    <row r="214" spans="1:28" x14ac:dyDescent="0.2">
      <c r="A214" s="4">
        <v>50</v>
      </c>
      <c r="B214" s="4">
        <v>1</v>
      </c>
      <c r="C214" s="4">
        <v>0</v>
      </c>
      <c r="D214" s="4">
        <v>1</v>
      </c>
      <c r="E214" s="4">
        <v>226</v>
      </c>
      <c r="F214" s="4">
        <f>ROUND(Source!AW208,O214)</f>
        <v>1955855.3</v>
      </c>
      <c r="G214" s="4" t="s">
        <v>604</v>
      </c>
      <c r="H214" s="4" t="s">
        <v>605</v>
      </c>
      <c r="I214" s="4"/>
      <c r="J214" s="4"/>
      <c r="K214" s="4">
        <v>226</v>
      </c>
      <c r="L214" s="4">
        <v>5</v>
      </c>
      <c r="M214" s="4">
        <v>1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>
        <v>1955855.3</v>
      </c>
      <c r="X214" s="4">
        <v>1</v>
      </c>
      <c r="Y214" s="4">
        <v>1955855.3</v>
      </c>
      <c r="Z214" s="4"/>
      <c r="AA214" s="4"/>
      <c r="AB214" s="4"/>
    </row>
    <row r="215" spans="1:28" x14ac:dyDescent="0.2">
      <c r="A215" s="4">
        <v>50</v>
      </c>
      <c r="B215" s="4">
        <v>0</v>
      </c>
      <c r="C215" s="4">
        <v>0</v>
      </c>
      <c r="D215" s="4">
        <v>1</v>
      </c>
      <c r="E215" s="4">
        <v>227</v>
      </c>
      <c r="F215" s="4">
        <f>ROUND(Source!AX208,O215)</f>
        <v>0</v>
      </c>
      <c r="G215" s="4" t="s">
        <v>606</v>
      </c>
      <c r="H215" s="4" t="s">
        <v>607</v>
      </c>
      <c r="I215" s="4"/>
      <c r="J215" s="4"/>
      <c r="K215" s="4">
        <v>227</v>
      </c>
      <c r="L215" s="4">
        <v>6</v>
      </c>
      <c r="M215" s="4">
        <v>1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>
        <v>0</v>
      </c>
      <c r="X215" s="4">
        <v>1</v>
      </c>
      <c r="Y215" s="4">
        <v>0</v>
      </c>
      <c r="Z215" s="4"/>
      <c r="AA215" s="4"/>
      <c r="AB215" s="4"/>
    </row>
    <row r="216" spans="1:28" x14ac:dyDescent="0.2">
      <c r="A216" s="4">
        <v>50</v>
      </c>
      <c r="B216" s="4">
        <v>1</v>
      </c>
      <c r="C216" s="4">
        <v>0</v>
      </c>
      <c r="D216" s="4">
        <v>1</v>
      </c>
      <c r="E216" s="4">
        <v>228</v>
      </c>
      <c r="F216" s="4">
        <f>ROUND(Source!AY208,O216)</f>
        <v>1955855.3</v>
      </c>
      <c r="G216" s="4" t="s">
        <v>608</v>
      </c>
      <c r="H216" s="4" t="s">
        <v>609</v>
      </c>
      <c r="I216" s="4"/>
      <c r="J216" s="4"/>
      <c r="K216" s="4">
        <v>228</v>
      </c>
      <c r="L216" s="4">
        <v>7</v>
      </c>
      <c r="M216" s="4">
        <v>1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>
        <v>1955855.3</v>
      </c>
      <c r="X216" s="4">
        <v>1</v>
      </c>
      <c r="Y216" s="4">
        <v>1955855.3</v>
      </c>
      <c r="Z216" s="4"/>
      <c r="AA216" s="4"/>
      <c r="AB216" s="4"/>
    </row>
    <row r="217" spans="1:28" x14ac:dyDescent="0.2">
      <c r="A217" s="4">
        <v>50</v>
      </c>
      <c r="B217" s="4">
        <v>0</v>
      </c>
      <c r="C217" s="4">
        <v>0</v>
      </c>
      <c r="D217" s="4">
        <v>1</v>
      </c>
      <c r="E217" s="4">
        <v>216</v>
      </c>
      <c r="F217" s="4">
        <f>ROUND(Source!AP208,O217)</f>
        <v>0</v>
      </c>
      <c r="G217" s="4" t="s">
        <v>610</v>
      </c>
      <c r="H217" s="4" t="s">
        <v>611</v>
      </c>
      <c r="I217" s="4"/>
      <c r="J217" s="4"/>
      <c r="K217" s="4">
        <v>216</v>
      </c>
      <c r="L217" s="4">
        <v>8</v>
      </c>
      <c r="M217" s="4">
        <v>1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>
        <v>0</v>
      </c>
      <c r="X217" s="4">
        <v>1</v>
      </c>
      <c r="Y217" s="4">
        <v>0</v>
      </c>
      <c r="Z217" s="4"/>
      <c r="AA217" s="4"/>
      <c r="AB217" s="4"/>
    </row>
    <row r="218" spans="1:28" x14ac:dyDescent="0.2">
      <c r="A218" s="4">
        <v>50</v>
      </c>
      <c r="B218" s="4">
        <v>0</v>
      </c>
      <c r="C218" s="4">
        <v>0</v>
      </c>
      <c r="D218" s="4">
        <v>1</v>
      </c>
      <c r="E218" s="4">
        <v>223</v>
      </c>
      <c r="F218" s="4">
        <f>ROUND(Source!AQ208,O218)</f>
        <v>0</v>
      </c>
      <c r="G218" s="4" t="s">
        <v>612</v>
      </c>
      <c r="H218" s="4" t="s">
        <v>613</v>
      </c>
      <c r="I218" s="4"/>
      <c r="J218" s="4"/>
      <c r="K218" s="4">
        <v>223</v>
      </c>
      <c r="L218" s="4">
        <v>9</v>
      </c>
      <c r="M218" s="4">
        <v>1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>
        <v>0</v>
      </c>
      <c r="X218" s="4">
        <v>1</v>
      </c>
      <c r="Y218" s="4">
        <v>0</v>
      </c>
      <c r="Z218" s="4"/>
      <c r="AA218" s="4"/>
      <c r="AB218" s="4"/>
    </row>
    <row r="219" spans="1:28" x14ac:dyDescent="0.2">
      <c r="A219" s="4">
        <v>50</v>
      </c>
      <c r="B219" s="4">
        <v>0</v>
      </c>
      <c r="C219" s="4">
        <v>0</v>
      </c>
      <c r="D219" s="4">
        <v>1</v>
      </c>
      <c r="E219" s="4">
        <v>229</v>
      </c>
      <c r="F219" s="4">
        <f>ROUND(Source!AZ208,O219)</f>
        <v>0</v>
      </c>
      <c r="G219" s="4" t="s">
        <v>614</v>
      </c>
      <c r="H219" s="4" t="s">
        <v>615</v>
      </c>
      <c r="I219" s="4"/>
      <c r="J219" s="4"/>
      <c r="K219" s="4">
        <v>229</v>
      </c>
      <c r="L219" s="4">
        <v>10</v>
      </c>
      <c r="M219" s="4">
        <v>1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>
        <v>0</v>
      </c>
      <c r="X219" s="4">
        <v>1</v>
      </c>
      <c r="Y219" s="4">
        <v>0</v>
      </c>
      <c r="Z219" s="4"/>
      <c r="AA219" s="4"/>
      <c r="AB219" s="4"/>
    </row>
    <row r="220" spans="1:28" x14ac:dyDescent="0.2">
      <c r="A220" s="4">
        <v>50</v>
      </c>
      <c r="B220" s="4">
        <v>1</v>
      </c>
      <c r="C220" s="4">
        <v>0</v>
      </c>
      <c r="D220" s="4">
        <v>1</v>
      </c>
      <c r="E220" s="4">
        <v>203</v>
      </c>
      <c r="F220" s="4">
        <f>ROUND(Source!Q208,O220)</f>
        <v>554119.06000000006</v>
      </c>
      <c r="G220" s="4" t="s">
        <v>83</v>
      </c>
      <c r="H220" s="4" t="s">
        <v>616</v>
      </c>
      <c r="I220" s="4"/>
      <c r="J220" s="4"/>
      <c r="K220" s="4">
        <v>203</v>
      </c>
      <c r="L220" s="4">
        <v>11</v>
      </c>
      <c r="M220" s="4">
        <v>1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>
        <v>554119.06000000006</v>
      </c>
      <c r="X220" s="4">
        <v>1</v>
      </c>
      <c r="Y220" s="4">
        <v>554119.06000000006</v>
      </c>
      <c r="Z220" s="4"/>
      <c r="AA220" s="4"/>
      <c r="AB220" s="4"/>
    </row>
    <row r="221" spans="1:28" x14ac:dyDescent="0.2">
      <c r="A221" s="4">
        <v>50</v>
      </c>
      <c r="B221" s="4">
        <v>0</v>
      </c>
      <c r="C221" s="4">
        <v>0</v>
      </c>
      <c r="D221" s="4">
        <v>1</v>
      </c>
      <c r="E221" s="4">
        <v>231</v>
      </c>
      <c r="F221" s="4">
        <f>ROUND(Source!BB208,O221)</f>
        <v>0</v>
      </c>
      <c r="G221" s="4" t="s">
        <v>617</v>
      </c>
      <c r="H221" s="4" t="s">
        <v>618</v>
      </c>
      <c r="I221" s="4"/>
      <c r="J221" s="4"/>
      <c r="K221" s="4">
        <v>231</v>
      </c>
      <c r="L221" s="4">
        <v>12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>
        <v>0</v>
      </c>
      <c r="X221" s="4">
        <v>1</v>
      </c>
      <c r="Y221" s="4">
        <v>0</v>
      </c>
      <c r="Z221" s="4"/>
      <c r="AA221" s="4"/>
      <c r="AB221" s="4"/>
    </row>
    <row r="222" spans="1:28" x14ac:dyDescent="0.2">
      <c r="A222" s="4">
        <v>50</v>
      </c>
      <c r="B222" s="4">
        <v>1</v>
      </c>
      <c r="C222" s="4">
        <v>0</v>
      </c>
      <c r="D222" s="4">
        <v>1</v>
      </c>
      <c r="E222" s="4">
        <v>204</v>
      </c>
      <c r="F222" s="4">
        <f>ROUND(Source!R208,O222)</f>
        <v>203632.68</v>
      </c>
      <c r="G222" s="4" t="s">
        <v>619</v>
      </c>
      <c r="H222" s="4" t="s">
        <v>620</v>
      </c>
      <c r="I222" s="4"/>
      <c r="J222" s="4"/>
      <c r="K222" s="4">
        <v>204</v>
      </c>
      <c r="L222" s="4">
        <v>13</v>
      </c>
      <c r="M222" s="4">
        <v>1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>
        <v>203632.68</v>
      </c>
      <c r="X222" s="4">
        <v>1</v>
      </c>
      <c r="Y222" s="4">
        <v>203632.68</v>
      </c>
      <c r="Z222" s="4"/>
      <c r="AA222" s="4"/>
      <c r="AB222" s="4"/>
    </row>
    <row r="223" spans="1:28" x14ac:dyDescent="0.2">
      <c r="A223" s="4">
        <v>50</v>
      </c>
      <c r="B223" s="4">
        <v>1</v>
      </c>
      <c r="C223" s="4">
        <v>0</v>
      </c>
      <c r="D223" s="4">
        <v>1</v>
      </c>
      <c r="E223" s="4">
        <v>205</v>
      </c>
      <c r="F223" s="4">
        <f>ROUND(Source!S208,O223)</f>
        <v>764391.87</v>
      </c>
      <c r="G223" s="4" t="s">
        <v>621</v>
      </c>
      <c r="H223" s="4" t="s">
        <v>622</v>
      </c>
      <c r="I223" s="4"/>
      <c r="J223" s="4"/>
      <c r="K223" s="4">
        <v>205</v>
      </c>
      <c r="L223" s="4">
        <v>14</v>
      </c>
      <c r="M223" s="4">
        <v>1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764391.87</v>
      </c>
      <c r="X223" s="4">
        <v>1</v>
      </c>
      <c r="Y223" s="4">
        <v>764391.87</v>
      </c>
      <c r="Z223" s="4"/>
      <c r="AA223" s="4"/>
      <c r="AB223" s="4"/>
    </row>
    <row r="224" spans="1:28" x14ac:dyDescent="0.2">
      <c r="A224" s="4">
        <v>50</v>
      </c>
      <c r="B224" s="4">
        <v>0</v>
      </c>
      <c r="C224" s="4">
        <v>0</v>
      </c>
      <c r="D224" s="4">
        <v>1</v>
      </c>
      <c r="E224" s="4">
        <v>232</v>
      </c>
      <c r="F224" s="4">
        <f>ROUND(Source!BC208,O224)</f>
        <v>0</v>
      </c>
      <c r="G224" s="4" t="s">
        <v>623</v>
      </c>
      <c r="H224" s="4" t="s">
        <v>624</v>
      </c>
      <c r="I224" s="4"/>
      <c r="J224" s="4"/>
      <c r="K224" s="4">
        <v>232</v>
      </c>
      <c r="L224" s="4">
        <v>15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0</v>
      </c>
      <c r="X224" s="4">
        <v>1</v>
      </c>
      <c r="Y224" s="4">
        <v>0</v>
      </c>
      <c r="Z224" s="4"/>
      <c r="AA224" s="4"/>
      <c r="AB224" s="4"/>
    </row>
    <row r="225" spans="1:28" x14ac:dyDescent="0.2">
      <c r="A225" s="4">
        <v>50</v>
      </c>
      <c r="B225" s="4">
        <v>1</v>
      </c>
      <c r="C225" s="4">
        <v>0</v>
      </c>
      <c r="D225" s="4">
        <v>1</v>
      </c>
      <c r="E225" s="4">
        <v>214</v>
      </c>
      <c r="F225" s="4">
        <f>ROUND(Source!AS208,O225)</f>
        <v>3916026.99</v>
      </c>
      <c r="G225" s="4" t="s">
        <v>625</v>
      </c>
      <c r="H225" s="4" t="s">
        <v>626</v>
      </c>
      <c r="I225" s="4"/>
      <c r="J225" s="4"/>
      <c r="K225" s="4">
        <v>214</v>
      </c>
      <c r="L225" s="4">
        <v>16</v>
      </c>
      <c r="M225" s="4">
        <v>1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3916026.99</v>
      </c>
      <c r="X225" s="4">
        <v>1</v>
      </c>
      <c r="Y225" s="4">
        <v>3916026.99</v>
      </c>
      <c r="Z225" s="4"/>
      <c r="AA225" s="4"/>
      <c r="AB225" s="4"/>
    </row>
    <row r="226" spans="1:28" x14ac:dyDescent="0.2">
      <c r="A226" s="4">
        <v>50</v>
      </c>
      <c r="B226" s="4">
        <v>1</v>
      </c>
      <c r="C226" s="4">
        <v>0</v>
      </c>
      <c r="D226" s="4">
        <v>1</v>
      </c>
      <c r="E226" s="4">
        <v>215</v>
      </c>
      <c r="F226" s="4">
        <f>ROUND(Source!AT208,O226)</f>
        <v>607413.38</v>
      </c>
      <c r="G226" s="4" t="s">
        <v>627</v>
      </c>
      <c r="H226" s="4" t="s">
        <v>628</v>
      </c>
      <c r="I226" s="4"/>
      <c r="J226" s="4"/>
      <c r="K226" s="4">
        <v>215</v>
      </c>
      <c r="L226" s="4">
        <v>17</v>
      </c>
      <c r="M226" s="4">
        <v>1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607413.38</v>
      </c>
      <c r="X226" s="4">
        <v>1</v>
      </c>
      <c r="Y226" s="4">
        <v>607413.38</v>
      </c>
      <c r="Z226" s="4"/>
      <c r="AA226" s="4"/>
      <c r="AB226" s="4"/>
    </row>
    <row r="227" spans="1:28" x14ac:dyDescent="0.2">
      <c r="A227" s="4">
        <v>50</v>
      </c>
      <c r="B227" s="4">
        <v>0</v>
      </c>
      <c r="C227" s="4">
        <v>0</v>
      </c>
      <c r="D227" s="4">
        <v>1</v>
      </c>
      <c r="E227" s="4">
        <v>217</v>
      </c>
      <c r="F227" s="4">
        <f>ROUND(Source!AU208,O227)</f>
        <v>0</v>
      </c>
      <c r="G227" s="4" t="s">
        <v>629</v>
      </c>
      <c r="H227" s="4" t="s">
        <v>630</v>
      </c>
      <c r="I227" s="4"/>
      <c r="J227" s="4"/>
      <c r="K227" s="4">
        <v>217</v>
      </c>
      <c r="L227" s="4">
        <v>18</v>
      </c>
      <c r="M227" s="4">
        <v>1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0</v>
      </c>
      <c r="X227" s="4">
        <v>1</v>
      </c>
      <c r="Y227" s="4">
        <v>0</v>
      </c>
      <c r="Z227" s="4"/>
      <c r="AA227" s="4"/>
      <c r="AB227" s="4"/>
    </row>
    <row r="228" spans="1:28" x14ac:dyDescent="0.2">
      <c r="A228" s="4">
        <v>50</v>
      </c>
      <c r="B228" s="4">
        <v>0</v>
      </c>
      <c r="C228" s="4">
        <v>0</v>
      </c>
      <c r="D228" s="4">
        <v>1</v>
      </c>
      <c r="E228" s="4">
        <v>230</v>
      </c>
      <c r="F228" s="4">
        <f>ROUND(Source!BA208,O228)</f>
        <v>0</v>
      </c>
      <c r="G228" s="4" t="s">
        <v>631</v>
      </c>
      <c r="H228" s="4" t="s">
        <v>632</v>
      </c>
      <c r="I228" s="4"/>
      <c r="J228" s="4"/>
      <c r="K228" s="4">
        <v>230</v>
      </c>
      <c r="L228" s="4">
        <v>19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>
        <v>0</v>
      </c>
      <c r="X228" s="4">
        <v>1</v>
      </c>
      <c r="Y228" s="4">
        <v>0</v>
      </c>
      <c r="Z228" s="4"/>
      <c r="AA228" s="4"/>
      <c r="AB228" s="4"/>
    </row>
    <row r="229" spans="1:28" x14ac:dyDescent="0.2">
      <c r="A229" s="4">
        <v>50</v>
      </c>
      <c r="B229" s="4">
        <v>0</v>
      </c>
      <c r="C229" s="4">
        <v>0</v>
      </c>
      <c r="D229" s="4">
        <v>1</v>
      </c>
      <c r="E229" s="4">
        <v>206</v>
      </c>
      <c r="F229" s="4">
        <f>ROUND(Source!T208,O229)</f>
        <v>0</v>
      </c>
      <c r="G229" s="4" t="s">
        <v>633</v>
      </c>
      <c r="H229" s="4" t="s">
        <v>634</v>
      </c>
      <c r="I229" s="4"/>
      <c r="J229" s="4"/>
      <c r="K229" s="4">
        <v>206</v>
      </c>
      <c r="L229" s="4">
        <v>20</v>
      </c>
      <c r="M229" s="4">
        <v>1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>
        <v>0</v>
      </c>
      <c r="X229" s="4">
        <v>1</v>
      </c>
      <c r="Y229" s="4">
        <v>0</v>
      </c>
      <c r="Z229" s="4"/>
      <c r="AA229" s="4"/>
      <c r="AB229" s="4"/>
    </row>
    <row r="230" spans="1:28" x14ac:dyDescent="0.2">
      <c r="A230" s="4">
        <v>50</v>
      </c>
      <c r="B230" s="4">
        <v>1</v>
      </c>
      <c r="C230" s="4">
        <v>0</v>
      </c>
      <c r="D230" s="4">
        <v>1</v>
      </c>
      <c r="E230" s="4">
        <v>207</v>
      </c>
      <c r="F230" s="4">
        <f>Source!U208</f>
        <v>2804.4622104254995</v>
      </c>
      <c r="G230" s="4" t="s">
        <v>635</v>
      </c>
      <c r="H230" s="4" t="s">
        <v>636</v>
      </c>
      <c r="I230" s="4"/>
      <c r="J230" s="4"/>
      <c r="K230" s="4">
        <v>207</v>
      </c>
      <c r="L230" s="4">
        <v>21</v>
      </c>
      <c r="M230" s="4">
        <v>1</v>
      </c>
      <c r="N230" s="4" t="s">
        <v>3</v>
      </c>
      <c r="O230" s="4">
        <v>-1</v>
      </c>
      <c r="P230" s="4"/>
      <c r="Q230" s="4"/>
      <c r="R230" s="4"/>
      <c r="S230" s="4"/>
      <c r="T230" s="4"/>
      <c r="U230" s="4"/>
      <c r="V230" s="4"/>
      <c r="W230" s="4">
        <v>2804.4622104254995</v>
      </c>
      <c r="X230" s="4">
        <v>1</v>
      </c>
      <c r="Y230" s="4">
        <v>2804.4622104254995</v>
      </c>
      <c r="Z230" s="4"/>
      <c r="AA230" s="4"/>
      <c r="AB230" s="4"/>
    </row>
    <row r="231" spans="1:28" x14ac:dyDescent="0.2">
      <c r="A231" s="4">
        <v>50</v>
      </c>
      <c r="B231" s="4">
        <v>1</v>
      </c>
      <c r="C231" s="4">
        <v>0</v>
      </c>
      <c r="D231" s="4">
        <v>1</v>
      </c>
      <c r="E231" s="4">
        <v>208</v>
      </c>
      <c r="F231" s="4">
        <f>Source!V208</f>
        <v>184.90067485124999</v>
      </c>
      <c r="G231" s="4" t="s">
        <v>637</v>
      </c>
      <c r="H231" s="4" t="s">
        <v>638</v>
      </c>
      <c r="I231" s="4"/>
      <c r="J231" s="4"/>
      <c r="K231" s="4">
        <v>208</v>
      </c>
      <c r="L231" s="4">
        <v>22</v>
      </c>
      <c r="M231" s="4">
        <v>1</v>
      </c>
      <c r="N231" s="4" t="s">
        <v>3</v>
      </c>
      <c r="O231" s="4">
        <v>-1</v>
      </c>
      <c r="P231" s="4"/>
      <c r="Q231" s="4"/>
      <c r="R231" s="4"/>
      <c r="S231" s="4"/>
      <c r="T231" s="4"/>
      <c r="U231" s="4"/>
      <c r="V231" s="4"/>
      <c r="W231" s="4">
        <v>184.90067485125002</v>
      </c>
      <c r="X231" s="4">
        <v>1</v>
      </c>
      <c r="Y231" s="4">
        <v>184.90067485125002</v>
      </c>
      <c r="Z231" s="4"/>
      <c r="AA231" s="4"/>
      <c r="AB231" s="4"/>
    </row>
    <row r="232" spans="1:28" x14ac:dyDescent="0.2">
      <c r="A232" s="4">
        <v>50</v>
      </c>
      <c r="B232" s="4">
        <v>0</v>
      </c>
      <c r="C232" s="4">
        <v>0</v>
      </c>
      <c r="D232" s="4">
        <v>1</v>
      </c>
      <c r="E232" s="4">
        <v>209</v>
      </c>
      <c r="F232" s="4">
        <f>ROUND(Source!W208,O232)</f>
        <v>0</v>
      </c>
      <c r="G232" s="4" t="s">
        <v>639</v>
      </c>
      <c r="H232" s="4" t="s">
        <v>640</v>
      </c>
      <c r="I232" s="4"/>
      <c r="J232" s="4"/>
      <c r="K232" s="4">
        <v>209</v>
      </c>
      <c r="L232" s="4">
        <v>23</v>
      </c>
      <c r="M232" s="4">
        <v>1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>
        <v>0</v>
      </c>
      <c r="X232" s="4">
        <v>1</v>
      </c>
      <c r="Y232" s="4">
        <v>0</v>
      </c>
      <c r="Z232" s="4"/>
      <c r="AA232" s="4"/>
      <c r="AB232" s="4"/>
    </row>
    <row r="233" spans="1:28" x14ac:dyDescent="0.2">
      <c r="A233" s="4">
        <v>50</v>
      </c>
      <c r="B233" s="4">
        <v>1</v>
      </c>
      <c r="C233" s="4">
        <v>0</v>
      </c>
      <c r="D233" s="4">
        <v>1</v>
      </c>
      <c r="E233" s="4">
        <v>233</v>
      </c>
      <c r="F233" s="4">
        <f>ROUND(Source!BD208,O233)</f>
        <v>15555.59</v>
      </c>
      <c r="G233" s="4" t="s">
        <v>641</v>
      </c>
      <c r="H233" s="4" t="s">
        <v>642</v>
      </c>
      <c r="I233" s="4"/>
      <c r="J233" s="4"/>
      <c r="K233" s="4">
        <v>233</v>
      </c>
      <c r="L233" s="4">
        <v>24</v>
      </c>
      <c r="M233" s="4">
        <v>1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>
        <v>15555.59</v>
      </c>
      <c r="X233" s="4">
        <v>1</v>
      </c>
      <c r="Y233" s="4">
        <v>15555.59</v>
      </c>
      <c r="Z233" s="4"/>
      <c r="AA233" s="4"/>
      <c r="AB233" s="4"/>
    </row>
    <row r="234" spans="1:28" x14ac:dyDescent="0.2">
      <c r="A234" s="4">
        <v>50</v>
      </c>
      <c r="B234" s="4">
        <v>1</v>
      </c>
      <c r="C234" s="4">
        <v>0</v>
      </c>
      <c r="D234" s="4">
        <v>1</v>
      </c>
      <c r="E234" s="4">
        <v>210</v>
      </c>
      <c r="F234" s="4">
        <f>ROUND(Source!X208,O234)</f>
        <v>795641.51</v>
      </c>
      <c r="G234" s="4" t="s">
        <v>643</v>
      </c>
      <c r="H234" s="4" t="s">
        <v>644</v>
      </c>
      <c r="I234" s="4"/>
      <c r="J234" s="4"/>
      <c r="K234" s="4">
        <v>210</v>
      </c>
      <c r="L234" s="4">
        <v>25</v>
      </c>
      <c r="M234" s="4">
        <v>1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>
        <v>795641.51</v>
      </c>
      <c r="X234" s="4">
        <v>1</v>
      </c>
      <c r="Y234" s="4">
        <v>795641.51</v>
      </c>
      <c r="Z234" s="4"/>
      <c r="AA234" s="4"/>
      <c r="AB234" s="4"/>
    </row>
    <row r="235" spans="1:28" x14ac:dyDescent="0.2">
      <c r="A235" s="4">
        <v>50</v>
      </c>
      <c r="B235" s="4">
        <v>1</v>
      </c>
      <c r="C235" s="4">
        <v>0</v>
      </c>
      <c r="D235" s="4">
        <v>1</v>
      </c>
      <c r="E235" s="4">
        <v>211</v>
      </c>
      <c r="F235" s="4">
        <f>ROUND(Source!Y208,O235)</f>
        <v>437877.04</v>
      </c>
      <c r="G235" s="4" t="s">
        <v>645</v>
      </c>
      <c r="H235" s="4" t="s">
        <v>646</v>
      </c>
      <c r="I235" s="4"/>
      <c r="J235" s="4"/>
      <c r="K235" s="4">
        <v>211</v>
      </c>
      <c r="L235" s="4">
        <v>26</v>
      </c>
      <c r="M235" s="4">
        <v>1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>
        <v>437877.04</v>
      </c>
      <c r="X235" s="4">
        <v>1</v>
      </c>
      <c r="Y235" s="4">
        <v>437877.04</v>
      </c>
      <c r="Z235" s="4"/>
      <c r="AA235" s="4"/>
      <c r="AB235" s="4"/>
    </row>
    <row r="236" spans="1:28" x14ac:dyDescent="0.2">
      <c r="A236" s="4">
        <v>50</v>
      </c>
      <c r="B236" s="4">
        <v>1</v>
      </c>
      <c r="C236" s="4">
        <v>0</v>
      </c>
      <c r="D236" s="4">
        <v>1</v>
      </c>
      <c r="E236" s="4">
        <v>224</v>
      </c>
      <c r="F236" s="4">
        <f>ROUND(Source!AR208,O236)</f>
        <v>4523440.37</v>
      </c>
      <c r="G236" s="4" t="s">
        <v>647</v>
      </c>
      <c r="H236" s="4" t="s">
        <v>648</v>
      </c>
      <c r="I236" s="4"/>
      <c r="J236" s="4"/>
      <c r="K236" s="4">
        <v>224</v>
      </c>
      <c r="L236" s="4">
        <v>27</v>
      </c>
      <c r="M236" s="4">
        <v>1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>
        <v>4523440.37</v>
      </c>
      <c r="X236" s="4">
        <v>1</v>
      </c>
      <c r="Y236" s="4">
        <v>4523440.37</v>
      </c>
      <c r="Z236" s="4"/>
      <c r="AA236" s="4"/>
      <c r="AB236" s="4"/>
    </row>
    <row r="237" spans="1:28" x14ac:dyDescent="0.2">
      <c r="A237" s="4">
        <v>50</v>
      </c>
      <c r="B237" s="4">
        <v>1</v>
      </c>
      <c r="C237" s="4">
        <v>0</v>
      </c>
      <c r="D237" s="4">
        <v>2</v>
      </c>
      <c r="E237" s="4">
        <v>0</v>
      </c>
      <c r="F237" s="4">
        <f>ROUND(F236*0.2,O237)</f>
        <v>904688.07</v>
      </c>
      <c r="G237" s="4" t="s">
        <v>649</v>
      </c>
      <c r="H237" s="4" t="s">
        <v>650</v>
      </c>
      <c r="I237" s="4"/>
      <c r="J237" s="4"/>
      <c r="K237" s="4">
        <v>212</v>
      </c>
      <c r="L237" s="4">
        <v>28</v>
      </c>
      <c r="M237" s="4">
        <v>0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>
        <v>904688.07</v>
      </c>
      <c r="X237" s="4">
        <v>1</v>
      </c>
      <c r="Y237" s="4">
        <v>904688.07</v>
      </c>
      <c r="Z237" s="4"/>
      <c r="AA237" s="4"/>
      <c r="AB237" s="4"/>
    </row>
    <row r="238" spans="1:28" x14ac:dyDescent="0.2">
      <c r="A238" s="4">
        <v>50</v>
      </c>
      <c r="B238" s="4">
        <v>1</v>
      </c>
      <c r="C238" s="4">
        <v>0</v>
      </c>
      <c r="D238" s="4">
        <v>2</v>
      </c>
      <c r="E238" s="4">
        <v>0</v>
      </c>
      <c r="F238" s="4">
        <f>ROUND(F237+F236,O238)</f>
        <v>5428128.4400000004</v>
      </c>
      <c r="G238" s="4" t="s">
        <v>651</v>
      </c>
      <c r="H238" s="4" t="s">
        <v>652</v>
      </c>
      <c r="I238" s="4"/>
      <c r="J238" s="4"/>
      <c r="K238" s="4">
        <v>212</v>
      </c>
      <c r="L238" s="4">
        <v>29</v>
      </c>
      <c r="M238" s="4">
        <v>0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>
        <v>5428128.4400000004</v>
      </c>
      <c r="X238" s="4">
        <v>1</v>
      </c>
      <c r="Y238" s="4">
        <v>5428128.4400000004</v>
      </c>
      <c r="Z238" s="4"/>
      <c r="AA238" s="4"/>
      <c r="AB238" s="4"/>
    </row>
    <row r="240" spans="1:28" x14ac:dyDescent="0.2">
      <c r="A240" s="5">
        <v>61</v>
      </c>
      <c r="B240" s="5"/>
      <c r="C240" s="5"/>
      <c r="D240" s="5"/>
      <c r="E240" s="5"/>
      <c r="F240" s="5">
        <v>1.2</v>
      </c>
      <c r="G240" s="5" t="s">
        <v>653</v>
      </c>
      <c r="H240" s="5" t="s">
        <v>654</v>
      </c>
    </row>
    <row r="241" spans="1:16" x14ac:dyDescent="0.2">
      <c r="A241" s="5">
        <v>61</v>
      </c>
      <c r="B241" s="5"/>
      <c r="C241" s="5"/>
      <c r="D241" s="5"/>
      <c r="E241" s="5"/>
      <c r="F241" s="5">
        <v>12</v>
      </c>
      <c r="G241" s="5" t="s">
        <v>655</v>
      </c>
      <c r="H241" s="5" t="s">
        <v>654</v>
      </c>
    </row>
    <row r="242" spans="1:16" x14ac:dyDescent="0.2">
      <c r="A242" s="5">
        <v>61</v>
      </c>
      <c r="B242" s="5"/>
      <c r="C242" s="5"/>
      <c r="D242" s="5"/>
      <c r="E242" s="5"/>
      <c r="F242" s="5">
        <v>0</v>
      </c>
      <c r="G242" s="5" t="s">
        <v>656</v>
      </c>
      <c r="H242" s="5" t="s">
        <v>654</v>
      </c>
    </row>
    <row r="245" spans="1:16" x14ac:dyDescent="0.2">
      <c r="A245">
        <v>70</v>
      </c>
      <c r="B245">
        <v>1</v>
      </c>
      <c r="D245">
        <v>1</v>
      </c>
      <c r="E245" t="s">
        <v>657</v>
      </c>
      <c r="F245" t="s">
        <v>658</v>
      </c>
      <c r="G245">
        <v>0</v>
      </c>
      <c r="H245">
        <v>0</v>
      </c>
      <c r="I245" t="s">
        <v>3</v>
      </c>
      <c r="J245">
        <v>1</v>
      </c>
      <c r="K245">
        <v>0</v>
      </c>
      <c r="L245" t="s">
        <v>3</v>
      </c>
      <c r="M245" t="s">
        <v>3</v>
      </c>
      <c r="N245">
        <v>0</v>
      </c>
      <c r="P245" t="s">
        <v>659</v>
      </c>
    </row>
    <row r="246" spans="1:16" x14ac:dyDescent="0.2">
      <c r="A246">
        <v>70</v>
      </c>
      <c r="B246">
        <v>1</v>
      </c>
      <c r="D246">
        <v>2</v>
      </c>
      <c r="E246" t="s">
        <v>660</v>
      </c>
      <c r="F246" t="s">
        <v>661</v>
      </c>
      <c r="G246">
        <v>0</v>
      </c>
      <c r="H246">
        <v>0</v>
      </c>
      <c r="I246" t="s">
        <v>3</v>
      </c>
      <c r="J246">
        <v>1</v>
      </c>
      <c r="K246">
        <v>0</v>
      </c>
      <c r="L246" t="s">
        <v>3</v>
      </c>
      <c r="M246" t="s">
        <v>3</v>
      </c>
      <c r="N246">
        <v>0</v>
      </c>
      <c r="P246" t="s">
        <v>662</v>
      </c>
    </row>
    <row r="247" spans="1:16" x14ac:dyDescent="0.2">
      <c r="A247">
        <v>70</v>
      </c>
      <c r="B247">
        <v>1</v>
      </c>
      <c r="D247">
        <v>3</v>
      </c>
      <c r="E247" t="s">
        <v>663</v>
      </c>
      <c r="F247" t="s">
        <v>664</v>
      </c>
      <c r="G247">
        <v>1</v>
      </c>
      <c r="H247">
        <v>0</v>
      </c>
      <c r="I247" t="s">
        <v>3</v>
      </c>
      <c r="J247">
        <v>1</v>
      </c>
      <c r="K247">
        <v>0</v>
      </c>
      <c r="L247" t="s">
        <v>3</v>
      </c>
      <c r="M247" t="s">
        <v>3</v>
      </c>
      <c r="N247">
        <v>0</v>
      </c>
      <c r="P247" t="s">
        <v>665</v>
      </c>
    </row>
    <row r="248" spans="1:16" x14ac:dyDescent="0.2">
      <c r="A248">
        <v>70</v>
      </c>
      <c r="B248">
        <v>1</v>
      </c>
      <c r="D248">
        <v>4</v>
      </c>
      <c r="E248" t="s">
        <v>666</v>
      </c>
      <c r="F248" t="s">
        <v>667</v>
      </c>
      <c r="G248">
        <v>1</v>
      </c>
      <c r="H248">
        <v>0</v>
      </c>
      <c r="I248" t="s">
        <v>3</v>
      </c>
      <c r="J248">
        <v>2</v>
      </c>
      <c r="K248">
        <v>0</v>
      </c>
      <c r="L248" t="s">
        <v>3</v>
      </c>
      <c r="M248" t="s">
        <v>3</v>
      </c>
      <c r="N248">
        <v>0</v>
      </c>
      <c r="P248" t="s">
        <v>3</v>
      </c>
    </row>
    <row r="249" spans="1:16" x14ac:dyDescent="0.2">
      <c r="A249">
        <v>70</v>
      </c>
      <c r="B249">
        <v>1</v>
      </c>
      <c r="D249">
        <v>5</v>
      </c>
      <c r="E249" t="s">
        <v>668</v>
      </c>
      <c r="F249" t="s">
        <v>669</v>
      </c>
      <c r="G249">
        <v>0</v>
      </c>
      <c r="H249">
        <v>0</v>
      </c>
      <c r="I249" t="s">
        <v>3</v>
      </c>
      <c r="J249">
        <v>2</v>
      </c>
      <c r="K249">
        <v>0</v>
      </c>
      <c r="L249" t="s">
        <v>3</v>
      </c>
      <c r="M249" t="s">
        <v>3</v>
      </c>
      <c r="N249">
        <v>0</v>
      </c>
      <c r="P249" t="s">
        <v>3</v>
      </c>
    </row>
    <row r="250" spans="1:16" x14ac:dyDescent="0.2">
      <c r="A250">
        <v>70</v>
      </c>
      <c r="B250">
        <v>1</v>
      </c>
      <c r="D250">
        <v>6</v>
      </c>
      <c r="E250" t="s">
        <v>670</v>
      </c>
      <c r="F250" t="s">
        <v>671</v>
      </c>
      <c r="G250">
        <v>0</v>
      </c>
      <c r="H250">
        <v>0</v>
      </c>
      <c r="I250" t="s">
        <v>3</v>
      </c>
      <c r="J250">
        <v>2</v>
      </c>
      <c r="K250">
        <v>0</v>
      </c>
      <c r="L250" t="s">
        <v>3</v>
      </c>
      <c r="M250" t="s">
        <v>3</v>
      </c>
      <c r="N250">
        <v>0</v>
      </c>
      <c r="P250" t="s">
        <v>3</v>
      </c>
    </row>
    <row r="251" spans="1:16" x14ac:dyDescent="0.2">
      <c r="A251">
        <v>70</v>
      </c>
      <c r="B251">
        <v>1</v>
      </c>
      <c r="D251">
        <v>7</v>
      </c>
      <c r="E251" t="s">
        <v>672</v>
      </c>
      <c r="F251" t="s">
        <v>673</v>
      </c>
      <c r="G251">
        <v>0</v>
      </c>
      <c r="H251">
        <v>0</v>
      </c>
      <c r="I251" t="s">
        <v>674</v>
      </c>
      <c r="J251">
        <v>0</v>
      </c>
      <c r="K251">
        <v>0</v>
      </c>
      <c r="L251" t="s">
        <v>3</v>
      </c>
      <c r="M251" t="s">
        <v>3</v>
      </c>
      <c r="N251">
        <v>0</v>
      </c>
      <c r="P251" t="s">
        <v>675</v>
      </c>
    </row>
    <row r="252" spans="1:16" x14ac:dyDescent="0.2">
      <c r="A252">
        <v>70</v>
      </c>
      <c r="B252">
        <v>1</v>
      </c>
      <c r="D252">
        <v>8</v>
      </c>
      <c r="E252" t="s">
        <v>676</v>
      </c>
      <c r="F252" t="s">
        <v>677</v>
      </c>
      <c r="G252">
        <v>1</v>
      </c>
      <c r="H252">
        <v>0</v>
      </c>
      <c r="I252" t="s">
        <v>3</v>
      </c>
      <c r="J252">
        <v>5</v>
      </c>
      <c r="K252">
        <v>0</v>
      </c>
      <c r="L252" t="s">
        <v>3</v>
      </c>
      <c r="M252" t="s">
        <v>3</v>
      </c>
      <c r="N252">
        <v>0</v>
      </c>
      <c r="P252" t="s">
        <v>3</v>
      </c>
    </row>
    <row r="253" spans="1:16" x14ac:dyDescent="0.2">
      <c r="A253">
        <v>70</v>
      </c>
      <c r="B253">
        <v>1</v>
      </c>
      <c r="D253">
        <v>9</v>
      </c>
      <c r="E253" t="s">
        <v>678</v>
      </c>
      <c r="F253" t="s">
        <v>679</v>
      </c>
      <c r="G253">
        <v>0</v>
      </c>
      <c r="H253">
        <v>0</v>
      </c>
      <c r="I253" t="s">
        <v>3</v>
      </c>
      <c r="J253">
        <v>5</v>
      </c>
      <c r="K253">
        <v>0</v>
      </c>
      <c r="L253" t="s">
        <v>3</v>
      </c>
      <c r="M253" t="s">
        <v>3</v>
      </c>
      <c r="N253">
        <v>0</v>
      </c>
      <c r="P253" t="s">
        <v>3</v>
      </c>
    </row>
    <row r="254" spans="1:16" x14ac:dyDescent="0.2">
      <c r="A254">
        <v>70</v>
      </c>
      <c r="B254">
        <v>1</v>
      </c>
      <c r="D254">
        <v>10</v>
      </c>
      <c r="E254" t="s">
        <v>680</v>
      </c>
      <c r="F254" t="s">
        <v>681</v>
      </c>
      <c r="G254">
        <v>0</v>
      </c>
      <c r="H254">
        <v>0</v>
      </c>
      <c r="I254" t="s">
        <v>682</v>
      </c>
      <c r="J254">
        <v>5</v>
      </c>
      <c r="K254">
        <v>0</v>
      </c>
      <c r="L254" t="s">
        <v>3</v>
      </c>
      <c r="M254" t="s">
        <v>3</v>
      </c>
      <c r="N254">
        <v>0</v>
      </c>
      <c r="P254" t="s">
        <v>683</v>
      </c>
    </row>
    <row r="255" spans="1:16" x14ac:dyDescent="0.2">
      <c r="A255">
        <v>70</v>
      </c>
      <c r="B255">
        <v>1</v>
      </c>
      <c r="D255">
        <v>11</v>
      </c>
      <c r="E255" t="s">
        <v>684</v>
      </c>
      <c r="F255" t="s">
        <v>685</v>
      </c>
      <c r="G255">
        <v>0</v>
      </c>
      <c r="H255">
        <v>0</v>
      </c>
      <c r="I255" t="s">
        <v>686</v>
      </c>
      <c r="J255">
        <v>0</v>
      </c>
      <c r="K255">
        <v>0</v>
      </c>
      <c r="L255" t="s">
        <v>3</v>
      </c>
      <c r="M255" t="s">
        <v>3</v>
      </c>
      <c r="N255">
        <v>0</v>
      </c>
      <c r="P255" t="s">
        <v>687</v>
      </c>
    </row>
    <row r="256" spans="1:16" x14ac:dyDescent="0.2">
      <c r="A256">
        <v>70</v>
      </c>
      <c r="B256">
        <v>1</v>
      </c>
      <c r="D256">
        <v>12</v>
      </c>
      <c r="E256" t="s">
        <v>688</v>
      </c>
      <c r="F256" t="s">
        <v>689</v>
      </c>
      <c r="G256">
        <v>0</v>
      </c>
      <c r="H256">
        <v>0</v>
      </c>
      <c r="I256" t="s">
        <v>690</v>
      </c>
      <c r="J256">
        <v>0</v>
      </c>
      <c r="K256">
        <v>0</v>
      </c>
      <c r="L256" t="s">
        <v>3</v>
      </c>
      <c r="M256" t="s">
        <v>3</v>
      </c>
      <c r="N256">
        <v>0</v>
      </c>
      <c r="P256" t="s">
        <v>691</v>
      </c>
    </row>
    <row r="257" spans="1:40" x14ac:dyDescent="0.2">
      <c r="A257">
        <v>70</v>
      </c>
      <c r="B257">
        <v>1</v>
      </c>
      <c r="D257">
        <v>13</v>
      </c>
      <c r="E257" t="s">
        <v>692</v>
      </c>
      <c r="F257" t="s">
        <v>693</v>
      </c>
      <c r="G257">
        <v>0</v>
      </c>
      <c r="H257">
        <v>0</v>
      </c>
      <c r="I257" t="s">
        <v>694</v>
      </c>
      <c r="J257">
        <v>0</v>
      </c>
      <c r="K257">
        <v>0</v>
      </c>
      <c r="L257" t="s">
        <v>3</v>
      </c>
      <c r="M257" t="s">
        <v>3</v>
      </c>
      <c r="N257">
        <v>0</v>
      </c>
      <c r="P257" t="s">
        <v>695</v>
      </c>
    </row>
    <row r="258" spans="1:40" x14ac:dyDescent="0.2">
      <c r="A258">
        <v>70</v>
      </c>
      <c r="B258">
        <v>1</v>
      </c>
      <c r="D258">
        <v>14</v>
      </c>
      <c r="E258" t="s">
        <v>696</v>
      </c>
      <c r="F258" t="s">
        <v>697</v>
      </c>
      <c r="G258">
        <v>0</v>
      </c>
      <c r="H258">
        <v>0</v>
      </c>
      <c r="I258" t="s">
        <v>3</v>
      </c>
      <c r="J258">
        <v>0</v>
      </c>
      <c r="K258">
        <v>0</v>
      </c>
      <c r="L258" t="s">
        <v>3</v>
      </c>
      <c r="M258" t="s">
        <v>3</v>
      </c>
      <c r="N258">
        <v>0</v>
      </c>
      <c r="P258" t="s">
        <v>698</v>
      </c>
    </row>
    <row r="259" spans="1:40" x14ac:dyDescent="0.2">
      <c r="A259">
        <v>70</v>
      </c>
      <c r="B259">
        <v>1</v>
      </c>
      <c r="D259">
        <v>15</v>
      </c>
      <c r="E259" t="s">
        <v>699</v>
      </c>
      <c r="F259" t="s">
        <v>700</v>
      </c>
      <c r="G259">
        <v>0</v>
      </c>
      <c r="H259">
        <v>0</v>
      </c>
      <c r="I259" t="s">
        <v>3</v>
      </c>
      <c r="J259">
        <v>3</v>
      </c>
      <c r="K259">
        <v>0</v>
      </c>
      <c r="L259" t="s">
        <v>3</v>
      </c>
      <c r="M259" t="s">
        <v>3</v>
      </c>
      <c r="N259">
        <v>0</v>
      </c>
      <c r="P259" t="s">
        <v>3</v>
      </c>
    </row>
    <row r="260" spans="1:40" x14ac:dyDescent="0.2">
      <c r="A260">
        <v>70</v>
      </c>
      <c r="B260">
        <v>1</v>
      </c>
      <c r="D260">
        <v>16</v>
      </c>
      <c r="E260" t="s">
        <v>701</v>
      </c>
      <c r="F260" t="s">
        <v>702</v>
      </c>
      <c r="G260">
        <v>1</v>
      </c>
      <c r="H260">
        <v>0</v>
      </c>
      <c r="I260" t="s">
        <v>3</v>
      </c>
      <c r="J260">
        <v>3</v>
      </c>
      <c r="K260">
        <v>0</v>
      </c>
      <c r="L260" t="s">
        <v>3</v>
      </c>
      <c r="M260" t="s">
        <v>3</v>
      </c>
      <c r="N260">
        <v>0</v>
      </c>
      <c r="P260" t="s">
        <v>3</v>
      </c>
    </row>
    <row r="261" spans="1:40" x14ac:dyDescent="0.2">
      <c r="A261">
        <v>70</v>
      </c>
      <c r="B261">
        <v>1</v>
      </c>
      <c r="D261">
        <v>1</v>
      </c>
      <c r="E261" t="s">
        <v>703</v>
      </c>
      <c r="F261" t="s">
        <v>704</v>
      </c>
      <c r="G261">
        <v>0.9</v>
      </c>
      <c r="H261">
        <v>1</v>
      </c>
      <c r="I261" t="s">
        <v>705</v>
      </c>
      <c r="J261">
        <v>0</v>
      </c>
      <c r="K261">
        <v>0</v>
      </c>
      <c r="L261" t="s">
        <v>3</v>
      </c>
      <c r="M261" t="s">
        <v>3</v>
      </c>
      <c r="N261">
        <v>0</v>
      </c>
      <c r="P261" t="s">
        <v>706</v>
      </c>
    </row>
    <row r="262" spans="1:40" x14ac:dyDescent="0.2">
      <c r="A262">
        <v>70</v>
      </c>
      <c r="B262">
        <v>1</v>
      </c>
      <c r="D262">
        <v>2</v>
      </c>
      <c r="E262" t="s">
        <v>707</v>
      </c>
      <c r="F262" t="s">
        <v>708</v>
      </c>
      <c r="G262">
        <v>0.85</v>
      </c>
      <c r="H262">
        <v>1</v>
      </c>
      <c r="I262" t="s">
        <v>709</v>
      </c>
      <c r="J262">
        <v>0</v>
      </c>
      <c r="K262">
        <v>0</v>
      </c>
      <c r="L262" t="s">
        <v>3</v>
      </c>
      <c r="M262" t="s">
        <v>3</v>
      </c>
      <c r="N262">
        <v>0</v>
      </c>
      <c r="P262" t="s">
        <v>710</v>
      </c>
    </row>
    <row r="263" spans="1:40" x14ac:dyDescent="0.2">
      <c r="A263">
        <v>70</v>
      </c>
      <c r="B263">
        <v>1</v>
      </c>
      <c r="D263">
        <v>3</v>
      </c>
      <c r="E263" t="s">
        <v>711</v>
      </c>
      <c r="F263" t="s">
        <v>712</v>
      </c>
      <c r="G263">
        <v>1.03</v>
      </c>
      <c r="H263">
        <v>0</v>
      </c>
      <c r="I263" t="s">
        <v>3</v>
      </c>
      <c r="J263">
        <v>0</v>
      </c>
      <c r="K263">
        <v>0</v>
      </c>
      <c r="L263" t="s">
        <v>3</v>
      </c>
      <c r="M263" t="s">
        <v>3</v>
      </c>
      <c r="N263">
        <v>0</v>
      </c>
      <c r="P263" t="s">
        <v>713</v>
      </c>
    </row>
    <row r="264" spans="1:40" x14ac:dyDescent="0.2">
      <c r="A264">
        <v>70</v>
      </c>
      <c r="B264">
        <v>1</v>
      </c>
      <c r="D264">
        <v>4</v>
      </c>
      <c r="E264" t="s">
        <v>714</v>
      </c>
      <c r="F264" t="s">
        <v>715</v>
      </c>
      <c r="G264">
        <v>1.1499999999999999</v>
      </c>
      <c r="H264">
        <v>0</v>
      </c>
      <c r="I264" t="s">
        <v>3</v>
      </c>
      <c r="J264">
        <v>0</v>
      </c>
      <c r="K264">
        <v>0</v>
      </c>
      <c r="L264" t="s">
        <v>3</v>
      </c>
      <c r="M264" t="s">
        <v>3</v>
      </c>
      <c r="N264">
        <v>0</v>
      </c>
      <c r="P264" t="s">
        <v>716</v>
      </c>
    </row>
    <row r="265" spans="1:40" x14ac:dyDescent="0.2">
      <c r="A265">
        <v>70</v>
      </c>
      <c r="B265">
        <v>1</v>
      </c>
      <c r="D265">
        <v>5</v>
      </c>
      <c r="E265" t="s">
        <v>717</v>
      </c>
      <c r="F265" t="s">
        <v>718</v>
      </c>
      <c r="G265">
        <v>7</v>
      </c>
      <c r="H265">
        <v>0</v>
      </c>
      <c r="I265" t="s">
        <v>3</v>
      </c>
      <c r="J265">
        <v>0</v>
      </c>
      <c r="K265">
        <v>0</v>
      </c>
      <c r="L265" t="s">
        <v>3</v>
      </c>
      <c r="M265" t="s">
        <v>3</v>
      </c>
      <c r="N265">
        <v>0</v>
      </c>
      <c r="P265" t="s">
        <v>3</v>
      </c>
    </row>
    <row r="266" spans="1:40" x14ac:dyDescent="0.2">
      <c r="A266">
        <v>70</v>
      </c>
      <c r="B266">
        <v>1</v>
      </c>
      <c r="D266">
        <v>6</v>
      </c>
      <c r="E266" t="s">
        <v>719</v>
      </c>
      <c r="F266" t="s">
        <v>3</v>
      </c>
      <c r="G266">
        <v>2</v>
      </c>
      <c r="H266">
        <v>0</v>
      </c>
      <c r="I266" t="s">
        <v>3</v>
      </c>
      <c r="J266">
        <v>0</v>
      </c>
      <c r="K266">
        <v>0</v>
      </c>
      <c r="L266" t="s">
        <v>3</v>
      </c>
      <c r="M266" t="s">
        <v>3</v>
      </c>
      <c r="N266">
        <v>0</v>
      </c>
      <c r="P266" t="s">
        <v>3</v>
      </c>
    </row>
    <row r="268" spans="1:40" x14ac:dyDescent="0.2">
      <c r="A268">
        <v>-1</v>
      </c>
    </row>
    <row r="270" spans="1:40" x14ac:dyDescent="0.2">
      <c r="A270" s="3">
        <v>75</v>
      </c>
      <c r="B270" s="3" t="s">
        <v>720</v>
      </c>
      <c r="C270" s="3">
        <v>2024</v>
      </c>
      <c r="D270" s="3">
        <v>1</v>
      </c>
      <c r="E270" s="3">
        <v>0</v>
      </c>
      <c r="F270" s="3">
        <v>0</v>
      </c>
      <c r="G270" s="3">
        <v>0</v>
      </c>
      <c r="H270" s="3">
        <v>1</v>
      </c>
      <c r="I270" s="3">
        <v>0</v>
      </c>
      <c r="J270" s="3">
        <v>3</v>
      </c>
      <c r="K270" s="3">
        <v>0</v>
      </c>
      <c r="L270" s="3">
        <v>0</v>
      </c>
      <c r="M270" s="3">
        <v>0</v>
      </c>
      <c r="N270" s="3">
        <v>145033679</v>
      </c>
      <c r="O270" s="3">
        <v>1</v>
      </c>
    </row>
    <row r="271" spans="1:40" x14ac:dyDescent="0.2">
      <c r="A271" s="6">
        <v>3</v>
      </c>
      <c r="B271" s="6" t="s">
        <v>721</v>
      </c>
      <c r="C271" s="6">
        <v>12.02</v>
      </c>
      <c r="D271" s="6">
        <v>8.7100000000000009</v>
      </c>
      <c r="E271" s="6">
        <v>12.13</v>
      </c>
      <c r="F271" s="6">
        <v>30.54</v>
      </c>
      <c r="G271" s="6">
        <v>30.54</v>
      </c>
      <c r="H271" s="6">
        <v>1</v>
      </c>
      <c r="I271" s="6">
        <v>1</v>
      </c>
      <c r="J271" s="6">
        <v>2</v>
      </c>
      <c r="K271" s="6">
        <v>30.54</v>
      </c>
      <c r="L271" s="6">
        <v>12.02</v>
      </c>
      <c r="M271" s="6">
        <v>12.02</v>
      </c>
      <c r="N271" s="6">
        <v>8.7100000000000009</v>
      </c>
      <c r="O271" s="6">
        <v>1</v>
      </c>
      <c r="P271" s="6">
        <v>1</v>
      </c>
      <c r="Q271" s="6">
        <v>30.54</v>
      </c>
      <c r="R271" s="6">
        <v>12.02</v>
      </c>
      <c r="S271" s="6" t="s">
        <v>3</v>
      </c>
      <c r="T271" s="6" t="s">
        <v>3</v>
      </c>
      <c r="U271" s="6" t="s">
        <v>3</v>
      </c>
      <c r="V271" s="6" t="s">
        <v>3</v>
      </c>
      <c r="W271" s="6" t="s">
        <v>3</v>
      </c>
      <c r="X271" s="6" t="s">
        <v>3</v>
      </c>
      <c r="Y271" s="6" t="s">
        <v>3</v>
      </c>
      <c r="Z271" s="6" t="s">
        <v>3</v>
      </c>
      <c r="AA271" s="6" t="s">
        <v>3</v>
      </c>
      <c r="AB271" s="6" t="s">
        <v>3</v>
      </c>
      <c r="AC271" s="6" t="s">
        <v>3</v>
      </c>
      <c r="AD271" s="6" t="s">
        <v>3</v>
      </c>
      <c r="AE271" s="6" t="s">
        <v>3</v>
      </c>
      <c r="AF271" s="6" t="s">
        <v>3</v>
      </c>
      <c r="AG271" s="6" t="s">
        <v>3</v>
      </c>
      <c r="AH271" s="6" t="s">
        <v>3</v>
      </c>
      <c r="AI271" s="6"/>
      <c r="AJ271" s="6"/>
      <c r="AK271" s="6"/>
      <c r="AL271" s="6"/>
      <c r="AM271" s="6"/>
      <c r="AN271" s="6">
        <v>145033686</v>
      </c>
    </row>
    <row r="275" spans="1:5" x14ac:dyDescent="0.2">
      <c r="A275">
        <v>65</v>
      </c>
      <c r="C275">
        <v>1</v>
      </c>
      <c r="D275">
        <v>0</v>
      </c>
      <c r="E27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722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18266318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8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5</v>
      </c>
      <c r="H12" s="1" t="s">
        <v>3</v>
      </c>
      <c r="I12" s="1">
        <v>0</v>
      </c>
      <c r="J12" s="1" t="s">
        <v>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17301512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1101</v>
      </c>
      <c r="CR12" s="1" t="s">
        <v>13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1</v>
      </c>
      <c r="C14" s="1">
        <v>0</v>
      </c>
      <c r="D14" s="1">
        <v>145033679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0</v>
      </c>
      <c r="C16" s="7" t="s">
        <v>14</v>
      </c>
      <c r="D16" s="7" t="s">
        <v>14</v>
      </c>
      <c r="E16" s="8">
        <f>ROUND((Source!F195)/1000,2)</f>
        <v>3916.03</v>
      </c>
      <c r="F16" s="8">
        <f>ROUND((Source!F196)/1000,2)</f>
        <v>607.41</v>
      </c>
      <c r="G16" s="8">
        <f>ROUND((Source!F187)/1000,2)</f>
        <v>0</v>
      </c>
      <c r="H16" s="8">
        <f>ROUND((Source!F197)/1000+(Source!F198)/1000,2)</f>
        <v>0</v>
      </c>
      <c r="I16" s="8">
        <f>E16+F16+G16+H16</f>
        <v>4523.4400000000005</v>
      </c>
      <c r="J16" s="8">
        <f>ROUND((Source!F193+Source!F192)/1000,2)</f>
        <v>968.02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3274366.23</v>
      </c>
      <c r="AU16" s="8">
        <v>1955855.3</v>
      </c>
      <c r="AV16" s="8">
        <v>0</v>
      </c>
      <c r="AW16" s="8">
        <v>0</v>
      </c>
      <c r="AX16" s="8">
        <v>0</v>
      </c>
      <c r="AY16" s="8">
        <v>554119.06000000006</v>
      </c>
      <c r="AZ16" s="8">
        <v>203632.68</v>
      </c>
      <c r="BA16" s="8">
        <v>764391.87</v>
      </c>
      <c r="BB16" s="8">
        <v>3916026.99</v>
      </c>
      <c r="BC16" s="8">
        <v>607413.38</v>
      </c>
      <c r="BD16" s="8">
        <v>0</v>
      </c>
      <c r="BE16" s="8">
        <v>0</v>
      </c>
      <c r="BF16" s="8">
        <v>2804.4622104254995</v>
      </c>
      <c r="BG16" s="8">
        <v>184.90067485125002</v>
      </c>
      <c r="BH16" s="8">
        <v>0</v>
      </c>
      <c r="BI16" s="8">
        <v>795641.51</v>
      </c>
      <c r="BJ16" s="8">
        <v>437877.04</v>
      </c>
      <c r="BK16" s="8">
        <v>4523440.37</v>
      </c>
    </row>
    <row r="18" spans="1:19" x14ac:dyDescent="0.2">
      <c r="A18">
        <v>51</v>
      </c>
      <c r="E18" s="5">
        <f>SUMIF(A16:A17,3,E16:E17)</f>
        <v>3916.03</v>
      </c>
      <c r="F18" s="5">
        <f>SUMIF(A16:A17,3,F16:F17)</f>
        <v>607.41</v>
      </c>
      <c r="G18" s="5">
        <f>SUMIF(A16:A17,3,G16:G17)</f>
        <v>0</v>
      </c>
      <c r="H18" s="5">
        <f>SUMIF(A16:A17,3,H16:H17)</f>
        <v>0</v>
      </c>
      <c r="I18" s="5">
        <f>SUMIF(A16:A17,3,I16:I17)</f>
        <v>4523.4400000000005</v>
      </c>
      <c r="J18" s="5">
        <f>SUMIF(A16:A17,3,J16:J17)</f>
        <v>968.02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3274366.23</v>
      </c>
      <c r="G20" s="4" t="s">
        <v>596</v>
      </c>
      <c r="H20" s="4" t="s">
        <v>597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1955855.3</v>
      </c>
      <c r="G21" s="4" t="s">
        <v>598</v>
      </c>
      <c r="H21" s="4" t="s">
        <v>599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f>IF(SourceObSm!F22&lt;&gt;0,1,0)</f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600</v>
      </c>
      <c r="H22" s="4" t="s">
        <v>601</v>
      </c>
      <c r="I22" s="4"/>
      <c r="J22" s="4"/>
      <c r="K22" s="4">
        <v>222</v>
      </c>
      <c r="L22" s="4">
        <v>3</v>
      </c>
      <c r="M22" s="4">
        <v>1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f>IF(SourceObSm!F23&lt;&gt;0,1,0)</f>
        <v>1</v>
      </c>
      <c r="C23" s="4">
        <v>0</v>
      </c>
      <c r="D23" s="4">
        <v>1</v>
      </c>
      <c r="E23" s="4">
        <v>225</v>
      </c>
      <c r="F23" s="4">
        <v>1955855.3</v>
      </c>
      <c r="G23" s="4" t="s">
        <v>602</v>
      </c>
      <c r="H23" s="4" t="s">
        <v>603</v>
      </c>
      <c r="I23" s="4"/>
      <c r="J23" s="4"/>
      <c r="K23" s="4">
        <v>225</v>
      </c>
      <c r="L23" s="4">
        <v>4</v>
      </c>
      <c r="M23" s="4">
        <v>1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1955855.3</v>
      </c>
      <c r="G24" s="4" t="s">
        <v>604</v>
      </c>
      <c r="H24" s="4" t="s">
        <v>605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f>IF(SourceObSm!F25&lt;&gt;0,1,0)</f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606</v>
      </c>
      <c r="H25" s="4" t="s">
        <v>607</v>
      </c>
      <c r="I25" s="4"/>
      <c r="J25" s="4"/>
      <c r="K25" s="4">
        <v>227</v>
      </c>
      <c r="L25" s="4">
        <v>6</v>
      </c>
      <c r="M25" s="4">
        <v>1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f>IF(SourceObSm!F26&lt;&gt;0,1,0)</f>
        <v>1</v>
      </c>
      <c r="C26" s="4">
        <v>0</v>
      </c>
      <c r="D26" s="4">
        <v>1</v>
      </c>
      <c r="E26" s="4">
        <v>228</v>
      </c>
      <c r="F26" s="4">
        <v>1955855.3</v>
      </c>
      <c r="G26" s="4" t="s">
        <v>608</v>
      </c>
      <c r="H26" s="4" t="s">
        <v>609</v>
      </c>
      <c r="I26" s="4"/>
      <c r="J26" s="4"/>
      <c r="K26" s="4">
        <v>228</v>
      </c>
      <c r="L26" s="4">
        <v>7</v>
      </c>
      <c r="M26" s="4">
        <v>1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610</v>
      </c>
      <c r="H27" s="4" t="s">
        <v>611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f>IF(SourceObSm!F28&lt;&gt;0,1,0)</f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612</v>
      </c>
      <c r="H28" s="4" t="s">
        <v>613</v>
      </c>
      <c r="I28" s="4"/>
      <c r="J28" s="4"/>
      <c r="K28" s="4">
        <v>223</v>
      </c>
      <c r="L28" s="4">
        <v>9</v>
      </c>
      <c r="M28" s="4">
        <v>1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f>IF(SourceObSm!F29&lt;&gt;0,1,0)</f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614</v>
      </c>
      <c r="H29" s="4" t="s">
        <v>615</v>
      </c>
      <c r="I29" s="4"/>
      <c r="J29" s="4"/>
      <c r="K29" s="4">
        <v>229</v>
      </c>
      <c r="L29" s="4">
        <v>10</v>
      </c>
      <c r="M29" s="4">
        <v>1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554119.06000000006</v>
      </c>
      <c r="G30" s="4" t="s">
        <v>83</v>
      </c>
      <c r="H30" s="4" t="s">
        <v>616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617</v>
      </c>
      <c r="H31" s="4" t="s">
        <v>618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203632.68</v>
      </c>
      <c r="G32" s="4" t="s">
        <v>619</v>
      </c>
      <c r="H32" s="4" t="s">
        <v>620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764391.87</v>
      </c>
      <c r="G33" s="4" t="s">
        <v>621</v>
      </c>
      <c r="H33" s="4" t="s">
        <v>622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623</v>
      </c>
      <c r="H34" s="4" t="s">
        <v>624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3916026.99</v>
      </c>
      <c r="G35" s="4" t="s">
        <v>625</v>
      </c>
      <c r="H35" s="4" t="s">
        <v>626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1</v>
      </c>
      <c r="C36" s="4">
        <v>0</v>
      </c>
      <c r="D36" s="4">
        <v>1</v>
      </c>
      <c r="E36" s="4">
        <v>215</v>
      </c>
      <c r="F36" s="4">
        <v>607413.38</v>
      </c>
      <c r="G36" s="4" t="s">
        <v>627</v>
      </c>
      <c r="H36" s="4" t="s">
        <v>628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629</v>
      </c>
      <c r="H37" s="4" t="s">
        <v>630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631</v>
      </c>
      <c r="H38" s="4" t="s">
        <v>632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f>IF(SourceObSm!F39&lt;&gt;0,1,0)</f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633</v>
      </c>
      <c r="H39" s="4" t="s">
        <v>634</v>
      </c>
      <c r="I39" s="4"/>
      <c r="J39" s="4"/>
      <c r="K39" s="4">
        <v>206</v>
      </c>
      <c r="L39" s="4">
        <v>20</v>
      </c>
      <c r="M39" s="4">
        <v>1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2804.4622104254995</v>
      </c>
      <c r="G40" s="4" t="s">
        <v>635</v>
      </c>
      <c r="H40" s="4" t="s">
        <v>636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184.90067485125002</v>
      </c>
      <c r="G41" s="4" t="s">
        <v>637</v>
      </c>
      <c r="H41" s="4" t="s">
        <v>638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f>IF(SourceObSm!F42&lt;&gt;0,1,0)</f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639</v>
      </c>
      <c r="H42" s="4" t="s">
        <v>640</v>
      </c>
      <c r="I42" s="4"/>
      <c r="J42" s="4"/>
      <c r="K42" s="4">
        <v>209</v>
      </c>
      <c r="L42" s="4">
        <v>23</v>
      </c>
      <c r="M42" s="4">
        <v>1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f>IF(SourceObSm!F43&lt;&gt;0,1,0)</f>
        <v>1</v>
      </c>
      <c r="C43" s="4">
        <v>0</v>
      </c>
      <c r="D43" s="4">
        <v>1</v>
      </c>
      <c r="E43" s="4">
        <v>233</v>
      </c>
      <c r="F43" s="4">
        <v>15555.59</v>
      </c>
      <c r="G43" s="4" t="s">
        <v>641</v>
      </c>
      <c r="H43" s="4" t="s">
        <v>642</v>
      </c>
      <c r="I43" s="4"/>
      <c r="J43" s="4"/>
      <c r="K43" s="4">
        <v>233</v>
      </c>
      <c r="L43" s="4">
        <v>24</v>
      </c>
      <c r="M43" s="4">
        <v>1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795641.51</v>
      </c>
      <c r="G44" s="4" t="s">
        <v>643</v>
      </c>
      <c r="H44" s="4" t="s">
        <v>644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437877.04</v>
      </c>
      <c r="G45" s="4" t="s">
        <v>645</v>
      </c>
      <c r="H45" s="4" t="s">
        <v>646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4523440.37</v>
      </c>
      <c r="G46" s="4" t="s">
        <v>647</v>
      </c>
      <c r="H46" s="4" t="s">
        <v>648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904688.07</v>
      </c>
      <c r="G47" s="4" t="s">
        <v>649</v>
      </c>
      <c r="H47" s="4" t="s">
        <v>650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5428128.4400000004</v>
      </c>
      <c r="G48" s="4" t="s">
        <v>651</v>
      </c>
      <c r="H48" s="4" t="s">
        <v>652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40" x14ac:dyDescent="0.2">
      <c r="A50">
        <v>-1</v>
      </c>
    </row>
    <row r="53" spans="1:40" x14ac:dyDescent="0.2">
      <c r="A53" s="3">
        <v>75</v>
      </c>
      <c r="B53" s="3" t="s">
        <v>720</v>
      </c>
      <c r="C53" s="3">
        <v>2024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3</v>
      </c>
      <c r="K53" s="3">
        <v>0</v>
      </c>
      <c r="L53" s="3">
        <v>0</v>
      </c>
      <c r="M53" s="3">
        <v>0</v>
      </c>
      <c r="N53" s="3">
        <v>145033679</v>
      </c>
      <c r="O53" s="3">
        <v>1</v>
      </c>
    </row>
    <row r="54" spans="1:40" x14ac:dyDescent="0.2">
      <c r="A54" s="6">
        <v>3</v>
      </c>
      <c r="B54" s="6" t="s">
        <v>721</v>
      </c>
      <c r="C54" s="6">
        <v>12.02</v>
      </c>
      <c r="D54" s="6">
        <v>8.7100000000000009</v>
      </c>
      <c r="E54" s="6">
        <v>12.13</v>
      </c>
      <c r="F54" s="6">
        <v>30.54</v>
      </c>
      <c r="G54" s="6">
        <v>30.54</v>
      </c>
      <c r="H54" s="6">
        <v>1</v>
      </c>
      <c r="I54" s="6">
        <v>1</v>
      </c>
      <c r="J54" s="6">
        <v>2</v>
      </c>
      <c r="K54" s="6">
        <v>30.54</v>
      </c>
      <c r="L54" s="6">
        <v>12.02</v>
      </c>
      <c r="M54" s="6">
        <v>12.02</v>
      </c>
      <c r="N54" s="6">
        <v>8.7100000000000009</v>
      </c>
      <c r="O54" s="6">
        <v>1</v>
      </c>
      <c r="P54" s="6">
        <v>1</v>
      </c>
      <c r="Q54" s="6">
        <v>30.54</v>
      </c>
      <c r="R54" s="6">
        <v>12.02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  <c r="AB54" s="6" t="s">
        <v>3</v>
      </c>
      <c r="AC54" s="6" t="s">
        <v>3</v>
      </c>
      <c r="AD54" s="6" t="s">
        <v>3</v>
      </c>
      <c r="AE54" s="6" t="s">
        <v>3</v>
      </c>
      <c r="AF54" s="6" t="s">
        <v>3</v>
      </c>
      <c r="AG54" s="6" t="s">
        <v>3</v>
      </c>
      <c r="AH54" s="6" t="s">
        <v>3</v>
      </c>
      <c r="AI54" s="6"/>
      <c r="AJ54" s="6"/>
      <c r="AK54" s="6"/>
      <c r="AL54" s="6"/>
      <c r="AM54" s="6"/>
      <c r="AN54" s="6">
        <v>145033686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4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19" x14ac:dyDescent="0.2">
      <c r="A1">
        <f>ROW(Source!A25)</f>
        <v>25</v>
      </c>
      <c r="B1">
        <v>145033679</v>
      </c>
      <c r="C1">
        <v>145040213</v>
      </c>
      <c r="D1">
        <v>140755423</v>
      </c>
      <c r="E1">
        <v>70</v>
      </c>
      <c r="F1">
        <v>1</v>
      </c>
      <c r="G1">
        <v>1</v>
      </c>
      <c r="H1">
        <v>1</v>
      </c>
      <c r="I1" t="s">
        <v>723</v>
      </c>
      <c r="J1" t="s">
        <v>3</v>
      </c>
      <c r="K1" t="s">
        <v>724</v>
      </c>
      <c r="L1">
        <v>1191</v>
      </c>
      <c r="N1">
        <v>1013</v>
      </c>
      <c r="O1" t="s">
        <v>725</v>
      </c>
      <c r="P1" t="s">
        <v>725</v>
      </c>
      <c r="Q1">
        <v>1</v>
      </c>
      <c r="W1">
        <v>0</v>
      </c>
      <c r="X1">
        <v>2031828327</v>
      </c>
      <c r="Y1">
        <f>(AT1*1.15)</f>
        <v>26.242999999999999</v>
      </c>
      <c r="AA1">
        <v>0</v>
      </c>
      <c r="AB1">
        <v>0</v>
      </c>
      <c r="AC1">
        <v>0</v>
      </c>
      <c r="AD1">
        <v>238.21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30.54</v>
      </c>
      <c r="AM1">
        <v>4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22.82</v>
      </c>
      <c r="AU1" t="s">
        <v>21</v>
      </c>
      <c r="AV1">
        <v>1</v>
      </c>
      <c r="AW1">
        <v>2</v>
      </c>
      <c r="AX1">
        <v>145040216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ROUND(Y1*Source!I25,9)</f>
        <v>3.3302366999999999</v>
      </c>
      <c r="CY1">
        <f>AD1</f>
        <v>238.21</v>
      </c>
      <c r="CZ1">
        <f>AH1</f>
        <v>7.8</v>
      </c>
      <c r="DA1">
        <f>AL1</f>
        <v>30.54</v>
      </c>
      <c r="DB1">
        <f>ROUND((ROUND(AT1*CZ1,2)*1.15),2)</f>
        <v>204.7</v>
      </c>
      <c r="DC1">
        <f>ROUND((ROUND(AT1*AG1,2)*1.15),2)</f>
        <v>0</v>
      </c>
      <c r="DD1" t="s">
        <v>3</v>
      </c>
      <c r="DE1" t="s">
        <v>3</v>
      </c>
      <c r="DF1">
        <f>ROUND(ROUND(AE1,2)*CX1,2)</f>
        <v>0</v>
      </c>
      <c r="DG1">
        <f>ROUND(ROUND(AF1,2)*CX1,2)</f>
        <v>0</v>
      </c>
      <c r="DH1">
        <f>ROUND(ROUND(AG1,2)*CX1,2)</f>
        <v>0</v>
      </c>
      <c r="DI1">
        <f>ROUND(ROUND(AH1*AL1,2)*CX1,2)</f>
        <v>793.3</v>
      </c>
      <c r="DJ1">
        <f>DI1</f>
        <v>793.3</v>
      </c>
      <c r="DK1">
        <v>0</v>
      </c>
      <c r="DL1" t="s">
        <v>3</v>
      </c>
      <c r="DM1">
        <v>0</v>
      </c>
      <c r="DN1" t="s">
        <v>3</v>
      </c>
      <c r="DO1">
        <v>0</v>
      </c>
    </row>
    <row r="2" spans="1:119" x14ac:dyDescent="0.2">
      <c r="A2">
        <f>ROW(Source!A25)</f>
        <v>25</v>
      </c>
      <c r="B2">
        <v>145033679</v>
      </c>
      <c r="C2">
        <v>145040213</v>
      </c>
      <c r="D2">
        <v>140765020</v>
      </c>
      <c r="E2">
        <v>70</v>
      </c>
      <c r="F2">
        <v>1</v>
      </c>
      <c r="G2">
        <v>1</v>
      </c>
      <c r="H2">
        <v>3</v>
      </c>
      <c r="I2" t="s">
        <v>726</v>
      </c>
      <c r="J2" t="s">
        <v>3</v>
      </c>
      <c r="K2" t="s">
        <v>727</v>
      </c>
      <c r="L2">
        <v>1348</v>
      </c>
      <c r="N2">
        <v>1009</v>
      </c>
      <c r="O2" t="s">
        <v>105</v>
      </c>
      <c r="P2" t="s">
        <v>105</v>
      </c>
      <c r="Q2">
        <v>1000</v>
      </c>
      <c r="W2">
        <v>0</v>
      </c>
      <c r="X2">
        <v>2102561428</v>
      </c>
      <c r="Y2">
        <f>AT2</f>
        <v>4.5999999999999996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8.7100000000000009</v>
      </c>
      <c r="AJ2">
        <v>1</v>
      </c>
      <c r="AK2">
        <v>1</v>
      </c>
      <c r="AL2">
        <v>1</v>
      </c>
      <c r="AM2">
        <v>4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3</v>
      </c>
      <c r="AT2">
        <v>4.5999999999999996</v>
      </c>
      <c r="AU2" t="s">
        <v>3</v>
      </c>
      <c r="AV2">
        <v>0</v>
      </c>
      <c r="AW2">
        <v>2</v>
      </c>
      <c r="AX2">
        <v>145040217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ROUND(Y2*Source!I25,9)</f>
        <v>0.58374000000000004</v>
      </c>
      <c r="CY2">
        <f>AA2</f>
        <v>0</v>
      </c>
      <c r="CZ2">
        <f>AE2</f>
        <v>0</v>
      </c>
      <c r="DA2">
        <f>AI2</f>
        <v>8.7100000000000009</v>
      </c>
      <c r="DB2">
        <f>ROUND(ROUND(AT2*CZ2,2),2)</f>
        <v>0</v>
      </c>
      <c r="DC2">
        <f>ROUND(ROUND(AT2*AG2,2),2)</f>
        <v>0</v>
      </c>
      <c r="DD2" t="s">
        <v>3</v>
      </c>
      <c r="DE2" t="s">
        <v>3</v>
      </c>
      <c r="DF2">
        <f>ROUND(ROUND(AE2*AI2,2)*CX2,2)</f>
        <v>0</v>
      </c>
      <c r="DG2">
        <f>ROUND(ROUND(AF2,2)*CX2,2)</f>
        <v>0</v>
      </c>
      <c r="DH2">
        <f>ROUND(ROUND(AG2,2)*CX2,2)</f>
        <v>0</v>
      </c>
      <c r="DI2">
        <f>ROUND(ROUND(AH2,2)*CX2,2)</f>
        <v>0</v>
      </c>
      <c r="DJ2">
        <f>DF2</f>
        <v>0</v>
      </c>
      <c r="DK2">
        <v>0</v>
      </c>
      <c r="DL2" t="s">
        <v>3</v>
      </c>
      <c r="DM2">
        <v>0</v>
      </c>
      <c r="DN2" t="s">
        <v>3</v>
      </c>
      <c r="DO2">
        <v>0</v>
      </c>
    </row>
    <row r="3" spans="1:119" x14ac:dyDescent="0.2">
      <c r="A3">
        <f>ROW(Source!A26)</f>
        <v>26</v>
      </c>
      <c r="B3">
        <v>145033679</v>
      </c>
      <c r="C3">
        <v>145040314</v>
      </c>
      <c r="D3">
        <v>140760027</v>
      </c>
      <c r="E3">
        <v>70</v>
      </c>
      <c r="F3">
        <v>1</v>
      </c>
      <c r="G3">
        <v>1</v>
      </c>
      <c r="H3">
        <v>1</v>
      </c>
      <c r="I3" t="s">
        <v>728</v>
      </c>
      <c r="J3" t="s">
        <v>3</v>
      </c>
      <c r="K3" t="s">
        <v>729</v>
      </c>
      <c r="L3">
        <v>1191</v>
      </c>
      <c r="N3">
        <v>1013</v>
      </c>
      <c r="O3" t="s">
        <v>725</v>
      </c>
      <c r="P3" t="s">
        <v>725</v>
      </c>
      <c r="Q3">
        <v>1</v>
      </c>
      <c r="W3">
        <v>0</v>
      </c>
      <c r="X3">
        <v>1608048003</v>
      </c>
      <c r="Y3">
        <f>(AT3*1.15)</f>
        <v>6.8999999999999995</v>
      </c>
      <c r="AA3">
        <v>0</v>
      </c>
      <c r="AB3">
        <v>0</v>
      </c>
      <c r="AC3">
        <v>0</v>
      </c>
      <c r="AD3">
        <v>290.44</v>
      </c>
      <c r="AE3">
        <v>0</v>
      </c>
      <c r="AF3">
        <v>0</v>
      </c>
      <c r="AG3">
        <v>0</v>
      </c>
      <c r="AH3">
        <v>9.51</v>
      </c>
      <c r="AI3">
        <v>1</v>
      </c>
      <c r="AJ3">
        <v>1</v>
      </c>
      <c r="AK3">
        <v>1</v>
      </c>
      <c r="AL3">
        <v>30.54</v>
      </c>
      <c r="AM3">
        <v>4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6</v>
      </c>
      <c r="AU3" t="s">
        <v>21</v>
      </c>
      <c r="AV3">
        <v>1</v>
      </c>
      <c r="AW3">
        <v>2</v>
      </c>
      <c r="AX3">
        <v>145040315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ROUND(Y3*Source!I26,9)</f>
        <v>2.3349600000000001</v>
      </c>
      <c r="CY3">
        <f>AD3</f>
        <v>290.44</v>
      </c>
      <c r="CZ3">
        <f>AH3</f>
        <v>9.51</v>
      </c>
      <c r="DA3">
        <f>AL3</f>
        <v>30.54</v>
      </c>
      <c r="DB3">
        <f>ROUND((ROUND(AT3*CZ3,2)*1.15),2)</f>
        <v>65.62</v>
      </c>
      <c r="DC3">
        <f>ROUND((ROUND(AT3*AG3,2)*1.15),2)</f>
        <v>0</v>
      </c>
      <c r="DD3" t="s">
        <v>3</v>
      </c>
      <c r="DE3" t="s">
        <v>3</v>
      </c>
      <c r="DF3">
        <f>ROUND(ROUND(AE3,2)*CX3,2)</f>
        <v>0</v>
      </c>
      <c r="DG3">
        <f>ROUND(ROUND(AF3,2)*CX3,2)</f>
        <v>0</v>
      </c>
      <c r="DH3">
        <f>ROUND(ROUND(AG3,2)*CX3,2)</f>
        <v>0</v>
      </c>
      <c r="DI3">
        <f>ROUND(ROUND(AH3*AL3,2)*CX3,2)</f>
        <v>678.17</v>
      </c>
      <c r="DJ3">
        <f>DI3</f>
        <v>678.17</v>
      </c>
      <c r="DK3">
        <v>0</v>
      </c>
      <c r="DL3" t="s">
        <v>3</v>
      </c>
      <c r="DM3">
        <v>0</v>
      </c>
      <c r="DN3" t="s">
        <v>3</v>
      </c>
      <c r="DO3">
        <v>0</v>
      </c>
    </row>
    <row r="4" spans="1:119" x14ac:dyDescent="0.2">
      <c r="A4">
        <f>ROW(Source!A26)</f>
        <v>26</v>
      </c>
      <c r="B4">
        <v>145033679</v>
      </c>
      <c r="C4">
        <v>145040314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730</v>
      </c>
      <c r="J4" t="s">
        <v>3</v>
      </c>
      <c r="K4" t="s">
        <v>731</v>
      </c>
      <c r="L4">
        <v>1191</v>
      </c>
      <c r="N4">
        <v>1013</v>
      </c>
      <c r="O4" t="s">
        <v>725</v>
      </c>
      <c r="P4" t="s">
        <v>725</v>
      </c>
      <c r="Q4">
        <v>1</v>
      </c>
      <c r="W4">
        <v>0</v>
      </c>
      <c r="X4">
        <v>-1417349443</v>
      </c>
      <c r="Y4">
        <f>(AT4*1.15)</f>
        <v>3.4499999999999996E-2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30.54</v>
      </c>
      <c r="AL4">
        <v>1</v>
      </c>
      <c r="AM4">
        <v>4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0.03</v>
      </c>
      <c r="AU4" t="s">
        <v>21</v>
      </c>
      <c r="AV4">
        <v>2</v>
      </c>
      <c r="AW4">
        <v>2</v>
      </c>
      <c r="AX4">
        <v>145040316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ROUND(Y4*Source!I26,9)</f>
        <v>1.1674800000000001E-2</v>
      </c>
      <c r="CY4">
        <f>AD4</f>
        <v>0</v>
      </c>
      <c r="CZ4">
        <f>AH4</f>
        <v>0</v>
      </c>
      <c r="DA4">
        <f>AL4</f>
        <v>1</v>
      </c>
      <c r="DB4">
        <f>ROUND((ROUND(AT4*CZ4,2)*1.15),2)</f>
        <v>0</v>
      </c>
      <c r="DC4">
        <f>ROUND((ROUND(AT4*AG4,2)*1.15),2)</f>
        <v>0</v>
      </c>
      <c r="DD4" t="s">
        <v>3</v>
      </c>
      <c r="DE4" t="s">
        <v>3</v>
      </c>
      <c r="DF4">
        <f>ROUND(ROUND(AE4,2)*CX4,2)</f>
        <v>0</v>
      </c>
      <c r="DG4">
        <f>ROUND(ROUND(AF4,2)*CX4,2)</f>
        <v>0</v>
      </c>
      <c r="DH4">
        <f>ROUND(ROUND(AG4*AK4,2)*CX4,2)</f>
        <v>0</v>
      </c>
      <c r="DI4">
        <f>ROUND(ROUND(AH4,2)*CX4,2)</f>
        <v>0</v>
      </c>
      <c r="DJ4">
        <f>DI4</f>
        <v>0</v>
      </c>
      <c r="DK4">
        <v>0</v>
      </c>
      <c r="DL4" t="s">
        <v>3</v>
      </c>
      <c r="DM4">
        <v>0</v>
      </c>
      <c r="DN4" t="s">
        <v>3</v>
      </c>
      <c r="DO4">
        <v>0</v>
      </c>
    </row>
    <row r="5" spans="1:119" x14ac:dyDescent="0.2">
      <c r="A5">
        <f>ROW(Source!A26)</f>
        <v>26</v>
      </c>
      <c r="B5">
        <v>145033679</v>
      </c>
      <c r="C5">
        <v>145040314</v>
      </c>
      <c r="D5">
        <v>140923885</v>
      </c>
      <c r="E5">
        <v>1</v>
      </c>
      <c r="F5">
        <v>1</v>
      </c>
      <c r="G5">
        <v>1</v>
      </c>
      <c r="H5">
        <v>2</v>
      </c>
      <c r="I5" t="s">
        <v>732</v>
      </c>
      <c r="J5" t="s">
        <v>733</v>
      </c>
      <c r="K5" t="s">
        <v>734</v>
      </c>
      <c r="L5">
        <v>1367</v>
      </c>
      <c r="N5">
        <v>1011</v>
      </c>
      <c r="O5" t="s">
        <v>79</v>
      </c>
      <c r="P5" t="s">
        <v>79</v>
      </c>
      <c r="Q5">
        <v>1</v>
      </c>
      <c r="W5">
        <v>0</v>
      </c>
      <c r="X5">
        <v>509054691</v>
      </c>
      <c r="Y5">
        <f>(AT5*1.15)</f>
        <v>3.4499999999999996E-2</v>
      </c>
      <c r="AA5">
        <v>0</v>
      </c>
      <c r="AB5">
        <v>797.06</v>
      </c>
      <c r="AC5">
        <v>354.26</v>
      </c>
      <c r="AD5">
        <v>0</v>
      </c>
      <c r="AE5">
        <v>0</v>
      </c>
      <c r="AF5">
        <v>65.709999999999994</v>
      </c>
      <c r="AG5">
        <v>11.6</v>
      </c>
      <c r="AH5">
        <v>0</v>
      </c>
      <c r="AI5">
        <v>1</v>
      </c>
      <c r="AJ5">
        <v>12.13</v>
      </c>
      <c r="AK5">
        <v>30.54</v>
      </c>
      <c r="AL5">
        <v>1</v>
      </c>
      <c r="AM5">
        <v>4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0.03</v>
      </c>
      <c r="AU5" t="s">
        <v>21</v>
      </c>
      <c r="AV5">
        <v>0</v>
      </c>
      <c r="AW5">
        <v>2</v>
      </c>
      <c r="AX5">
        <v>145040317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ROUND(Y5*Source!I26,9)</f>
        <v>1.1674800000000001E-2</v>
      </c>
      <c r="CY5">
        <f>AB5</f>
        <v>797.06</v>
      </c>
      <c r="CZ5">
        <f>AF5</f>
        <v>65.709999999999994</v>
      </c>
      <c r="DA5">
        <f>AJ5</f>
        <v>12.13</v>
      </c>
      <c r="DB5">
        <f>ROUND((ROUND(AT5*CZ5,2)*1.15),2)</f>
        <v>2.27</v>
      </c>
      <c r="DC5">
        <f>ROUND((ROUND(AT5*AG5,2)*1.15),2)</f>
        <v>0.4</v>
      </c>
      <c r="DD5" t="s">
        <v>3</v>
      </c>
      <c r="DE5" t="s">
        <v>3</v>
      </c>
      <c r="DF5">
        <f>ROUND(ROUND(AE5,2)*CX5,2)</f>
        <v>0</v>
      </c>
      <c r="DG5">
        <f>ROUND(ROUND(AF5*AJ5,2)*CX5,2)</f>
        <v>9.31</v>
      </c>
      <c r="DH5">
        <f>ROUND(ROUND(AG5*AK5,2)*CX5,2)</f>
        <v>4.1399999999999997</v>
      </c>
      <c r="DI5">
        <f>ROUND(ROUND(AH5,2)*CX5,2)</f>
        <v>0</v>
      </c>
      <c r="DJ5">
        <f>DG5</f>
        <v>9.31</v>
      </c>
      <c r="DK5">
        <v>0</v>
      </c>
      <c r="DL5" t="s">
        <v>3</v>
      </c>
      <c r="DM5">
        <v>0</v>
      </c>
      <c r="DN5" t="s">
        <v>3</v>
      </c>
      <c r="DO5">
        <v>0</v>
      </c>
    </row>
    <row r="6" spans="1:119" x14ac:dyDescent="0.2">
      <c r="A6">
        <f>ROW(Source!A26)</f>
        <v>26</v>
      </c>
      <c r="B6">
        <v>145033679</v>
      </c>
      <c r="C6">
        <v>145040314</v>
      </c>
      <c r="D6">
        <v>140772680</v>
      </c>
      <c r="E6">
        <v>1</v>
      </c>
      <c r="F6">
        <v>1</v>
      </c>
      <c r="G6">
        <v>1</v>
      </c>
      <c r="H6">
        <v>3</v>
      </c>
      <c r="I6" t="s">
        <v>735</v>
      </c>
      <c r="J6" t="s">
        <v>736</v>
      </c>
      <c r="K6" t="s">
        <v>737</v>
      </c>
      <c r="L6">
        <v>1339</v>
      </c>
      <c r="N6">
        <v>1007</v>
      </c>
      <c r="O6" t="s">
        <v>66</v>
      </c>
      <c r="P6" t="s">
        <v>66</v>
      </c>
      <c r="Q6">
        <v>1</v>
      </c>
      <c r="W6">
        <v>0</v>
      </c>
      <c r="X6">
        <v>-143474561</v>
      </c>
      <c r="Y6">
        <f>AT6</f>
        <v>8.0000000000000002E-3</v>
      </c>
      <c r="AA6">
        <v>21.25</v>
      </c>
      <c r="AB6">
        <v>0</v>
      </c>
      <c r="AC6">
        <v>0</v>
      </c>
      <c r="AD6">
        <v>0</v>
      </c>
      <c r="AE6">
        <v>2.44</v>
      </c>
      <c r="AF6">
        <v>0</v>
      </c>
      <c r="AG6">
        <v>0</v>
      </c>
      <c r="AH6">
        <v>0</v>
      </c>
      <c r="AI6">
        <v>8.7100000000000009</v>
      </c>
      <c r="AJ6">
        <v>1</v>
      </c>
      <c r="AK6">
        <v>1</v>
      </c>
      <c r="AL6">
        <v>1</v>
      </c>
      <c r="AM6">
        <v>4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8.0000000000000002E-3</v>
      </c>
      <c r="AU6" t="s">
        <v>3</v>
      </c>
      <c r="AV6">
        <v>0</v>
      </c>
      <c r="AW6">
        <v>2</v>
      </c>
      <c r="AX6">
        <v>145040318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ROUND(Y6*Source!I26,9)</f>
        <v>2.7071999999999999E-3</v>
      </c>
      <c r="CY6">
        <f>AA6</f>
        <v>21.25</v>
      </c>
      <c r="CZ6">
        <f>AE6</f>
        <v>2.44</v>
      </c>
      <c r="DA6">
        <f>AI6</f>
        <v>8.7100000000000009</v>
      </c>
      <c r="DB6">
        <f>ROUND(ROUND(AT6*CZ6,2),2)</f>
        <v>0.02</v>
      </c>
      <c r="DC6">
        <f>ROUND(ROUND(AT6*AG6,2),2)</f>
        <v>0</v>
      </c>
      <c r="DD6" t="s">
        <v>3</v>
      </c>
      <c r="DE6" t="s">
        <v>3</v>
      </c>
      <c r="DF6">
        <f>ROUND(ROUND(AE6*AI6,2)*CX6,2)</f>
        <v>0.06</v>
      </c>
      <c r="DG6">
        <f>ROUND(ROUND(AF6,2)*CX6,2)</f>
        <v>0</v>
      </c>
      <c r="DH6">
        <f>ROUND(ROUND(AG6,2)*CX6,2)</f>
        <v>0</v>
      </c>
      <c r="DI6">
        <f>ROUND(ROUND(AH6,2)*CX6,2)</f>
        <v>0</v>
      </c>
      <c r="DJ6">
        <f>DF6</f>
        <v>0.06</v>
      </c>
      <c r="DK6">
        <v>0</v>
      </c>
      <c r="DL6" t="s">
        <v>3</v>
      </c>
      <c r="DM6">
        <v>0</v>
      </c>
      <c r="DN6" t="s">
        <v>3</v>
      </c>
      <c r="DO6">
        <v>0</v>
      </c>
    </row>
    <row r="7" spans="1:119" x14ac:dyDescent="0.2">
      <c r="A7">
        <f>ROW(Source!A26)</f>
        <v>26</v>
      </c>
      <c r="B7">
        <v>145033679</v>
      </c>
      <c r="C7">
        <v>145040314</v>
      </c>
      <c r="D7">
        <v>140778438</v>
      </c>
      <c r="E7">
        <v>1</v>
      </c>
      <c r="F7">
        <v>1</v>
      </c>
      <c r="G7">
        <v>1</v>
      </c>
      <c r="H7">
        <v>3</v>
      </c>
      <c r="I7" t="s">
        <v>41</v>
      </c>
      <c r="J7" t="s">
        <v>44</v>
      </c>
      <c r="K7" t="s">
        <v>42</v>
      </c>
      <c r="L7">
        <v>1346</v>
      </c>
      <c r="N7">
        <v>1009</v>
      </c>
      <c r="O7" t="s">
        <v>43</v>
      </c>
      <c r="P7" t="s">
        <v>43</v>
      </c>
      <c r="Q7">
        <v>1</v>
      </c>
      <c r="W7">
        <v>1</v>
      </c>
      <c r="X7">
        <v>1351658750</v>
      </c>
      <c r="Y7">
        <f>AT7</f>
        <v>-27.75</v>
      </c>
      <c r="AA7">
        <v>525.74</v>
      </c>
      <c r="AB7">
        <v>0</v>
      </c>
      <c r="AC7">
        <v>0</v>
      </c>
      <c r="AD7">
        <v>0</v>
      </c>
      <c r="AE7">
        <v>60.36</v>
      </c>
      <c r="AF7">
        <v>0</v>
      </c>
      <c r="AG7">
        <v>0</v>
      </c>
      <c r="AH7">
        <v>0</v>
      </c>
      <c r="AI7">
        <v>8.7100000000000009</v>
      </c>
      <c r="AJ7">
        <v>1</v>
      </c>
      <c r="AK7">
        <v>1</v>
      </c>
      <c r="AL7">
        <v>1</v>
      </c>
      <c r="AM7">
        <v>4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-27.75</v>
      </c>
      <c r="AU7" t="s">
        <v>3</v>
      </c>
      <c r="AV7">
        <v>0</v>
      </c>
      <c r="AW7">
        <v>2</v>
      </c>
      <c r="AX7">
        <v>145040319</v>
      </c>
      <c r="AY7">
        <v>1</v>
      </c>
      <c r="AZ7">
        <v>6144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ROUND(Y7*Source!I26,9)</f>
        <v>-9.3905999999999992</v>
      </c>
      <c r="CY7">
        <f>AA7</f>
        <v>525.74</v>
      </c>
      <c r="CZ7">
        <f>AE7</f>
        <v>60.36</v>
      </c>
      <c r="DA7">
        <f>AI7</f>
        <v>8.7100000000000009</v>
      </c>
      <c r="DB7">
        <f>ROUND(ROUND(AT7*CZ7,2),2)</f>
        <v>-1674.99</v>
      </c>
      <c r="DC7">
        <f>ROUND(ROUND(AT7*AG7,2),2)</f>
        <v>0</v>
      </c>
      <c r="DD7" t="s">
        <v>3</v>
      </c>
      <c r="DE7" t="s">
        <v>3</v>
      </c>
      <c r="DF7">
        <f>ROUND(ROUND(AE7*AI7,2)*CX7,2)</f>
        <v>-4937.01</v>
      </c>
      <c r="DG7">
        <f>ROUND(ROUND(AF7,2)*CX7,2)</f>
        <v>0</v>
      </c>
      <c r="DH7">
        <f>ROUND(ROUND(AG7,2)*CX7,2)</f>
        <v>0</v>
      </c>
      <c r="DI7">
        <f>ROUND(ROUND(AH7,2)*CX7,2)</f>
        <v>0</v>
      </c>
      <c r="DJ7">
        <f>DF7</f>
        <v>-4937.01</v>
      </c>
      <c r="DK7">
        <v>0</v>
      </c>
      <c r="DL7" t="s">
        <v>3</v>
      </c>
      <c r="DM7">
        <v>0</v>
      </c>
      <c r="DN7" t="s">
        <v>3</v>
      </c>
      <c r="DO7">
        <v>0</v>
      </c>
    </row>
    <row r="8" spans="1:119" x14ac:dyDescent="0.2">
      <c r="A8">
        <f>ROW(Source!A29)</f>
        <v>29</v>
      </c>
      <c r="B8">
        <v>145033679</v>
      </c>
      <c r="C8">
        <v>145040255</v>
      </c>
      <c r="D8">
        <v>140759991</v>
      </c>
      <c r="E8">
        <v>70</v>
      </c>
      <c r="F8">
        <v>1</v>
      </c>
      <c r="G8">
        <v>1</v>
      </c>
      <c r="H8">
        <v>1</v>
      </c>
      <c r="I8" t="s">
        <v>738</v>
      </c>
      <c r="J8" t="s">
        <v>3</v>
      </c>
      <c r="K8" t="s">
        <v>739</v>
      </c>
      <c r="L8">
        <v>1191</v>
      </c>
      <c r="N8">
        <v>1013</v>
      </c>
      <c r="O8" t="s">
        <v>725</v>
      </c>
      <c r="P8" t="s">
        <v>725</v>
      </c>
      <c r="Q8">
        <v>1</v>
      </c>
      <c r="W8">
        <v>0</v>
      </c>
      <c r="X8">
        <v>-112797078</v>
      </c>
      <c r="Y8">
        <f>(AT8*1.15)</f>
        <v>55.050499999999992</v>
      </c>
      <c r="AA8">
        <v>0</v>
      </c>
      <c r="AB8">
        <v>0</v>
      </c>
      <c r="AC8">
        <v>0</v>
      </c>
      <c r="AD8">
        <v>273.94</v>
      </c>
      <c r="AE8">
        <v>0</v>
      </c>
      <c r="AF8">
        <v>0</v>
      </c>
      <c r="AG8">
        <v>0</v>
      </c>
      <c r="AH8">
        <v>8.9700000000000006</v>
      </c>
      <c r="AI8">
        <v>1</v>
      </c>
      <c r="AJ8">
        <v>1</v>
      </c>
      <c r="AK8">
        <v>1</v>
      </c>
      <c r="AL8">
        <v>30.54</v>
      </c>
      <c r="AM8">
        <v>4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47.87</v>
      </c>
      <c r="AU8" t="s">
        <v>21</v>
      </c>
      <c r="AV8">
        <v>1</v>
      </c>
      <c r="AW8">
        <v>2</v>
      </c>
      <c r="AX8">
        <v>145040256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ROUND(Y8*Source!I29,9)</f>
        <v>6.9859084500000002</v>
      </c>
      <c r="CY8">
        <f>AD8</f>
        <v>273.94</v>
      </c>
      <c r="CZ8">
        <f>AH8</f>
        <v>8.9700000000000006</v>
      </c>
      <c r="DA8">
        <f>AL8</f>
        <v>30.54</v>
      </c>
      <c r="DB8">
        <f>ROUND((ROUND(AT8*CZ8,2)*1.15),2)</f>
        <v>493.8</v>
      </c>
      <c r="DC8">
        <f>ROUND((ROUND(AT8*AG8,2)*1.15),2)</f>
        <v>0</v>
      </c>
      <c r="DD8" t="s">
        <v>3</v>
      </c>
      <c r="DE8" t="s">
        <v>3</v>
      </c>
      <c r="DF8">
        <f>ROUND(ROUND(AE8,2)*CX8,2)</f>
        <v>0</v>
      </c>
      <c r="DG8">
        <f>ROUND(ROUND(AF8,2)*CX8,2)</f>
        <v>0</v>
      </c>
      <c r="DH8">
        <f>ROUND(ROUND(AG8,2)*CX8,2)</f>
        <v>0</v>
      </c>
      <c r="DI8">
        <f>ROUND(ROUND(AH8*AL8,2)*CX8,2)</f>
        <v>1913.72</v>
      </c>
      <c r="DJ8">
        <f>DI8</f>
        <v>1913.72</v>
      </c>
      <c r="DK8">
        <v>0</v>
      </c>
      <c r="DL8" t="s">
        <v>3</v>
      </c>
      <c r="DM8">
        <v>0</v>
      </c>
      <c r="DN8" t="s">
        <v>3</v>
      </c>
      <c r="DO8">
        <v>0</v>
      </c>
    </row>
    <row r="9" spans="1:119" x14ac:dyDescent="0.2">
      <c r="A9">
        <f>ROW(Source!A29)</f>
        <v>29</v>
      </c>
      <c r="B9">
        <v>145033679</v>
      </c>
      <c r="C9">
        <v>145040255</v>
      </c>
      <c r="D9">
        <v>140760225</v>
      </c>
      <c r="E9">
        <v>70</v>
      </c>
      <c r="F9">
        <v>1</v>
      </c>
      <c r="G9">
        <v>1</v>
      </c>
      <c r="H9">
        <v>1</v>
      </c>
      <c r="I9" t="s">
        <v>730</v>
      </c>
      <c r="J9" t="s">
        <v>3</v>
      </c>
      <c r="K9" t="s">
        <v>731</v>
      </c>
      <c r="L9">
        <v>1191</v>
      </c>
      <c r="N9">
        <v>1013</v>
      </c>
      <c r="O9" t="s">
        <v>725</v>
      </c>
      <c r="P9" t="s">
        <v>725</v>
      </c>
      <c r="Q9">
        <v>1</v>
      </c>
      <c r="W9">
        <v>0</v>
      </c>
      <c r="X9">
        <v>-1417349443</v>
      </c>
      <c r="Y9">
        <f>(AT9*1.15)</f>
        <v>1.7479999999999998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30.54</v>
      </c>
      <c r="AL9">
        <v>1</v>
      </c>
      <c r="AM9">
        <v>4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1.52</v>
      </c>
      <c r="AU9" t="s">
        <v>21</v>
      </c>
      <c r="AV9">
        <v>2</v>
      </c>
      <c r="AW9">
        <v>2</v>
      </c>
      <c r="AX9">
        <v>145040257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ROUND(Y9*Source!I29,9)</f>
        <v>0.2218212</v>
      </c>
      <c r="CY9">
        <f>AD9</f>
        <v>0</v>
      </c>
      <c r="CZ9">
        <f>AH9</f>
        <v>0</v>
      </c>
      <c r="DA9">
        <f>AL9</f>
        <v>1</v>
      </c>
      <c r="DB9">
        <f>ROUND((ROUND(AT9*CZ9,2)*1.15),2)</f>
        <v>0</v>
      </c>
      <c r="DC9">
        <f>ROUND((ROUND(AT9*AG9,2)*1.15),2)</f>
        <v>0</v>
      </c>
      <c r="DD9" t="s">
        <v>3</v>
      </c>
      <c r="DE9" t="s">
        <v>3</v>
      </c>
      <c r="DF9">
        <f>ROUND(ROUND(AE9,2)*CX9,2)</f>
        <v>0</v>
      </c>
      <c r="DG9">
        <f>ROUND(ROUND(AF9,2)*CX9,2)</f>
        <v>0</v>
      </c>
      <c r="DH9">
        <f>ROUND(ROUND(AG9*AK9,2)*CX9,2)</f>
        <v>0</v>
      </c>
      <c r="DI9">
        <f>ROUND(ROUND(AH9,2)*CX9,2)</f>
        <v>0</v>
      </c>
      <c r="DJ9">
        <f>DI9</f>
        <v>0</v>
      </c>
      <c r="DK9">
        <v>0</v>
      </c>
      <c r="DL9" t="s">
        <v>3</v>
      </c>
      <c r="DM9">
        <v>0</v>
      </c>
      <c r="DN9" t="s">
        <v>3</v>
      </c>
      <c r="DO9">
        <v>0</v>
      </c>
    </row>
    <row r="10" spans="1:119" x14ac:dyDescent="0.2">
      <c r="A10">
        <f>ROW(Source!A29)</f>
        <v>29</v>
      </c>
      <c r="B10">
        <v>145033679</v>
      </c>
      <c r="C10">
        <v>145040255</v>
      </c>
      <c r="D10">
        <v>140923885</v>
      </c>
      <c r="E10">
        <v>1</v>
      </c>
      <c r="F10">
        <v>1</v>
      </c>
      <c r="G10">
        <v>1</v>
      </c>
      <c r="H10">
        <v>2</v>
      </c>
      <c r="I10" t="s">
        <v>732</v>
      </c>
      <c r="J10" t="s">
        <v>733</v>
      </c>
      <c r="K10" t="s">
        <v>734</v>
      </c>
      <c r="L10">
        <v>1367</v>
      </c>
      <c r="N10">
        <v>1011</v>
      </c>
      <c r="O10" t="s">
        <v>79</v>
      </c>
      <c r="P10" t="s">
        <v>79</v>
      </c>
      <c r="Q10">
        <v>1</v>
      </c>
      <c r="W10">
        <v>0</v>
      </c>
      <c r="X10">
        <v>509054691</v>
      </c>
      <c r="Y10">
        <f>(AT10*1.15)</f>
        <v>1.7479999999999998</v>
      </c>
      <c r="AA10">
        <v>0</v>
      </c>
      <c r="AB10">
        <v>797.06</v>
      </c>
      <c r="AC10">
        <v>354.26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12.13</v>
      </c>
      <c r="AK10">
        <v>30.54</v>
      </c>
      <c r="AL10">
        <v>1</v>
      </c>
      <c r="AM10">
        <v>4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1.52</v>
      </c>
      <c r="AU10" t="s">
        <v>21</v>
      </c>
      <c r="AV10">
        <v>0</v>
      </c>
      <c r="AW10">
        <v>2</v>
      </c>
      <c r="AX10">
        <v>145040258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ROUND(Y10*Source!I29,9)</f>
        <v>0.2218212</v>
      </c>
      <c r="CY10">
        <f>AB10</f>
        <v>797.06</v>
      </c>
      <c r="CZ10">
        <f>AF10</f>
        <v>65.709999999999994</v>
      </c>
      <c r="DA10">
        <f>AJ10</f>
        <v>12.13</v>
      </c>
      <c r="DB10">
        <f>ROUND((ROUND(AT10*CZ10,2)*1.15),2)</f>
        <v>114.86</v>
      </c>
      <c r="DC10">
        <f>ROUND((ROUND(AT10*AG10,2)*1.15),2)</f>
        <v>20.27</v>
      </c>
      <c r="DD10" t="s">
        <v>3</v>
      </c>
      <c r="DE10" t="s">
        <v>3</v>
      </c>
      <c r="DF10">
        <f>ROUND(ROUND(AE10,2)*CX10,2)</f>
        <v>0</v>
      </c>
      <c r="DG10">
        <f>ROUND(ROUND(AF10*AJ10,2)*CX10,2)</f>
        <v>176.8</v>
      </c>
      <c r="DH10">
        <f>ROUND(ROUND(AG10*AK10,2)*CX10,2)</f>
        <v>78.58</v>
      </c>
      <c r="DI10">
        <f>ROUND(ROUND(AH10,2)*CX10,2)</f>
        <v>0</v>
      </c>
      <c r="DJ10">
        <f>DG10</f>
        <v>176.8</v>
      </c>
      <c r="DK10">
        <v>0</v>
      </c>
      <c r="DL10" t="s">
        <v>3</v>
      </c>
      <c r="DM10">
        <v>0</v>
      </c>
      <c r="DN10" t="s">
        <v>3</v>
      </c>
      <c r="DO10">
        <v>0</v>
      </c>
    </row>
    <row r="11" spans="1:119" x14ac:dyDescent="0.2">
      <c r="A11">
        <f>ROW(Source!A29)</f>
        <v>29</v>
      </c>
      <c r="B11">
        <v>145033679</v>
      </c>
      <c r="C11">
        <v>145040255</v>
      </c>
      <c r="D11">
        <v>140772680</v>
      </c>
      <c r="E11">
        <v>1</v>
      </c>
      <c r="F11">
        <v>1</v>
      </c>
      <c r="G11">
        <v>1</v>
      </c>
      <c r="H11">
        <v>3</v>
      </c>
      <c r="I11" t="s">
        <v>735</v>
      </c>
      <c r="J11" t="s">
        <v>736</v>
      </c>
      <c r="K11" t="s">
        <v>737</v>
      </c>
      <c r="L11">
        <v>1339</v>
      </c>
      <c r="N11">
        <v>1007</v>
      </c>
      <c r="O11" t="s">
        <v>66</v>
      </c>
      <c r="P11" t="s">
        <v>66</v>
      </c>
      <c r="Q11">
        <v>1</v>
      </c>
      <c r="W11">
        <v>0</v>
      </c>
      <c r="X11">
        <v>-143474561</v>
      </c>
      <c r="Y11">
        <f>AT11</f>
        <v>0</v>
      </c>
      <c r="AA11">
        <v>21.25</v>
      </c>
      <c r="AB11">
        <v>0</v>
      </c>
      <c r="AC11">
        <v>0</v>
      </c>
      <c r="AD11">
        <v>0</v>
      </c>
      <c r="AE11">
        <v>2.44</v>
      </c>
      <c r="AF11">
        <v>0</v>
      </c>
      <c r="AG11">
        <v>0</v>
      </c>
      <c r="AH11">
        <v>0</v>
      </c>
      <c r="AI11">
        <v>8.7100000000000009</v>
      </c>
      <c r="AJ11">
        <v>1</v>
      </c>
      <c r="AK11">
        <v>1</v>
      </c>
      <c r="AL11">
        <v>1</v>
      </c>
      <c r="AM11">
        <v>4</v>
      </c>
      <c r="AN11">
        <v>1</v>
      </c>
      <c r="AO11">
        <v>0</v>
      </c>
      <c r="AP11">
        <v>0</v>
      </c>
      <c r="AQ11">
        <v>0</v>
      </c>
      <c r="AR11">
        <v>0</v>
      </c>
      <c r="AS11" t="s">
        <v>3</v>
      </c>
      <c r="AT11">
        <v>0</v>
      </c>
      <c r="AU11" t="s">
        <v>3</v>
      </c>
      <c r="AV11">
        <v>0</v>
      </c>
      <c r="AW11">
        <v>2</v>
      </c>
      <c r="AX11">
        <v>145040259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ROUND(Y11*Source!I29,9)</f>
        <v>0</v>
      </c>
      <c r="CY11">
        <f>AA11</f>
        <v>21.25</v>
      </c>
      <c r="CZ11">
        <f>AE11</f>
        <v>2.44</v>
      </c>
      <c r="DA11">
        <f>AI11</f>
        <v>8.7100000000000009</v>
      </c>
      <c r="DB11">
        <f>ROUND(ROUND(AT11*CZ11,2),2)</f>
        <v>0</v>
      </c>
      <c r="DC11">
        <f>ROUND(ROUND(AT11*AG11,2),2)</f>
        <v>0</v>
      </c>
      <c r="DD11" t="s">
        <v>3</v>
      </c>
      <c r="DE11" t="s">
        <v>3</v>
      </c>
      <c r="DF11">
        <f>ROUND(ROUND(AE11*AI11,2)*CX11,2)</f>
        <v>0</v>
      </c>
      <c r="DG11">
        <f>ROUND(ROUND(AF11,2)*CX11,2)</f>
        <v>0</v>
      </c>
      <c r="DH11">
        <f>ROUND(ROUND(AG11,2)*CX11,2)</f>
        <v>0</v>
      </c>
      <c r="DI11">
        <f>ROUND(ROUND(AH11,2)*CX11,2)</f>
        <v>0</v>
      </c>
      <c r="DJ11">
        <f>DF11</f>
        <v>0</v>
      </c>
      <c r="DK11">
        <v>0</v>
      </c>
      <c r="DL11" t="s">
        <v>3</v>
      </c>
      <c r="DM11">
        <v>0</v>
      </c>
      <c r="DN11" t="s">
        <v>3</v>
      </c>
      <c r="DO11">
        <v>0</v>
      </c>
    </row>
    <row r="12" spans="1:119" x14ac:dyDescent="0.2">
      <c r="A12">
        <f>ROW(Source!A29)</f>
        <v>29</v>
      </c>
      <c r="B12">
        <v>145033679</v>
      </c>
      <c r="C12">
        <v>145040255</v>
      </c>
      <c r="D12">
        <v>140761147</v>
      </c>
      <c r="E12">
        <v>70</v>
      </c>
      <c r="F12">
        <v>1</v>
      </c>
      <c r="G12">
        <v>1</v>
      </c>
      <c r="H12">
        <v>3</v>
      </c>
      <c r="I12" t="s">
        <v>740</v>
      </c>
      <c r="J12" t="s">
        <v>3</v>
      </c>
      <c r="K12" t="s">
        <v>741</v>
      </c>
      <c r="L12">
        <v>1346</v>
      </c>
      <c r="N12">
        <v>1009</v>
      </c>
      <c r="O12" t="s">
        <v>43</v>
      </c>
      <c r="P12" t="s">
        <v>43</v>
      </c>
      <c r="Q12">
        <v>1</v>
      </c>
      <c r="W12">
        <v>0</v>
      </c>
      <c r="X12">
        <v>-1123584527</v>
      </c>
      <c r="Y12">
        <f>AT12</f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8.7100000000000009</v>
      </c>
      <c r="AJ12">
        <v>1</v>
      </c>
      <c r="AK12">
        <v>1</v>
      </c>
      <c r="AL12">
        <v>1</v>
      </c>
      <c r="AM12">
        <v>4</v>
      </c>
      <c r="AN12">
        <v>1</v>
      </c>
      <c r="AO12">
        <v>0</v>
      </c>
      <c r="AP12">
        <v>0</v>
      </c>
      <c r="AQ12">
        <v>0</v>
      </c>
      <c r="AR12">
        <v>0</v>
      </c>
      <c r="AS12" t="s">
        <v>3</v>
      </c>
      <c r="AT12">
        <v>0</v>
      </c>
      <c r="AU12" t="s">
        <v>3</v>
      </c>
      <c r="AV12">
        <v>0</v>
      </c>
      <c r="AW12">
        <v>2</v>
      </c>
      <c r="AX12">
        <v>145040260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ROUND(Y12*Source!I29,9)</f>
        <v>0</v>
      </c>
      <c r="CY12">
        <f>AA12</f>
        <v>0</v>
      </c>
      <c r="CZ12">
        <f>AE12</f>
        <v>0</v>
      </c>
      <c r="DA12">
        <f>AI12</f>
        <v>8.7100000000000009</v>
      </c>
      <c r="DB12">
        <f>ROUND(ROUND(AT12*CZ12,2),2)</f>
        <v>0</v>
      </c>
      <c r="DC12">
        <f>ROUND(ROUND(AT12*AG12,2),2)</f>
        <v>0</v>
      </c>
      <c r="DD12" t="s">
        <v>3</v>
      </c>
      <c r="DE12" t="s">
        <v>3</v>
      </c>
      <c r="DF12">
        <f>ROUND(ROUND(AE12*AI12,2)*CX12,2)</f>
        <v>0</v>
      </c>
      <c r="DG12">
        <f>ROUND(ROUND(AF12,2)*CX12,2)</f>
        <v>0</v>
      </c>
      <c r="DH12">
        <f>ROUND(ROUND(AG12,2)*CX12,2)</f>
        <v>0</v>
      </c>
      <c r="DI12">
        <f>ROUND(ROUND(AH12,2)*CX12,2)</f>
        <v>0</v>
      </c>
      <c r="DJ12">
        <f>DF12</f>
        <v>0</v>
      </c>
      <c r="DK12">
        <v>0</v>
      </c>
      <c r="DL12" t="s">
        <v>3</v>
      </c>
      <c r="DM12">
        <v>0</v>
      </c>
      <c r="DN12" t="s">
        <v>3</v>
      </c>
      <c r="DO12">
        <v>0</v>
      </c>
    </row>
    <row r="13" spans="1:119" x14ac:dyDescent="0.2">
      <c r="A13">
        <f>ROW(Source!A29)</f>
        <v>29</v>
      </c>
      <c r="B13">
        <v>145033679</v>
      </c>
      <c r="C13">
        <v>145040255</v>
      </c>
      <c r="D13">
        <v>140803795</v>
      </c>
      <c r="E13">
        <v>1</v>
      </c>
      <c r="F13">
        <v>1</v>
      </c>
      <c r="G13">
        <v>1</v>
      </c>
      <c r="H13">
        <v>3</v>
      </c>
      <c r="I13" t="s">
        <v>742</v>
      </c>
      <c r="J13" t="s">
        <v>743</v>
      </c>
      <c r="K13" t="s">
        <v>744</v>
      </c>
      <c r="L13">
        <v>1296</v>
      </c>
      <c r="N13">
        <v>1002</v>
      </c>
      <c r="O13" t="s">
        <v>147</v>
      </c>
      <c r="P13" t="s">
        <v>147</v>
      </c>
      <c r="Q13">
        <v>1</v>
      </c>
      <c r="W13">
        <v>0</v>
      </c>
      <c r="X13">
        <v>-344767669</v>
      </c>
      <c r="Y13">
        <f>AT13</f>
        <v>0</v>
      </c>
      <c r="AA13">
        <v>408.15</v>
      </c>
      <c r="AB13">
        <v>0</v>
      </c>
      <c r="AC13">
        <v>0</v>
      </c>
      <c r="AD13">
        <v>0</v>
      </c>
      <c r="AE13">
        <v>46.86</v>
      </c>
      <c r="AF13">
        <v>0</v>
      </c>
      <c r="AG13">
        <v>0</v>
      </c>
      <c r="AH13">
        <v>0</v>
      </c>
      <c r="AI13">
        <v>8.7100000000000009</v>
      </c>
      <c r="AJ13">
        <v>1</v>
      </c>
      <c r="AK13">
        <v>1</v>
      </c>
      <c r="AL13">
        <v>1</v>
      </c>
      <c r="AM13">
        <v>4</v>
      </c>
      <c r="AN13">
        <v>1</v>
      </c>
      <c r="AO13">
        <v>0</v>
      </c>
      <c r="AP13">
        <v>0</v>
      </c>
      <c r="AQ13">
        <v>0</v>
      </c>
      <c r="AR13">
        <v>0</v>
      </c>
      <c r="AS13" t="s">
        <v>3</v>
      </c>
      <c r="AT13">
        <v>0</v>
      </c>
      <c r="AU13" t="s">
        <v>3</v>
      </c>
      <c r="AV13">
        <v>0</v>
      </c>
      <c r="AW13">
        <v>2</v>
      </c>
      <c r="AX13">
        <v>145040261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ROUND(Y13*Source!I29,9)</f>
        <v>0</v>
      </c>
      <c r="CY13">
        <f>AA13</f>
        <v>408.15</v>
      </c>
      <c r="CZ13">
        <f>AE13</f>
        <v>46.86</v>
      </c>
      <c r="DA13">
        <f>AI13</f>
        <v>8.7100000000000009</v>
      </c>
      <c r="DB13">
        <f>ROUND(ROUND(AT13*CZ13,2),2)</f>
        <v>0</v>
      </c>
      <c r="DC13">
        <f>ROUND(ROUND(AT13*AG13,2),2)</f>
        <v>0</v>
      </c>
      <c r="DD13" t="s">
        <v>3</v>
      </c>
      <c r="DE13" t="s">
        <v>3</v>
      </c>
      <c r="DF13">
        <f>ROUND(ROUND(AE13*AI13,2)*CX13,2)</f>
        <v>0</v>
      </c>
      <c r="DG13">
        <f>ROUND(ROUND(AF13,2)*CX13,2)</f>
        <v>0</v>
      </c>
      <c r="DH13">
        <f>ROUND(ROUND(AG13,2)*CX13,2)</f>
        <v>0</v>
      </c>
      <c r="DI13">
        <f>ROUND(ROUND(AH13,2)*CX13,2)</f>
        <v>0</v>
      </c>
      <c r="DJ13">
        <f>DF13</f>
        <v>0</v>
      </c>
      <c r="DK13">
        <v>0</v>
      </c>
      <c r="DL13" t="s">
        <v>3</v>
      </c>
      <c r="DM13">
        <v>0</v>
      </c>
      <c r="DN13" t="s">
        <v>3</v>
      </c>
      <c r="DO13">
        <v>0</v>
      </c>
    </row>
    <row r="14" spans="1:119" x14ac:dyDescent="0.2">
      <c r="A14">
        <f>ROW(Source!A30)</f>
        <v>30</v>
      </c>
      <c r="B14">
        <v>145033679</v>
      </c>
      <c r="C14">
        <v>145040262</v>
      </c>
      <c r="D14">
        <v>140759991</v>
      </c>
      <c r="E14">
        <v>70</v>
      </c>
      <c r="F14">
        <v>1</v>
      </c>
      <c r="G14">
        <v>1</v>
      </c>
      <c r="H14">
        <v>1</v>
      </c>
      <c r="I14" t="s">
        <v>738</v>
      </c>
      <c r="J14" t="s">
        <v>3</v>
      </c>
      <c r="K14" t="s">
        <v>739</v>
      </c>
      <c r="L14">
        <v>1191</v>
      </c>
      <c r="N14">
        <v>1013</v>
      </c>
      <c r="O14" t="s">
        <v>725</v>
      </c>
      <c r="P14" t="s">
        <v>725</v>
      </c>
      <c r="Q14">
        <v>1</v>
      </c>
      <c r="W14">
        <v>0</v>
      </c>
      <c r="X14">
        <v>-112797078</v>
      </c>
      <c r="Y14">
        <f>(AT14*1.15)</f>
        <v>5.0369999999999999</v>
      </c>
      <c r="AA14">
        <v>0</v>
      </c>
      <c r="AB14">
        <v>0</v>
      </c>
      <c r="AC14">
        <v>0</v>
      </c>
      <c r="AD14">
        <v>273.94</v>
      </c>
      <c r="AE14">
        <v>0</v>
      </c>
      <c r="AF14">
        <v>0</v>
      </c>
      <c r="AG14">
        <v>0</v>
      </c>
      <c r="AH14">
        <v>8.9700000000000006</v>
      </c>
      <c r="AI14">
        <v>1</v>
      </c>
      <c r="AJ14">
        <v>1</v>
      </c>
      <c r="AK14">
        <v>1</v>
      </c>
      <c r="AL14">
        <v>30.54</v>
      </c>
      <c r="AM14">
        <v>4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4.38</v>
      </c>
      <c r="AU14" t="s">
        <v>21</v>
      </c>
      <c r="AV14">
        <v>1</v>
      </c>
      <c r="AW14">
        <v>2</v>
      </c>
      <c r="AX14">
        <v>145040263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ROUND(Y14*Source!I30,9)</f>
        <v>0.63919530000000002</v>
      </c>
      <c r="CY14">
        <f>AD14</f>
        <v>273.94</v>
      </c>
      <c r="CZ14">
        <f>AH14</f>
        <v>8.9700000000000006</v>
      </c>
      <c r="DA14">
        <f>AL14</f>
        <v>30.54</v>
      </c>
      <c r="DB14">
        <f>ROUND((ROUND(AT14*CZ14,2)*1.15),2)</f>
        <v>45.18</v>
      </c>
      <c r="DC14">
        <f>ROUND((ROUND(AT14*AG14,2)*1.15),2)</f>
        <v>0</v>
      </c>
      <c r="DD14" t="s">
        <v>3</v>
      </c>
      <c r="DE14" t="s">
        <v>3</v>
      </c>
      <c r="DF14">
        <f>ROUND(ROUND(AE14,2)*CX14,2)</f>
        <v>0</v>
      </c>
      <c r="DG14">
        <f>ROUND(ROUND(AF14,2)*CX14,2)</f>
        <v>0</v>
      </c>
      <c r="DH14">
        <f>ROUND(ROUND(AG14,2)*CX14,2)</f>
        <v>0</v>
      </c>
      <c r="DI14">
        <f>ROUND(ROUND(AH14*AL14,2)*CX14,2)</f>
        <v>175.1</v>
      </c>
      <c r="DJ14">
        <f>DI14</f>
        <v>175.1</v>
      </c>
      <c r="DK14">
        <v>0</v>
      </c>
      <c r="DL14" t="s">
        <v>3</v>
      </c>
      <c r="DM14">
        <v>0</v>
      </c>
      <c r="DN14" t="s">
        <v>3</v>
      </c>
      <c r="DO14">
        <v>0</v>
      </c>
    </row>
    <row r="15" spans="1:119" x14ac:dyDescent="0.2">
      <c r="A15">
        <f>ROW(Source!A30)</f>
        <v>30</v>
      </c>
      <c r="B15">
        <v>145033679</v>
      </c>
      <c r="C15">
        <v>145040262</v>
      </c>
      <c r="D15">
        <v>140760225</v>
      </c>
      <c r="E15">
        <v>70</v>
      </c>
      <c r="F15">
        <v>1</v>
      </c>
      <c r="G15">
        <v>1</v>
      </c>
      <c r="H15">
        <v>1</v>
      </c>
      <c r="I15" t="s">
        <v>730</v>
      </c>
      <c r="J15" t="s">
        <v>3</v>
      </c>
      <c r="K15" t="s">
        <v>731</v>
      </c>
      <c r="L15">
        <v>1191</v>
      </c>
      <c r="N15">
        <v>1013</v>
      </c>
      <c r="O15" t="s">
        <v>725</v>
      </c>
      <c r="P15" t="s">
        <v>725</v>
      </c>
      <c r="Q15">
        <v>1</v>
      </c>
      <c r="W15">
        <v>0</v>
      </c>
      <c r="X15">
        <v>-1417349443</v>
      </c>
      <c r="Y15">
        <f>(AT15*1.15)</f>
        <v>0.43699999999999994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30.54</v>
      </c>
      <c r="AL15">
        <v>1</v>
      </c>
      <c r="AM15">
        <v>4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0.38</v>
      </c>
      <c r="AU15" t="s">
        <v>21</v>
      </c>
      <c r="AV15">
        <v>2</v>
      </c>
      <c r="AW15">
        <v>2</v>
      </c>
      <c r="AX15">
        <v>145040264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ROUND(Y15*Source!I30,9)</f>
        <v>5.5455299999999999E-2</v>
      </c>
      <c r="CY15">
        <f>AD15</f>
        <v>0</v>
      </c>
      <c r="CZ15">
        <f>AH15</f>
        <v>0</v>
      </c>
      <c r="DA15">
        <f>AL15</f>
        <v>1</v>
      </c>
      <c r="DB15">
        <f>ROUND((ROUND(AT15*CZ15,2)*1.15),2)</f>
        <v>0</v>
      </c>
      <c r="DC15">
        <f>ROUND((ROUND(AT15*AG15,2)*1.15),2)</f>
        <v>0</v>
      </c>
      <c r="DD15" t="s">
        <v>3</v>
      </c>
      <c r="DE15" t="s">
        <v>3</v>
      </c>
      <c r="DF15">
        <f>ROUND(ROUND(AE15,2)*CX15,2)</f>
        <v>0</v>
      </c>
      <c r="DG15">
        <f>ROUND(ROUND(AF15,2)*CX15,2)</f>
        <v>0</v>
      </c>
      <c r="DH15">
        <f>ROUND(ROUND(AG15*AK15,2)*CX15,2)</f>
        <v>0</v>
      </c>
      <c r="DI15">
        <f>ROUND(ROUND(AH15,2)*CX15,2)</f>
        <v>0</v>
      </c>
      <c r="DJ15">
        <f>DI15</f>
        <v>0</v>
      </c>
      <c r="DK15">
        <v>0</v>
      </c>
      <c r="DL15" t="s">
        <v>3</v>
      </c>
      <c r="DM15">
        <v>0</v>
      </c>
      <c r="DN15" t="s">
        <v>3</v>
      </c>
      <c r="DO15">
        <v>0</v>
      </c>
    </row>
    <row r="16" spans="1:119" x14ac:dyDescent="0.2">
      <c r="A16">
        <f>ROW(Source!A30)</f>
        <v>30</v>
      </c>
      <c r="B16">
        <v>145033679</v>
      </c>
      <c r="C16">
        <v>145040262</v>
      </c>
      <c r="D16">
        <v>140923885</v>
      </c>
      <c r="E16">
        <v>1</v>
      </c>
      <c r="F16">
        <v>1</v>
      </c>
      <c r="G16">
        <v>1</v>
      </c>
      <c r="H16">
        <v>2</v>
      </c>
      <c r="I16" t="s">
        <v>732</v>
      </c>
      <c r="J16" t="s">
        <v>733</v>
      </c>
      <c r="K16" t="s">
        <v>734</v>
      </c>
      <c r="L16">
        <v>1367</v>
      </c>
      <c r="N16">
        <v>1011</v>
      </c>
      <c r="O16" t="s">
        <v>79</v>
      </c>
      <c r="P16" t="s">
        <v>79</v>
      </c>
      <c r="Q16">
        <v>1</v>
      </c>
      <c r="W16">
        <v>0</v>
      </c>
      <c r="X16">
        <v>509054691</v>
      </c>
      <c r="Y16">
        <f>(AT16*1.15)</f>
        <v>0.43699999999999994</v>
      </c>
      <c r="AA16">
        <v>0</v>
      </c>
      <c r="AB16">
        <v>797.06</v>
      </c>
      <c r="AC16">
        <v>354.26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12.13</v>
      </c>
      <c r="AK16">
        <v>30.54</v>
      </c>
      <c r="AL16">
        <v>1</v>
      </c>
      <c r="AM16">
        <v>4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0.38</v>
      </c>
      <c r="AU16" t="s">
        <v>21</v>
      </c>
      <c r="AV16">
        <v>0</v>
      </c>
      <c r="AW16">
        <v>2</v>
      </c>
      <c r="AX16">
        <v>145040265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ROUND(Y16*Source!I30,9)</f>
        <v>5.5455299999999999E-2</v>
      </c>
      <c r="CY16">
        <f>AB16</f>
        <v>797.06</v>
      </c>
      <c r="CZ16">
        <f>AF16</f>
        <v>65.709999999999994</v>
      </c>
      <c r="DA16">
        <f>AJ16</f>
        <v>12.13</v>
      </c>
      <c r="DB16">
        <f>ROUND((ROUND(AT16*CZ16,2)*1.15),2)</f>
        <v>28.72</v>
      </c>
      <c r="DC16">
        <f>ROUND((ROUND(AT16*AG16,2)*1.15),2)</f>
        <v>5.07</v>
      </c>
      <c r="DD16" t="s">
        <v>3</v>
      </c>
      <c r="DE16" t="s">
        <v>3</v>
      </c>
      <c r="DF16">
        <f>ROUND(ROUND(AE16,2)*CX16,2)</f>
        <v>0</v>
      </c>
      <c r="DG16">
        <f>ROUND(ROUND(AF16*AJ16,2)*CX16,2)</f>
        <v>44.2</v>
      </c>
      <c r="DH16">
        <f>ROUND(ROUND(AG16*AK16,2)*CX16,2)</f>
        <v>19.649999999999999</v>
      </c>
      <c r="DI16">
        <f>ROUND(ROUND(AH16,2)*CX16,2)</f>
        <v>0</v>
      </c>
      <c r="DJ16">
        <f>DG16</f>
        <v>44.2</v>
      </c>
      <c r="DK16">
        <v>0</v>
      </c>
      <c r="DL16" t="s">
        <v>3</v>
      </c>
      <c r="DM16">
        <v>0</v>
      </c>
      <c r="DN16" t="s">
        <v>3</v>
      </c>
      <c r="DO16">
        <v>0</v>
      </c>
    </row>
    <row r="17" spans="1:119" x14ac:dyDescent="0.2">
      <c r="A17">
        <f>ROW(Source!A30)</f>
        <v>30</v>
      </c>
      <c r="B17">
        <v>145033679</v>
      </c>
      <c r="C17">
        <v>145040262</v>
      </c>
      <c r="D17">
        <v>140772680</v>
      </c>
      <c r="E17">
        <v>1</v>
      </c>
      <c r="F17">
        <v>1</v>
      </c>
      <c r="G17">
        <v>1</v>
      </c>
      <c r="H17">
        <v>3</v>
      </c>
      <c r="I17" t="s">
        <v>735</v>
      </c>
      <c r="J17" t="s">
        <v>736</v>
      </c>
      <c r="K17" t="s">
        <v>737</v>
      </c>
      <c r="L17">
        <v>1339</v>
      </c>
      <c r="N17">
        <v>1007</v>
      </c>
      <c r="O17" t="s">
        <v>66</v>
      </c>
      <c r="P17" t="s">
        <v>66</v>
      </c>
      <c r="Q17">
        <v>1</v>
      </c>
      <c r="W17">
        <v>0</v>
      </c>
      <c r="X17">
        <v>-143474561</v>
      </c>
      <c r="Y17">
        <f>AT17</f>
        <v>0</v>
      </c>
      <c r="AA17">
        <v>21.25</v>
      </c>
      <c r="AB17">
        <v>0</v>
      </c>
      <c r="AC17">
        <v>0</v>
      </c>
      <c r="AD17">
        <v>0</v>
      </c>
      <c r="AE17">
        <v>2.44</v>
      </c>
      <c r="AF17">
        <v>0</v>
      </c>
      <c r="AG17">
        <v>0</v>
      </c>
      <c r="AH17">
        <v>0</v>
      </c>
      <c r="AI17">
        <v>8.7100000000000009</v>
      </c>
      <c r="AJ17">
        <v>1</v>
      </c>
      <c r="AK17">
        <v>1</v>
      </c>
      <c r="AL17">
        <v>1</v>
      </c>
      <c r="AM17">
        <v>4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3</v>
      </c>
      <c r="AT17">
        <v>0</v>
      </c>
      <c r="AU17" t="s">
        <v>3</v>
      </c>
      <c r="AV17">
        <v>0</v>
      </c>
      <c r="AW17">
        <v>2</v>
      </c>
      <c r="AX17">
        <v>145040266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ROUND(Y17*Source!I30,9)</f>
        <v>0</v>
      </c>
      <c r="CY17">
        <f>AA17</f>
        <v>21.25</v>
      </c>
      <c r="CZ17">
        <f>AE17</f>
        <v>2.44</v>
      </c>
      <c r="DA17">
        <f>AI17</f>
        <v>8.7100000000000009</v>
      </c>
      <c r="DB17">
        <f>ROUND(ROUND(AT17*CZ17,2),2)</f>
        <v>0</v>
      </c>
      <c r="DC17">
        <f>ROUND(ROUND(AT17*AG17,2),2)</f>
        <v>0</v>
      </c>
      <c r="DD17" t="s">
        <v>3</v>
      </c>
      <c r="DE17" t="s">
        <v>3</v>
      </c>
      <c r="DF17">
        <f>ROUND(ROUND(AE17*AI17,2)*CX17,2)</f>
        <v>0</v>
      </c>
      <c r="DG17">
        <f>ROUND(ROUND(AF17,2)*CX17,2)</f>
        <v>0</v>
      </c>
      <c r="DH17">
        <f>ROUND(ROUND(AG17,2)*CX17,2)</f>
        <v>0</v>
      </c>
      <c r="DI17">
        <f>ROUND(ROUND(AH17,2)*CX17,2)</f>
        <v>0</v>
      </c>
      <c r="DJ17">
        <f>DF17</f>
        <v>0</v>
      </c>
      <c r="DK17">
        <v>0</v>
      </c>
      <c r="DL17" t="s">
        <v>3</v>
      </c>
      <c r="DM17">
        <v>0</v>
      </c>
      <c r="DN17" t="s">
        <v>3</v>
      </c>
      <c r="DO17">
        <v>0</v>
      </c>
    </row>
    <row r="18" spans="1:119" x14ac:dyDescent="0.2">
      <c r="A18">
        <f>ROW(Source!A30)</f>
        <v>30</v>
      </c>
      <c r="B18">
        <v>145033679</v>
      </c>
      <c r="C18">
        <v>145040262</v>
      </c>
      <c r="D18">
        <v>140761147</v>
      </c>
      <c r="E18">
        <v>70</v>
      </c>
      <c r="F18">
        <v>1</v>
      </c>
      <c r="G18">
        <v>1</v>
      </c>
      <c r="H18">
        <v>3</v>
      </c>
      <c r="I18" t="s">
        <v>740</v>
      </c>
      <c r="J18" t="s">
        <v>3</v>
      </c>
      <c r="K18" t="s">
        <v>741</v>
      </c>
      <c r="L18">
        <v>1346</v>
      </c>
      <c r="N18">
        <v>1009</v>
      </c>
      <c r="O18" t="s">
        <v>43</v>
      </c>
      <c r="P18" t="s">
        <v>43</v>
      </c>
      <c r="Q18">
        <v>1</v>
      </c>
      <c r="W18">
        <v>0</v>
      </c>
      <c r="X18">
        <v>-1123584527</v>
      </c>
      <c r="Y18">
        <f>AT18</f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8.7100000000000009</v>
      </c>
      <c r="AJ18">
        <v>1</v>
      </c>
      <c r="AK18">
        <v>1</v>
      </c>
      <c r="AL18">
        <v>1</v>
      </c>
      <c r="AM18">
        <v>4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3</v>
      </c>
      <c r="AT18">
        <v>0</v>
      </c>
      <c r="AU18" t="s">
        <v>3</v>
      </c>
      <c r="AV18">
        <v>0</v>
      </c>
      <c r="AW18">
        <v>2</v>
      </c>
      <c r="AX18">
        <v>145040267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ROUND(Y18*Source!I30,9)</f>
        <v>0</v>
      </c>
      <c r="CY18">
        <f>AA18</f>
        <v>0</v>
      </c>
      <c r="CZ18">
        <f>AE18</f>
        <v>0</v>
      </c>
      <c r="DA18">
        <f>AI18</f>
        <v>8.7100000000000009</v>
      </c>
      <c r="DB18">
        <f>ROUND(ROUND(AT18*CZ18,2),2)</f>
        <v>0</v>
      </c>
      <c r="DC18">
        <f>ROUND(ROUND(AT18*AG18,2),2)</f>
        <v>0</v>
      </c>
      <c r="DD18" t="s">
        <v>3</v>
      </c>
      <c r="DE18" t="s">
        <v>3</v>
      </c>
      <c r="DF18">
        <f>ROUND(ROUND(AE18*AI18,2)*CX18,2)</f>
        <v>0</v>
      </c>
      <c r="DG18">
        <f>ROUND(ROUND(AF18,2)*CX18,2)</f>
        <v>0</v>
      </c>
      <c r="DH18">
        <f>ROUND(ROUND(AG18,2)*CX18,2)</f>
        <v>0</v>
      </c>
      <c r="DI18">
        <f>ROUND(ROUND(AH18,2)*CX18,2)</f>
        <v>0</v>
      </c>
      <c r="DJ18">
        <f>DF18</f>
        <v>0</v>
      </c>
      <c r="DK18">
        <v>0</v>
      </c>
      <c r="DL18" t="s">
        <v>3</v>
      </c>
      <c r="DM18">
        <v>0</v>
      </c>
      <c r="DN18" t="s">
        <v>3</v>
      </c>
      <c r="DO18">
        <v>0</v>
      </c>
    </row>
    <row r="19" spans="1:119" x14ac:dyDescent="0.2">
      <c r="A19">
        <f>ROW(Source!A31)</f>
        <v>31</v>
      </c>
      <c r="B19">
        <v>145033679</v>
      </c>
      <c r="C19">
        <v>145040324</v>
      </c>
      <c r="D19">
        <v>140759979</v>
      </c>
      <c r="E19">
        <v>70</v>
      </c>
      <c r="F19">
        <v>1</v>
      </c>
      <c r="G19">
        <v>1</v>
      </c>
      <c r="H19">
        <v>1</v>
      </c>
      <c r="I19" t="s">
        <v>745</v>
      </c>
      <c r="J19" t="s">
        <v>3</v>
      </c>
      <c r="K19" t="s">
        <v>746</v>
      </c>
      <c r="L19">
        <v>1191</v>
      </c>
      <c r="N19">
        <v>1013</v>
      </c>
      <c r="O19" t="s">
        <v>725</v>
      </c>
      <c r="P19" t="s">
        <v>725</v>
      </c>
      <c r="Q19">
        <v>1</v>
      </c>
      <c r="W19">
        <v>0</v>
      </c>
      <c r="X19">
        <v>1049124552</v>
      </c>
      <c r="Y19">
        <f>(AT19*1.15)</f>
        <v>9.2344999999999988</v>
      </c>
      <c r="AA19">
        <v>0</v>
      </c>
      <c r="AB19">
        <v>0</v>
      </c>
      <c r="AC19">
        <v>0</v>
      </c>
      <c r="AD19">
        <v>260.51</v>
      </c>
      <c r="AE19">
        <v>0</v>
      </c>
      <c r="AF19">
        <v>0</v>
      </c>
      <c r="AG19">
        <v>0</v>
      </c>
      <c r="AH19">
        <v>8.5299999999999994</v>
      </c>
      <c r="AI19">
        <v>1</v>
      </c>
      <c r="AJ19">
        <v>1</v>
      </c>
      <c r="AK19">
        <v>1</v>
      </c>
      <c r="AL19">
        <v>30.54</v>
      </c>
      <c r="AM19">
        <v>4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8.0299999999999994</v>
      </c>
      <c r="AU19" t="s">
        <v>21</v>
      </c>
      <c r="AV19">
        <v>1</v>
      </c>
      <c r="AW19">
        <v>2</v>
      </c>
      <c r="AX19">
        <v>145040325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ROUND(Y19*Source!I31,9)</f>
        <v>2.929645125</v>
      </c>
      <c r="CY19">
        <f>AD19</f>
        <v>260.51</v>
      </c>
      <c r="CZ19">
        <f>AH19</f>
        <v>8.5299999999999994</v>
      </c>
      <c r="DA19">
        <f>AL19</f>
        <v>30.54</v>
      </c>
      <c r="DB19">
        <f>ROUND((ROUND(AT19*CZ19,2)*1.15),2)</f>
        <v>78.78</v>
      </c>
      <c r="DC19">
        <f>ROUND((ROUND(AT19*AG19,2)*1.15),2)</f>
        <v>0</v>
      </c>
      <c r="DD19" t="s">
        <v>3</v>
      </c>
      <c r="DE19" t="s">
        <v>3</v>
      </c>
      <c r="DF19">
        <f t="shared" ref="DF19:DF25" si="0">ROUND(ROUND(AE19,2)*CX19,2)</f>
        <v>0</v>
      </c>
      <c r="DG19">
        <f>ROUND(ROUND(AF19,2)*CX19,2)</f>
        <v>0</v>
      </c>
      <c r="DH19">
        <f>ROUND(ROUND(AG19,2)*CX19,2)</f>
        <v>0</v>
      </c>
      <c r="DI19">
        <f>ROUND(ROUND(AH19*AL19,2)*CX19,2)</f>
        <v>763.2</v>
      </c>
      <c r="DJ19">
        <f>DI19</f>
        <v>763.2</v>
      </c>
      <c r="DK19">
        <v>0</v>
      </c>
      <c r="DL19" t="s">
        <v>3</v>
      </c>
      <c r="DM19">
        <v>0</v>
      </c>
      <c r="DN19" t="s">
        <v>3</v>
      </c>
      <c r="DO19">
        <v>0</v>
      </c>
    </row>
    <row r="20" spans="1:119" x14ac:dyDescent="0.2">
      <c r="A20">
        <f>ROW(Source!A35)</f>
        <v>35</v>
      </c>
      <c r="B20">
        <v>145033679</v>
      </c>
      <c r="C20">
        <v>145034414</v>
      </c>
      <c r="D20">
        <v>140759988</v>
      </c>
      <c r="E20">
        <v>70</v>
      </c>
      <c r="F20">
        <v>1</v>
      </c>
      <c r="G20">
        <v>1</v>
      </c>
      <c r="H20">
        <v>1</v>
      </c>
      <c r="I20" t="s">
        <v>747</v>
      </c>
      <c r="J20" t="s">
        <v>3</v>
      </c>
      <c r="K20" t="s">
        <v>748</v>
      </c>
      <c r="L20">
        <v>1191</v>
      </c>
      <c r="N20">
        <v>1013</v>
      </c>
      <c r="O20" t="s">
        <v>725</v>
      </c>
      <c r="P20" t="s">
        <v>725</v>
      </c>
      <c r="Q20">
        <v>1</v>
      </c>
      <c r="W20">
        <v>0</v>
      </c>
      <c r="X20">
        <v>-1759674247</v>
      </c>
      <c r="Y20">
        <f>((AT20*1.15)*1.15)</f>
        <v>7.8027499999999996</v>
      </c>
      <c r="AA20">
        <v>0</v>
      </c>
      <c r="AB20">
        <v>0</v>
      </c>
      <c r="AC20">
        <v>0</v>
      </c>
      <c r="AD20">
        <v>270.58</v>
      </c>
      <c r="AE20">
        <v>0</v>
      </c>
      <c r="AF20">
        <v>0</v>
      </c>
      <c r="AG20">
        <v>0</v>
      </c>
      <c r="AH20">
        <v>8.86</v>
      </c>
      <c r="AI20">
        <v>1</v>
      </c>
      <c r="AJ20">
        <v>1</v>
      </c>
      <c r="AK20">
        <v>1</v>
      </c>
      <c r="AL20">
        <v>30.54</v>
      </c>
      <c r="AM20">
        <v>4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5.9</v>
      </c>
      <c r="AU20" t="s">
        <v>91</v>
      </c>
      <c r="AV20">
        <v>1</v>
      </c>
      <c r="AW20">
        <v>2</v>
      </c>
      <c r="AX20">
        <v>145034415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ROUND(Y20*Source!I35,9)</f>
        <v>30.898890000000002</v>
      </c>
      <c r="CY20">
        <f>AD20</f>
        <v>270.58</v>
      </c>
      <c r="CZ20">
        <f>AH20</f>
        <v>8.86</v>
      </c>
      <c r="DA20">
        <f>AL20</f>
        <v>30.54</v>
      </c>
      <c r="DB20">
        <f>ROUND(((ROUND(AT20*CZ20,2)*1.15)*1.15),2)</f>
        <v>69.13</v>
      </c>
      <c r="DC20">
        <f>ROUND(((ROUND(AT20*AG20,2)*1.15)*1.15),2)</f>
        <v>0</v>
      </c>
      <c r="DD20" t="s">
        <v>3</v>
      </c>
      <c r="DE20" t="s">
        <v>3</v>
      </c>
      <c r="DF20">
        <f t="shared" si="0"/>
        <v>0</v>
      </c>
      <c r="DG20">
        <f>ROUND(ROUND(AF20,2)*CX20,2)</f>
        <v>0</v>
      </c>
      <c r="DH20">
        <f>ROUND(ROUND(AG20,2)*CX20,2)</f>
        <v>0</v>
      </c>
      <c r="DI20">
        <f>ROUND(ROUND(AH20*AL20,2)*CX20,2)</f>
        <v>8360.6200000000008</v>
      </c>
      <c r="DJ20">
        <f>DI20</f>
        <v>8360.6200000000008</v>
      </c>
      <c r="DK20">
        <v>0</v>
      </c>
      <c r="DL20" t="s">
        <v>3</v>
      </c>
      <c r="DM20">
        <v>0</v>
      </c>
      <c r="DN20" t="s">
        <v>3</v>
      </c>
      <c r="DO20">
        <v>0</v>
      </c>
    </row>
    <row r="21" spans="1:119" x14ac:dyDescent="0.2">
      <c r="A21">
        <f>ROW(Source!A35)</f>
        <v>35</v>
      </c>
      <c r="B21">
        <v>145033679</v>
      </c>
      <c r="C21">
        <v>145034414</v>
      </c>
      <c r="D21">
        <v>140760225</v>
      </c>
      <c r="E21">
        <v>70</v>
      </c>
      <c r="F21">
        <v>1</v>
      </c>
      <c r="G21">
        <v>1</v>
      </c>
      <c r="H21">
        <v>1</v>
      </c>
      <c r="I21" t="s">
        <v>730</v>
      </c>
      <c r="J21" t="s">
        <v>3</v>
      </c>
      <c r="K21" t="s">
        <v>731</v>
      </c>
      <c r="L21">
        <v>1191</v>
      </c>
      <c r="N21">
        <v>1013</v>
      </c>
      <c r="O21" t="s">
        <v>725</v>
      </c>
      <c r="P21" t="s">
        <v>725</v>
      </c>
      <c r="Q21">
        <v>1</v>
      </c>
      <c r="W21">
        <v>0</v>
      </c>
      <c r="X21">
        <v>-1417349443</v>
      </c>
      <c r="Y21">
        <f>((AT21*1.25)*1.15)</f>
        <v>0.58937499999999987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30.54</v>
      </c>
      <c r="AL21">
        <v>1</v>
      </c>
      <c r="AM21">
        <v>4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0.41</v>
      </c>
      <c r="AU21" t="s">
        <v>90</v>
      </c>
      <c r="AV21">
        <v>2</v>
      </c>
      <c r="AW21">
        <v>2</v>
      </c>
      <c r="AX21">
        <v>145034416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ROUND(Y21*Source!I35,9)</f>
        <v>2.3339249999999998</v>
      </c>
      <c r="CY21">
        <f>AD21</f>
        <v>0</v>
      </c>
      <c r="CZ21">
        <f>AH21</f>
        <v>0</v>
      </c>
      <c r="DA21">
        <f>AL21</f>
        <v>1</v>
      </c>
      <c r="DB21">
        <f>ROUND(((ROUND(AT21*CZ21,2)*1.25)*1.15),2)</f>
        <v>0</v>
      </c>
      <c r="DC21">
        <f>ROUND(((ROUND(AT21*AG21,2)*1.25)*1.15),2)</f>
        <v>0</v>
      </c>
      <c r="DD21" t="s">
        <v>3</v>
      </c>
      <c r="DE21" t="s">
        <v>3</v>
      </c>
      <c r="DF21">
        <f t="shared" si="0"/>
        <v>0</v>
      </c>
      <c r="DG21">
        <f>ROUND(ROUND(AF21,2)*CX21,2)</f>
        <v>0</v>
      </c>
      <c r="DH21">
        <f>ROUND(ROUND(AG21*AK21,2)*CX21,2)</f>
        <v>0</v>
      </c>
      <c r="DI21">
        <f t="shared" ref="DI21:DI28" si="1">ROUND(ROUND(AH21,2)*CX21,2)</f>
        <v>0</v>
      </c>
      <c r="DJ21">
        <f>DI21</f>
        <v>0</v>
      </c>
      <c r="DK21">
        <v>0</v>
      </c>
      <c r="DL21" t="s">
        <v>3</v>
      </c>
      <c r="DM21">
        <v>0</v>
      </c>
      <c r="DN21" t="s">
        <v>3</v>
      </c>
      <c r="DO21">
        <v>0</v>
      </c>
    </row>
    <row r="22" spans="1:119" x14ac:dyDescent="0.2">
      <c r="A22">
        <f>ROW(Source!A35)</f>
        <v>35</v>
      </c>
      <c r="B22">
        <v>145033679</v>
      </c>
      <c r="C22">
        <v>145034414</v>
      </c>
      <c r="D22">
        <v>140922893</v>
      </c>
      <c r="E22">
        <v>1</v>
      </c>
      <c r="F22">
        <v>1</v>
      </c>
      <c r="G22">
        <v>1</v>
      </c>
      <c r="H22">
        <v>2</v>
      </c>
      <c r="I22" t="s">
        <v>749</v>
      </c>
      <c r="J22" t="s">
        <v>750</v>
      </c>
      <c r="K22" t="s">
        <v>751</v>
      </c>
      <c r="L22">
        <v>1367</v>
      </c>
      <c r="N22">
        <v>1011</v>
      </c>
      <c r="O22" t="s">
        <v>79</v>
      </c>
      <c r="P22" t="s">
        <v>79</v>
      </c>
      <c r="Q22">
        <v>1</v>
      </c>
      <c r="W22">
        <v>0</v>
      </c>
      <c r="X22">
        <v>-130837057</v>
      </c>
      <c r="Y22">
        <f>((AT22*1.25)*1.15)</f>
        <v>0.25874999999999998</v>
      </c>
      <c r="AA22">
        <v>0</v>
      </c>
      <c r="AB22">
        <v>1048.03</v>
      </c>
      <c r="AC22">
        <v>412.29</v>
      </c>
      <c r="AD22">
        <v>0</v>
      </c>
      <c r="AE22">
        <v>0</v>
      </c>
      <c r="AF22">
        <v>86.4</v>
      </c>
      <c r="AG22">
        <v>13.5</v>
      </c>
      <c r="AH22">
        <v>0</v>
      </c>
      <c r="AI22">
        <v>1</v>
      </c>
      <c r="AJ22">
        <v>12.13</v>
      </c>
      <c r="AK22">
        <v>30.54</v>
      </c>
      <c r="AL22">
        <v>1</v>
      </c>
      <c r="AM22">
        <v>4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0.18</v>
      </c>
      <c r="AU22" t="s">
        <v>90</v>
      </c>
      <c r="AV22">
        <v>0</v>
      </c>
      <c r="AW22">
        <v>2</v>
      </c>
      <c r="AX22">
        <v>145034417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ROUND(Y22*Source!I35,9)</f>
        <v>1.0246500000000001</v>
      </c>
      <c r="CY22">
        <f>AB22</f>
        <v>1048.03</v>
      </c>
      <c r="CZ22">
        <f>AF22</f>
        <v>86.4</v>
      </c>
      <c r="DA22">
        <f>AJ22</f>
        <v>12.13</v>
      </c>
      <c r="DB22">
        <f>ROUND(((ROUND(AT22*CZ22,2)*1.25)*1.15),2)</f>
        <v>22.35</v>
      </c>
      <c r="DC22">
        <f>ROUND(((ROUND(AT22*AG22,2)*1.25)*1.15),2)</f>
        <v>3.49</v>
      </c>
      <c r="DD22" t="s">
        <v>3</v>
      </c>
      <c r="DE22" t="s">
        <v>3</v>
      </c>
      <c r="DF22">
        <f t="shared" si="0"/>
        <v>0</v>
      </c>
      <c r="DG22">
        <f>ROUND(ROUND(AF22*AJ22,2)*CX22,2)</f>
        <v>1073.8599999999999</v>
      </c>
      <c r="DH22">
        <f>ROUND(ROUND(AG22*AK22,2)*CX22,2)</f>
        <v>422.45</v>
      </c>
      <c r="DI22">
        <f t="shared" si="1"/>
        <v>0</v>
      </c>
      <c r="DJ22">
        <f>DG22</f>
        <v>1073.8599999999999</v>
      </c>
      <c r="DK22">
        <v>0</v>
      </c>
      <c r="DL22" t="s">
        <v>3</v>
      </c>
      <c r="DM22">
        <v>0</v>
      </c>
      <c r="DN22" t="s">
        <v>3</v>
      </c>
      <c r="DO22">
        <v>0</v>
      </c>
    </row>
    <row r="23" spans="1:119" x14ac:dyDescent="0.2">
      <c r="A23">
        <f>ROW(Source!A35)</f>
        <v>35</v>
      </c>
      <c r="B23">
        <v>145033679</v>
      </c>
      <c r="C23">
        <v>145034414</v>
      </c>
      <c r="D23">
        <v>140922951</v>
      </c>
      <c r="E23">
        <v>1</v>
      </c>
      <c r="F23">
        <v>1</v>
      </c>
      <c r="G23">
        <v>1</v>
      </c>
      <c r="H23">
        <v>2</v>
      </c>
      <c r="I23" t="s">
        <v>752</v>
      </c>
      <c r="J23" t="s">
        <v>753</v>
      </c>
      <c r="K23" t="s">
        <v>754</v>
      </c>
      <c r="L23">
        <v>1367</v>
      </c>
      <c r="N23">
        <v>1011</v>
      </c>
      <c r="O23" t="s">
        <v>79</v>
      </c>
      <c r="P23" t="s">
        <v>79</v>
      </c>
      <c r="Q23">
        <v>1</v>
      </c>
      <c r="W23">
        <v>0</v>
      </c>
      <c r="X23">
        <v>-430484415</v>
      </c>
      <c r="Y23">
        <f>((AT23*1.25)*1.15)</f>
        <v>0.14374999999999999</v>
      </c>
      <c r="AA23">
        <v>0</v>
      </c>
      <c r="AB23">
        <v>1399.8</v>
      </c>
      <c r="AC23">
        <v>412.29</v>
      </c>
      <c r="AD23">
        <v>0</v>
      </c>
      <c r="AE23">
        <v>0</v>
      </c>
      <c r="AF23">
        <v>115.4</v>
      </c>
      <c r="AG23">
        <v>13.5</v>
      </c>
      <c r="AH23">
        <v>0</v>
      </c>
      <c r="AI23">
        <v>1</v>
      </c>
      <c r="AJ23">
        <v>12.13</v>
      </c>
      <c r="AK23">
        <v>30.54</v>
      </c>
      <c r="AL23">
        <v>1</v>
      </c>
      <c r="AM23">
        <v>4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0.1</v>
      </c>
      <c r="AU23" t="s">
        <v>90</v>
      </c>
      <c r="AV23">
        <v>0</v>
      </c>
      <c r="AW23">
        <v>2</v>
      </c>
      <c r="AX23">
        <v>145034418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ROUND(Y23*Source!I35,9)</f>
        <v>0.56925000000000003</v>
      </c>
      <c r="CY23">
        <f>AB23</f>
        <v>1399.8</v>
      </c>
      <c r="CZ23">
        <f>AF23</f>
        <v>115.4</v>
      </c>
      <c r="DA23">
        <f>AJ23</f>
        <v>12.13</v>
      </c>
      <c r="DB23">
        <f>ROUND(((ROUND(AT23*CZ23,2)*1.25)*1.15),2)</f>
        <v>16.59</v>
      </c>
      <c r="DC23">
        <f>ROUND(((ROUND(AT23*AG23,2)*1.25)*1.15),2)</f>
        <v>1.94</v>
      </c>
      <c r="DD23" t="s">
        <v>3</v>
      </c>
      <c r="DE23" t="s">
        <v>3</v>
      </c>
      <c r="DF23">
        <f t="shared" si="0"/>
        <v>0</v>
      </c>
      <c r="DG23">
        <f>ROUND(ROUND(AF23*AJ23,2)*CX23,2)</f>
        <v>796.84</v>
      </c>
      <c r="DH23">
        <f>ROUND(ROUND(AG23*AK23,2)*CX23,2)</f>
        <v>234.7</v>
      </c>
      <c r="DI23">
        <f t="shared" si="1"/>
        <v>0</v>
      </c>
      <c r="DJ23">
        <f>DG23</f>
        <v>796.84</v>
      </c>
      <c r="DK23">
        <v>0</v>
      </c>
      <c r="DL23" t="s">
        <v>3</v>
      </c>
      <c r="DM23">
        <v>0</v>
      </c>
      <c r="DN23" t="s">
        <v>3</v>
      </c>
      <c r="DO23">
        <v>0</v>
      </c>
    </row>
    <row r="24" spans="1:119" x14ac:dyDescent="0.2">
      <c r="A24">
        <f>ROW(Source!A35)</f>
        <v>35</v>
      </c>
      <c r="B24">
        <v>145033679</v>
      </c>
      <c r="C24">
        <v>145034414</v>
      </c>
      <c r="D24">
        <v>140923885</v>
      </c>
      <c r="E24">
        <v>1</v>
      </c>
      <c r="F24">
        <v>1</v>
      </c>
      <c r="G24">
        <v>1</v>
      </c>
      <c r="H24">
        <v>2</v>
      </c>
      <c r="I24" t="s">
        <v>732</v>
      </c>
      <c r="J24" t="s">
        <v>733</v>
      </c>
      <c r="K24" t="s">
        <v>734</v>
      </c>
      <c r="L24">
        <v>1367</v>
      </c>
      <c r="N24">
        <v>1011</v>
      </c>
      <c r="O24" t="s">
        <v>79</v>
      </c>
      <c r="P24" t="s">
        <v>79</v>
      </c>
      <c r="Q24">
        <v>1</v>
      </c>
      <c r="W24">
        <v>0</v>
      </c>
      <c r="X24">
        <v>509054691</v>
      </c>
      <c r="Y24">
        <f>((AT24*1.25)*1.15)</f>
        <v>0.18687499999999999</v>
      </c>
      <c r="AA24">
        <v>0</v>
      </c>
      <c r="AB24">
        <v>797.06</v>
      </c>
      <c r="AC24">
        <v>354.26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12.13</v>
      </c>
      <c r="AK24">
        <v>30.54</v>
      </c>
      <c r="AL24">
        <v>1</v>
      </c>
      <c r="AM24">
        <v>4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0.13</v>
      </c>
      <c r="AU24" t="s">
        <v>90</v>
      </c>
      <c r="AV24">
        <v>0</v>
      </c>
      <c r="AW24">
        <v>2</v>
      </c>
      <c r="AX24">
        <v>145034419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ROUND(Y24*Source!I35,9)</f>
        <v>0.74002500000000004</v>
      </c>
      <c r="CY24">
        <f>AB24</f>
        <v>797.06</v>
      </c>
      <c r="CZ24">
        <f>AF24</f>
        <v>65.709999999999994</v>
      </c>
      <c r="DA24">
        <f>AJ24</f>
        <v>12.13</v>
      </c>
      <c r="DB24">
        <f>ROUND(((ROUND(AT24*CZ24,2)*1.25)*1.15),2)</f>
        <v>12.28</v>
      </c>
      <c r="DC24">
        <f>ROUND(((ROUND(AT24*AG24,2)*1.25)*1.15),2)</f>
        <v>2.17</v>
      </c>
      <c r="DD24" t="s">
        <v>3</v>
      </c>
      <c r="DE24" t="s">
        <v>3</v>
      </c>
      <c r="DF24">
        <f t="shared" si="0"/>
        <v>0</v>
      </c>
      <c r="DG24">
        <f>ROUND(ROUND(AF24*AJ24,2)*CX24,2)</f>
        <v>589.84</v>
      </c>
      <c r="DH24">
        <f>ROUND(ROUND(AG24*AK24,2)*CX24,2)</f>
        <v>262.16000000000003</v>
      </c>
      <c r="DI24">
        <f t="shared" si="1"/>
        <v>0</v>
      </c>
      <c r="DJ24">
        <f>DG24</f>
        <v>589.84</v>
      </c>
      <c r="DK24">
        <v>0</v>
      </c>
      <c r="DL24" t="s">
        <v>3</v>
      </c>
      <c r="DM24">
        <v>0</v>
      </c>
      <c r="DN24" t="s">
        <v>3</v>
      </c>
      <c r="DO24">
        <v>0</v>
      </c>
    </row>
    <row r="25" spans="1:119" x14ac:dyDescent="0.2">
      <c r="A25">
        <f>ROW(Source!A35)</f>
        <v>35</v>
      </c>
      <c r="B25">
        <v>145033679</v>
      </c>
      <c r="C25">
        <v>145034414</v>
      </c>
      <c r="D25">
        <v>140924098</v>
      </c>
      <c r="E25">
        <v>1</v>
      </c>
      <c r="F25">
        <v>1</v>
      </c>
      <c r="G25">
        <v>1</v>
      </c>
      <c r="H25">
        <v>2</v>
      </c>
      <c r="I25" t="s">
        <v>755</v>
      </c>
      <c r="J25" t="s">
        <v>756</v>
      </c>
      <c r="K25" t="s">
        <v>757</v>
      </c>
      <c r="L25">
        <v>1367</v>
      </c>
      <c r="N25">
        <v>1011</v>
      </c>
      <c r="O25" t="s">
        <v>79</v>
      </c>
      <c r="P25" t="s">
        <v>79</v>
      </c>
      <c r="Q25">
        <v>1</v>
      </c>
      <c r="W25">
        <v>0</v>
      </c>
      <c r="X25">
        <v>829370094</v>
      </c>
      <c r="Y25">
        <f>((AT25*1.25)*1.15)</f>
        <v>2.285625</v>
      </c>
      <c r="AA25">
        <v>0</v>
      </c>
      <c r="AB25">
        <v>98.25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12.13</v>
      </c>
      <c r="AK25">
        <v>30.54</v>
      </c>
      <c r="AL25">
        <v>1</v>
      </c>
      <c r="AM25">
        <v>4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1.59</v>
      </c>
      <c r="AU25" t="s">
        <v>90</v>
      </c>
      <c r="AV25">
        <v>0</v>
      </c>
      <c r="AW25">
        <v>2</v>
      </c>
      <c r="AX25">
        <v>145034420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ROUND(Y25*Source!I35,9)</f>
        <v>9.0510750000000009</v>
      </c>
      <c r="CY25">
        <f>AB25</f>
        <v>98.25</v>
      </c>
      <c r="CZ25">
        <f>AF25</f>
        <v>8.1</v>
      </c>
      <c r="DA25">
        <f>AJ25</f>
        <v>12.13</v>
      </c>
      <c r="DB25">
        <f>ROUND(((ROUND(AT25*CZ25,2)*1.25)*1.15),2)</f>
        <v>18.52</v>
      </c>
      <c r="DC25">
        <f>ROUND(((ROUND(AT25*AG25,2)*1.25)*1.15),2)</f>
        <v>0</v>
      </c>
      <c r="DD25" t="s">
        <v>3</v>
      </c>
      <c r="DE25" t="s">
        <v>3</v>
      </c>
      <c r="DF25">
        <f t="shared" si="0"/>
        <v>0</v>
      </c>
      <c r="DG25">
        <f>ROUND(ROUND(AF25*AJ25,2)*CX25,2)</f>
        <v>889.27</v>
      </c>
      <c r="DH25">
        <f>ROUND(ROUND(AG25*AK25,2)*CX25,2)</f>
        <v>0</v>
      </c>
      <c r="DI25">
        <f t="shared" si="1"/>
        <v>0</v>
      </c>
      <c r="DJ25">
        <f>DG25</f>
        <v>889.27</v>
      </c>
      <c r="DK25">
        <v>0</v>
      </c>
      <c r="DL25" t="s">
        <v>3</v>
      </c>
      <c r="DM25">
        <v>0</v>
      </c>
      <c r="DN25" t="s">
        <v>3</v>
      </c>
      <c r="DO25">
        <v>0</v>
      </c>
    </row>
    <row r="26" spans="1:119" x14ac:dyDescent="0.2">
      <c r="A26">
        <f>ROW(Source!A35)</f>
        <v>35</v>
      </c>
      <c r="B26">
        <v>145033679</v>
      </c>
      <c r="C26">
        <v>145034414</v>
      </c>
      <c r="D26">
        <v>140773798</v>
      </c>
      <c r="E26">
        <v>1</v>
      </c>
      <c r="F26">
        <v>1</v>
      </c>
      <c r="G26">
        <v>1</v>
      </c>
      <c r="H26">
        <v>3</v>
      </c>
      <c r="I26" t="s">
        <v>758</v>
      </c>
      <c r="J26" t="s">
        <v>759</v>
      </c>
      <c r="K26" t="s">
        <v>760</v>
      </c>
      <c r="L26">
        <v>1348</v>
      </c>
      <c r="N26">
        <v>1009</v>
      </c>
      <c r="O26" t="s">
        <v>105</v>
      </c>
      <c r="P26" t="s">
        <v>105</v>
      </c>
      <c r="Q26">
        <v>1000</v>
      </c>
      <c r="W26">
        <v>0</v>
      </c>
      <c r="X26">
        <v>761442094</v>
      </c>
      <c r="Y26">
        <f t="shared" ref="Y26:Y41" si="2">AT26</f>
        <v>5.0000000000000001E-4</v>
      </c>
      <c r="AA26">
        <v>82083.039999999994</v>
      </c>
      <c r="AB26">
        <v>0</v>
      </c>
      <c r="AC26">
        <v>0</v>
      </c>
      <c r="AD26">
        <v>0</v>
      </c>
      <c r="AE26">
        <v>9424</v>
      </c>
      <c r="AF26">
        <v>0</v>
      </c>
      <c r="AG26">
        <v>0</v>
      </c>
      <c r="AH26">
        <v>0</v>
      </c>
      <c r="AI26">
        <v>8.7100000000000009</v>
      </c>
      <c r="AJ26">
        <v>1</v>
      </c>
      <c r="AK26">
        <v>1</v>
      </c>
      <c r="AL26">
        <v>1</v>
      </c>
      <c r="AM26">
        <v>4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5.0000000000000001E-4</v>
      </c>
      <c r="AU26" t="s">
        <v>3</v>
      </c>
      <c r="AV26">
        <v>0</v>
      </c>
      <c r="AW26">
        <v>2</v>
      </c>
      <c r="AX26">
        <v>145034421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ROUND(Y26*Source!I35,9)</f>
        <v>1.98E-3</v>
      </c>
      <c r="CY26">
        <f>AA26</f>
        <v>82083.039999999994</v>
      </c>
      <c r="CZ26">
        <f>AE26</f>
        <v>9424</v>
      </c>
      <c r="DA26">
        <f>AI26</f>
        <v>8.7100000000000009</v>
      </c>
      <c r="DB26">
        <f t="shared" ref="DB26:DB41" si="3">ROUND(ROUND(AT26*CZ26,2),2)</f>
        <v>4.71</v>
      </c>
      <c r="DC26">
        <f t="shared" ref="DC26:DC41" si="4">ROUND(ROUND(AT26*AG26,2),2)</f>
        <v>0</v>
      </c>
      <c r="DD26" t="s">
        <v>3</v>
      </c>
      <c r="DE26" t="s">
        <v>3</v>
      </c>
      <c r="DF26">
        <f>ROUND(ROUND(AE26*AI26,2)*CX26,2)</f>
        <v>162.52000000000001</v>
      </c>
      <c r="DG26">
        <f>ROUND(ROUND(AF26,2)*CX26,2)</f>
        <v>0</v>
      </c>
      <c r="DH26">
        <f>ROUND(ROUND(AG26,2)*CX26,2)</f>
        <v>0</v>
      </c>
      <c r="DI26">
        <f t="shared" si="1"/>
        <v>0</v>
      </c>
      <c r="DJ26">
        <f>DF26</f>
        <v>162.52000000000001</v>
      </c>
      <c r="DK26">
        <v>0</v>
      </c>
      <c r="DL26" t="s">
        <v>3</v>
      </c>
      <c r="DM26">
        <v>0</v>
      </c>
      <c r="DN26" t="s">
        <v>3</v>
      </c>
      <c r="DO26">
        <v>0</v>
      </c>
    </row>
    <row r="27" spans="1:119" x14ac:dyDescent="0.2">
      <c r="A27">
        <f>ROW(Source!A35)</f>
        <v>35</v>
      </c>
      <c r="B27">
        <v>145033679</v>
      </c>
      <c r="C27">
        <v>145034414</v>
      </c>
      <c r="D27">
        <v>140776060</v>
      </c>
      <c r="E27">
        <v>1</v>
      </c>
      <c r="F27">
        <v>1</v>
      </c>
      <c r="G27">
        <v>1</v>
      </c>
      <c r="H27">
        <v>3</v>
      </c>
      <c r="I27" t="s">
        <v>761</v>
      </c>
      <c r="J27" t="s">
        <v>762</v>
      </c>
      <c r="K27" t="s">
        <v>763</v>
      </c>
      <c r="L27">
        <v>1346</v>
      </c>
      <c r="N27">
        <v>1009</v>
      </c>
      <c r="O27" t="s">
        <v>43</v>
      </c>
      <c r="P27" t="s">
        <v>43</v>
      </c>
      <c r="Q27">
        <v>1</v>
      </c>
      <c r="W27">
        <v>0</v>
      </c>
      <c r="X27">
        <v>968783778</v>
      </c>
      <c r="Y27">
        <f t="shared" si="2"/>
        <v>0.52</v>
      </c>
      <c r="AA27">
        <v>246.14</v>
      </c>
      <c r="AB27">
        <v>0</v>
      </c>
      <c r="AC27">
        <v>0</v>
      </c>
      <c r="AD27">
        <v>0</v>
      </c>
      <c r="AE27">
        <v>28.26</v>
      </c>
      <c r="AF27">
        <v>0</v>
      </c>
      <c r="AG27">
        <v>0</v>
      </c>
      <c r="AH27">
        <v>0</v>
      </c>
      <c r="AI27">
        <v>8.7100000000000009</v>
      </c>
      <c r="AJ27">
        <v>1</v>
      </c>
      <c r="AK27">
        <v>1</v>
      </c>
      <c r="AL27">
        <v>1</v>
      </c>
      <c r="AM27">
        <v>4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0.52</v>
      </c>
      <c r="AU27" t="s">
        <v>3</v>
      </c>
      <c r="AV27">
        <v>0</v>
      </c>
      <c r="AW27">
        <v>2</v>
      </c>
      <c r="AX27">
        <v>145034422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ROUND(Y27*Source!I35,9)</f>
        <v>2.0592000000000001</v>
      </c>
      <c r="CY27">
        <f>AA27</f>
        <v>246.14</v>
      </c>
      <c r="CZ27">
        <f>AE27</f>
        <v>28.26</v>
      </c>
      <c r="DA27">
        <f>AI27</f>
        <v>8.7100000000000009</v>
      </c>
      <c r="DB27">
        <f t="shared" si="3"/>
        <v>14.7</v>
      </c>
      <c r="DC27">
        <f t="shared" si="4"/>
        <v>0</v>
      </c>
      <c r="DD27" t="s">
        <v>3</v>
      </c>
      <c r="DE27" t="s">
        <v>3</v>
      </c>
      <c r="DF27">
        <f>ROUND(ROUND(AE27*AI27,2)*CX27,2)</f>
        <v>506.85</v>
      </c>
      <c r="DG27">
        <f>ROUND(ROUND(AF27,2)*CX27,2)</f>
        <v>0</v>
      </c>
      <c r="DH27">
        <f>ROUND(ROUND(AG27,2)*CX27,2)</f>
        <v>0</v>
      </c>
      <c r="DI27">
        <f t="shared" si="1"/>
        <v>0</v>
      </c>
      <c r="DJ27">
        <f>DF27</f>
        <v>506.85</v>
      </c>
      <c r="DK27">
        <v>0</v>
      </c>
      <c r="DL27" t="s">
        <v>3</v>
      </c>
      <c r="DM27">
        <v>0</v>
      </c>
      <c r="DN27" t="s">
        <v>3</v>
      </c>
      <c r="DO27">
        <v>0</v>
      </c>
    </row>
    <row r="28" spans="1:119" x14ac:dyDescent="0.2">
      <c r="A28">
        <f>ROW(Source!A35)</f>
        <v>35</v>
      </c>
      <c r="B28">
        <v>145033679</v>
      </c>
      <c r="C28">
        <v>145034414</v>
      </c>
      <c r="D28">
        <v>140762046</v>
      </c>
      <c r="E28">
        <v>70</v>
      </c>
      <c r="F28">
        <v>1</v>
      </c>
      <c r="G28">
        <v>1</v>
      </c>
      <c r="H28">
        <v>3</v>
      </c>
      <c r="I28" t="s">
        <v>764</v>
      </c>
      <c r="J28" t="s">
        <v>3</v>
      </c>
      <c r="K28" t="s">
        <v>765</v>
      </c>
      <c r="L28">
        <v>1348</v>
      </c>
      <c r="N28">
        <v>1009</v>
      </c>
      <c r="O28" t="s">
        <v>105</v>
      </c>
      <c r="P28" t="s">
        <v>105</v>
      </c>
      <c r="Q28">
        <v>1000</v>
      </c>
      <c r="W28">
        <v>0</v>
      </c>
      <c r="X28">
        <v>-1967731624</v>
      </c>
      <c r="Y28">
        <f t="shared" si="2"/>
        <v>0.3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8.7100000000000009</v>
      </c>
      <c r="AJ28">
        <v>1</v>
      </c>
      <c r="AK28">
        <v>1</v>
      </c>
      <c r="AL28">
        <v>1</v>
      </c>
      <c r="AM28">
        <v>4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0.3</v>
      </c>
      <c r="AU28" t="s">
        <v>3</v>
      </c>
      <c r="AV28">
        <v>0</v>
      </c>
      <c r="AW28">
        <v>2</v>
      </c>
      <c r="AX28">
        <v>145034423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ROUND(Y28*Source!I35,9)</f>
        <v>1.1879999999999999</v>
      </c>
      <c r="CY28">
        <f>AA28</f>
        <v>0</v>
      </c>
      <c r="CZ28">
        <f>AE28</f>
        <v>0</v>
      </c>
      <c r="DA28">
        <f>AI28</f>
        <v>8.7100000000000009</v>
      </c>
      <c r="DB28">
        <f t="shared" si="3"/>
        <v>0</v>
      </c>
      <c r="DC28">
        <f t="shared" si="4"/>
        <v>0</v>
      </c>
      <c r="DD28" t="s">
        <v>3</v>
      </c>
      <c r="DE28" t="s">
        <v>3</v>
      </c>
      <c r="DF28">
        <f>ROUND(ROUND(AE28*AI28,2)*CX28,2)</f>
        <v>0</v>
      </c>
      <c r="DG28">
        <f>ROUND(ROUND(AF28,2)*CX28,2)</f>
        <v>0</v>
      </c>
      <c r="DH28">
        <f>ROUND(ROUND(AG28,2)*CX28,2)</f>
        <v>0</v>
      </c>
      <c r="DI28">
        <f t="shared" si="1"/>
        <v>0</v>
      </c>
      <c r="DJ28">
        <f>DF28</f>
        <v>0</v>
      </c>
      <c r="DK28">
        <v>0</v>
      </c>
      <c r="DL28" t="s">
        <v>3</v>
      </c>
      <c r="DM28">
        <v>0</v>
      </c>
      <c r="DN28" t="s">
        <v>3</v>
      </c>
      <c r="DO28">
        <v>0</v>
      </c>
    </row>
    <row r="29" spans="1:119" x14ac:dyDescent="0.2">
      <c r="A29">
        <f>ROW(Source!A37)</f>
        <v>37</v>
      </c>
      <c r="B29">
        <v>145033679</v>
      </c>
      <c r="C29">
        <v>145034505</v>
      </c>
      <c r="D29">
        <v>140760022</v>
      </c>
      <c r="E29">
        <v>70</v>
      </c>
      <c r="F29">
        <v>1</v>
      </c>
      <c r="G29">
        <v>1</v>
      </c>
      <c r="H29">
        <v>1</v>
      </c>
      <c r="I29" t="s">
        <v>766</v>
      </c>
      <c r="J29" t="s">
        <v>3</v>
      </c>
      <c r="K29" t="s">
        <v>767</v>
      </c>
      <c r="L29">
        <v>1191</v>
      </c>
      <c r="N29">
        <v>1013</v>
      </c>
      <c r="O29" t="s">
        <v>725</v>
      </c>
      <c r="P29" t="s">
        <v>725</v>
      </c>
      <c r="Q29">
        <v>1</v>
      </c>
      <c r="W29">
        <v>0</v>
      </c>
      <c r="X29">
        <v>-2012709214</v>
      </c>
      <c r="Y29">
        <f t="shared" si="2"/>
        <v>130</v>
      </c>
      <c r="AA29">
        <v>0</v>
      </c>
      <c r="AB29">
        <v>0</v>
      </c>
      <c r="AC29">
        <v>0</v>
      </c>
      <c r="AD29">
        <v>287.08</v>
      </c>
      <c r="AE29">
        <v>0</v>
      </c>
      <c r="AF29">
        <v>0</v>
      </c>
      <c r="AG29">
        <v>0</v>
      </c>
      <c r="AH29">
        <v>9.4</v>
      </c>
      <c r="AI29">
        <v>1</v>
      </c>
      <c r="AJ29">
        <v>1</v>
      </c>
      <c r="AK29">
        <v>1</v>
      </c>
      <c r="AL29">
        <v>30.54</v>
      </c>
      <c r="AM29">
        <v>4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130</v>
      </c>
      <c r="AU29" t="s">
        <v>3</v>
      </c>
      <c r="AV29">
        <v>1</v>
      </c>
      <c r="AW29">
        <v>2</v>
      </c>
      <c r="AX29">
        <v>145034506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ROUND(Y29*Source!I37,9)</f>
        <v>293.93</v>
      </c>
      <c r="CY29">
        <f>AD29</f>
        <v>287.08</v>
      </c>
      <c r="CZ29">
        <f>AH29</f>
        <v>9.4</v>
      </c>
      <c r="DA29">
        <f>AL29</f>
        <v>30.54</v>
      </c>
      <c r="DB29">
        <f t="shared" si="3"/>
        <v>1222</v>
      </c>
      <c r="DC29">
        <f t="shared" si="4"/>
        <v>0</v>
      </c>
      <c r="DD29" t="s">
        <v>3</v>
      </c>
      <c r="DE29" t="s">
        <v>3</v>
      </c>
      <c r="DF29">
        <f t="shared" ref="DF29:DF37" si="5">ROUND(ROUND(AE29,2)*CX29,2)</f>
        <v>0</v>
      </c>
      <c r="DG29">
        <f>ROUND(ROUND(AF29,2)*CX29,2)</f>
        <v>0</v>
      </c>
      <c r="DH29">
        <f>ROUND(ROUND(AG29,2)*CX29,2)</f>
        <v>0</v>
      </c>
      <c r="DI29">
        <f>ROUND(ROUND(AH29*AL29,2)*CX29,2)</f>
        <v>84381.42</v>
      </c>
      <c r="DJ29">
        <f>DI29</f>
        <v>84381.42</v>
      </c>
      <c r="DK29">
        <v>0</v>
      </c>
      <c r="DL29" t="s">
        <v>3</v>
      </c>
      <c r="DM29">
        <v>0</v>
      </c>
      <c r="DN29" t="s">
        <v>3</v>
      </c>
      <c r="DO29">
        <v>0</v>
      </c>
    </row>
    <row r="30" spans="1:119" x14ac:dyDescent="0.2">
      <c r="A30">
        <f>ROW(Source!A37)</f>
        <v>37</v>
      </c>
      <c r="B30">
        <v>145033679</v>
      </c>
      <c r="C30">
        <v>145034505</v>
      </c>
      <c r="D30">
        <v>140760225</v>
      </c>
      <c r="E30">
        <v>70</v>
      </c>
      <c r="F30">
        <v>1</v>
      </c>
      <c r="G30">
        <v>1</v>
      </c>
      <c r="H30">
        <v>1</v>
      </c>
      <c r="I30" t="s">
        <v>730</v>
      </c>
      <c r="J30" t="s">
        <v>3</v>
      </c>
      <c r="K30" t="s">
        <v>731</v>
      </c>
      <c r="L30">
        <v>1191</v>
      </c>
      <c r="N30">
        <v>1013</v>
      </c>
      <c r="O30" t="s">
        <v>725</v>
      </c>
      <c r="P30" t="s">
        <v>725</v>
      </c>
      <c r="Q30">
        <v>1</v>
      </c>
      <c r="W30">
        <v>0</v>
      </c>
      <c r="X30">
        <v>-1417349443</v>
      </c>
      <c r="Y30">
        <f t="shared" si="2"/>
        <v>1.8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30.54</v>
      </c>
      <c r="AL30">
        <v>1</v>
      </c>
      <c r="AM30">
        <v>4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1.8</v>
      </c>
      <c r="AU30" t="s">
        <v>3</v>
      </c>
      <c r="AV30">
        <v>2</v>
      </c>
      <c r="AW30">
        <v>2</v>
      </c>
      <c r="AX30">
        <v>145034507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ROUND(Y30*Source!I37,9)</f>
        <v>4.0697999999999999</v>
      </c>
      <c r="CY30">
        <f>AD30</f>
        <v>0</v>
      </c>
      <c r="CZ30">
        <f>AH30</f>
        <v>0</v>
      </c>
      <c r="DA30">
        <f>AL30</f>
        <v>1</v>
      </c>
      <c r="DB30">
        <f t="shared" si="3"/>
        <v>0</v>
      </c>
      <c r="DC30">
        <f t="shared" si="4"/>
        <v>0</v>
      </c>
      <c r="DD30" t="s">
        <v>3</v>
      </c>
      <c r="DE30" t="s">
        <v>3</v>
      </c>
      <c r="DF30">
        <f t="shared" si="5"/>
        <v>0</v>
      </c>
      <c r="DG30">
        <f>ROUND(ROUND(AF30,2)*CX30,2)</f>
        <v>0</v>
      </c>
      <c r="DH30">
        <f t="shared" ref="DH30:DH37" si="6">ROUND(ROUND(AG30*AK30,2)*CX30,2)</f>
        <v>0</v>
      </c>
      <c r="DI30">
        <f t="shared" ref="DI30:DI41" si="7">ROUND(ROUND(AH30,2)*CX30,2)</f>
        <v>0</v>
      </c>
      <c r="DJ30">
        <f>DI30</f>
        <v>0</v>
      </c>
      <c r="DK30">
        <v>0</v>
      </c>
      <c r="DL30" t="s">
        <v>3</v>
      </c>
      <c r="DM30">
        <v>0</v>
      </c>
      <c r="DN30" t="s">
        <v>3</v>
      </c>
      <c r="DO30">
        <v>0</v>
      </c>
    </row>
    <row r="31" spans="1:119" x14ac:dyDescent="0.2">
      <c r="A31">
        <f>ROW(Source!A37)</f>
        <v>37</v>
      </c>
      <c r="B31">
        <v>145033679</v>
      </c>
      <c r="C31">
        <v>145034505</v>
      </c>
      <c r="D31">
        <v>140922951</v>
      </c>
      <c r="E31">
        <v>1</v>
      </c>
      <c r="F31">
        <v>1</v>
      </c>
      <c r="G31">
        <v>1</v>
      </c>
      <c r="H31">
        <v>2</v>
      </c>
      <c r="I31" t="s">
        <v>752</v>
      </c>
      <c r="J31" t="s">
        <v>753</v>
      </c>
      <c r="K31" t="s">
        <v>754</v>
      </c>
      <c r="L31">
        <v>1367</v>
      </c>
      <c r="N31">
        <v>1011</v>
      </c>
      <c r="O31" t="s">
        <v>79</v>
      </c>
      <c r="P31" t="s">
        <v>79</v>
      </c>
      <c r="Q31">
        <v>1</v>
      </c>
      <c r="W31">
        <v>0</v>
      </c>
      <c r="X31">
        <v>-430484415</v>
      </c>
      <c r="Y31">
        <f t="shared" si="2"/>
        <v>0.5</v>
      </c>
      <c r="AA31">
        <v>0</v>
      </c>
      <c r="AB31">
        <v>1399.8</v>
      </c>
      <c r="AC31">
        <v>412.29</v>
      </c>
      <c r="AD31">
        <v>0</v>
      </c>
      <c r="AE31">
        <v>0</v>
      </c>
      <c r="AF31">
        <v>115.4</v>
      </c>
      <c r="AG31">
        <v>13.5</v>
      </c>
      <c r="AH31">
        <v>0</v>
      </c>
      <c r="AI31">
        <v>1</v>
      </c>
      <c r="AJ31">
        <v>12.13</v>
      </c>
      <c r="AK31">
        <v>30.54</v>
      </c>
      <c r="AL31">
        <v>1</v>
      </c>
      <c r="AM31">
        <v>4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0.5</v>
      </c>
      <c r="AU31" t="s">
        <v>3</v>
      </c>
      <c r="AV31">
        <v>0</v>
      </c>
      <c r="AW31">
        <v>2</v>
      </c>
      <c r="AX31">
        <v>145034508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ROUND(Y31*Source!I37,9)</f>
        <v>1.1305000000000001</v>
      </c>
      <c r="CY31">
        <f t="shared" ref="CY31:CY37" si="8">AB31</f>
        <v>1399.8</v>
      </c>
      <c r="CZ31">
        <f t="shared" ref="CZ31:CZ37" si="9">AF31</f>
        <v>115.4</v>
      </c>
      <c r="DA31">
        <f t="shared" ref="DA31:DA37" si="10">AJ31</f>
        <v>12.13</v>
      </c>
      <c r="DB31">
        <f t="shared" si="3"/>
        <v>57.7</v>
      </c>
      <c r="DC31">
        <f t="shared" si="4"/>
        <v>6.75</v>
      </c>
      <c r="DD31" t="s">
        <v>3</v>
      </c>
      <c r="DE31" t="s">
        <v>3</v>
      </c>
      <c r="DF31">
        <f t="shared" si="5"/>
        <v>0</v>
      </c>
      <c r="DG31">
        <f t="shared" ref="DG31:DG37" si="11">ROUND(ROUND(AF31*AJ31,2)*CX31,2)</f>
        <v>1582.47</v>
      </c>
      <c r="DH31">
        <f t="shared" si="6"/>
        <v>466.09</v>
      </c>
      <c r="DI31">
        <f t="shared" si="7"/>
        <v>0</v>
      </c>
      <c r="DJ31">
        <f t="shared" ref="DJ31:DJ37" si="12">DG31</f>
        <v>1582.47</v>
      </c>
      <c r="DK31">
        <v>0</v>
      </c>
      <c r="DL31" t="s">
        <v>3</v>
      </c>
      <c r="DM31">
        <v>0</v>
      </c>
      <c r="DN31" t="s">
        <v>3</v>
      </c>
      <c r="DO31">
        <v>0</v>
      </c>
    </row>
    <row r="32" spans="1:119" x14ac:dyDescent="0.2">
      <c r="A32">
        <f>ROW(Source!A37)</f>
        <v>37</v>
      </c>
      <c r="B32">
        <v>145033679</v>
      </c>
      <c r="C32">
        <v>145034505</v>
      </c>
      <c r="D32">
        <v>140923088</v>
      </c>
      <c r="E32">
        <v>1</v>
      </c>
      <c r="F32">
        <v>1</v>
      </c>
      <c r="G32">
        <v>1</v>
      </c>
      <c r="H32">
        <v>2</v>
      </c>
      <c r="I32" t="s">
        <v>768</v>
      </c>
      <c r="J32" t="s">
        <v>769</v>
      </c>
      <c r="K32" t="s">
        <v>770</v>
      </c>
      <c r="L32">
        <v>1367</v>
      </c>
      <c r="N32">
        <v>1011</v>
      </c>
      <c r="O32" t="s">
        <v>79</v>
      </c>
      <c r="P32" t="s">
        <v>79</v>
      </c>
      <c r="Q32">
        <v>1</v>
      </c>
      <c r="W32">
        <v>0</v>
      </c>
      <c r="X32">
        <v>-382331097</v>
      </c>
      <c r="Y32">
        <f t="shared" si="2"/>
        <v>1.37</v>
      </c>
      <c r="AA32">
        <v>0</v>
      </c>
      <c r="AB32">
        <v>83.7</v>
      </c>
      <c r="AC32">
        <v>0</v>
      </c>
      <c r="AD32">
        <v>0</v>
      </c>
      <c r="AE32">
        <v>0</v>
      </c>
      <c r="AF32">
        <v>6.9</v>
      </c>
      <c r="AG32">
        <v>0</v>
      </c>
      <c r="AH32">
        <v>0</v>
      </c>
      <c r="AI32">
        <v>1</v>
      </c>
      <c r="AJ32">
        <v>12.13</v>
      </c>
      <c r="AK32">
        <v>30.54</v>
      </c>
      <c r="AL32">
        <v>1</v>
      </c>
      <c r="AM32">
        <v>4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1.37</v>
      </c>
      <c r="AU32" t="s">
        <v>3</v>
      </c>
      <c r="AV32">
        <v>0</v>
      </c>
      <c r="AW32">
        <v>2</v>
      </c>
      <c r="AX32">
        <v>145034509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ROUND(Y32*Source!I37,9)</f>
        <v>3.0975700000000002</v>
      </c>
      <c r="CY32">
        <f t="shared" si="8"/>
        <v>83.7</v>
      </c>
      <c r="CZ32">
        <f t="shared" si="9"/>
        <v>6.9</v>
      </c>
      <c r="DA32">
        <f t="shared" si="10"/>
        <v>12.13</v>
      </c>
      <c r="DB32">
        <f t="shared" si="3"/>
        <v>9.4499999999999993</v>
      </c>
      <c r="DC32">
        <f t="shared" si="4"/>
        <v>0</v>
      </c>
      <c r="DD32" t="s">
        <v>3</v>
      </c>
      <c r="DE32" t="s">
        <v>3</v>
      </c>
      <c r="DF32">
        <f t="shared" si="5"/>
        <v>0</v>
      </c>
      <c r="DG32">
        <f t="shared" si="11"/>
        <v>259.27</v>
      </c>
      <c r="DH32">
        <f t="shared" si="6"/>
        <v>0</v>
      </c>
      <c r="DI32">
        <f t="shared" si="7"/>
        <v>0</v>
      </c>
      <c r="DJ32">
        <f t="shared" si="12"/>
        <v>259.27</v>
      </c>
      <c r="DK32">
        <v>0</v>
      </c>
      <c r="DL32" t="s">
        <v>3</v>
      </c>
      <c r="DM32">
        <v>0</v>
      </c>
      <c r="DN32" t="s">
        <v>3</v>
      </c>
      <c r="DO32">
        <v>0</v>
      </c>
    </row>
    <row r="33" spans="1:119" x14ac:dyDescent="0.2">
      <c r="A33">
        <f>ROW(Source!A37)</f>
        <v>37</v>
      </c>
      <c r="B33">
        <v>145033679</v>
      </c>
      <c r="C33">
        <v>145034505</v>
      </c>
      <c r="D33">
        <v>140923886</v>
      </c>
      <c r="E33">
        <v>1</v>
      </c>
      <c r="F33">
        <v>1</v>
      </c>
      <c r="G33">
        <v>1</v>
      </c>
      <c r="H33">
        <v>2</v>
      </c>
      <c r="I33" t="s">
        <v>771</v>
      </c>
      <c r="J33" t="s">
        <v>772</v>
      </c>
      <c r="K33" t="s">
        <v>773</v>
      </c>
      <c r="L33">
        <v>1367</v>
      </c>
      <c r="N33">
        <v>1011</v>
      </c>
      <c r="O33" t="s">
        <v>79</v>
      </c>
      <c r="P33" t="s">
        <v>79</v>
      </c>
      <c r="Q33">
        <v>1</v>
      </c>
      <c r="W33">
        <v>0</v>
      </c>
      <c r="X33">
        <v>2006019958</v>
      </c>
      <c r="Y33">
        <f t="shared" si="2"/>
        <v>0.5</v>
      </c>
      <c r="AA33">
        <v>0</v>
      </c>
      <c r="AB33">
        <v>1041.24</v>
      </c>
      <c r="AC33">
        <v>354.26</v>
      </c>
      <c r="AD33">
        <v>0</v>
      </c>
      <c r="AE33">
        <v>0</v>
      </c>
      <c r="AF33">
        <v>85.84</v>
      </c>
      <c r="AG33">
        <v>11.6</v>
      </c>
      <c r="AH33">
        <v>0</v>
      </c>
      <c r="AI33">
        <v>1</v>
      </c>
      <c r="AJ33">
        <v>12.13</v>
      </c>
      <c r="AK33">
        <v>30.54</v>
      </c>
      <c r="AL33">
        <v>1</v>
      </c>
      <c r="AM33">
        <v>4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0.5</v>
      </c>
      <c r="AU33" t="s">
        <v>3</v>
      </c>
      <c r="AV33">
        <v>0</v>
      </c>
      <c r="AW33">
        <v>2</v>
      </c>
      <c r="AX33">
        <v>145034510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ROUND(Y33*Source!I37,9)</f>
        <v>1.1305000000000001</v>
      </c>
      <c r="CY33">
        <f t="shared" si="8"/>
        <v>1041.24</v>
      </c>
      <c r="CZ33">
        <f t="shared" si="9"/>
        <v>85.84</v>
      </c>
      <c r="DA33">
        <f t="shared" si="10"/>
        <v>12.13</v>
      </c>
      <c r="DB33">
        <f t="shared" si="3"/>
        <v>42.92</v>
      </c>
      <c r="DC33">
        <f t="shared" si="4"/>
        <v>5.8</v>
      </c>
      <c r="DD33" t="s">
        <v>3</v>
      </c>
      <c r="DE33" t="s">
        <v>3</v>
      </c>
      <c r="DF33">
        <f t="shared" si="5"/>
        <v>0</v>
      </c>
      <c r="DG33">
        <f t="shared" si="11"/>
        <v>1177.1199999999999</v>
      </c>
      <c r="DH33">
        <f t="shared" si="6"/>
        <v>400.49</v>
      </c>
      <c r="DI33">
        <f t="shared" si="7"/>
        <v>0</v>
      </c>
      <c r="DJ33">
        <f t="shared" si="12"/>
        <v>1177.1199999999999</v>
      </c>
      <c r="DK33">
        <v>0</v>
      </c>
      <c r="DL33" t="s">
        <v>3</v>
      </c>
      <c r="DM33">
        <v>0</v>
      </c>
      <c r="DN33" t="s">
        <v>3</v>
      </c>
      <c r="DO33">
        <v>0</v>
      </c>
    </row>
    <row r="34" spans="1:119" x14ac:dyDescent="0.2">
      <c r="A34">
        <f>ROW(Source!A37)</f>
        <v>37</v>
      </c>
      <c r="B34">
        <v>145033679</v>
      </c>
      <c r="C34">
        <v>145034505</v>
      </c>
      <c r="D34">
        <v>140924028</v>
      </c>
      <c r="E34">
        <v>1</v>
      </c>
      <c r="F34">
        <v>1</v>
      </c>
      <c r="G34">
        <v>1</v>
      </c>
      <c r="H34">
        <v>2</v>
      </c>
      <c r="I34" t="s">
        <v>774</v>
      </c>
      <c r="J34" t="s">
        <v>775</v>
      </c>
      <c r="K34" t="s">
        <v>776</v>
      </c>
      <c r="L34">
        <v>1367</v>
      </c>
      <c r="N34">
        <v>1011</v>
      </c>
      <c r="O34" t="s">
        <v>79</v>
      </c>
      <c r="P34" t="s">
        <v>79</v>
      </c>
      <c r="Q34">
        <v>1</v>
      </c>
      <c r="W34">
        <v>0</v>
      </c>
      <c r="X34">
        <v>-536365956</v>
      </c>
      <c r="Y34">
        <f t="shared" si="2"/>
        <v>43.4</v>
      </c>
      <c r="AA34">
        <v>0</v>
      </c>
      <c r="AB34">
        <v>479.01</v>
      </c>
      <c r="AC34">
        <v>0</v>
      </c>
      <c r="AD34">
        <v>0</v>
      </c>
      <c r="AE34">
        <v>0</v>
      </c>
      <c r="AF34">
        <v>39.49</v>
      </c>
      <c r="AG34">
        <v>0</v>
      </c>
      <c r="AH34">
        <v>0</v>
      </c>
      <c r="AI34">
        <v>1</v>
      </c>
      <c r="AJ34">
        <v>12.13</v>
      </c>
      <c r="AK34">
        <v>30.54</v>
      </c>
      <c r="AL34">
        <v>1</v>
      </c>
      <c r="AM34">
        <v>4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43.4</v>
      </c>
      <c r="AU34" t="s">
        <v>3</v>
      </c>
      <c r="AV34">
        <v>0</v>
      </c>
      <c r="AW34">
        <v>2</v>
      </c>
      <c r="AX34">
        <v>145034511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ROUND(Y34*Source!I37,9)</f>
        <v>98.127399999999994</v>
      </c>
      <c r="CY34">
        <f t="shared" si="8"/>
        <v>479.01</v>
      </c>
      <c r="CZ34">
        <f t="shared" si="9"/>
        <v>39.49</v>
      </c>
      <c r="DA34">
        <f t="shared" si="10"/>
        <v>12.13</v>
      </c>
      <c r="DB34">
        <f t="shared" si="3"/>
        <v>1713.87</v>
      </c>
      <c r="DC34">
        <f t="shared" si="4"/>
        <v>0</v>
      </c>
      <c r="DD34" t="s">
        <v>3</v>
      </c>
      <c r="DE34" t="s">
        <v>3</v>
      </c>
      <c r="DF34">
        <f t="shared" si="5"/>
        <v>0</v>
      </c>
      <c r="DG34">
        <f t="shared" si="11"/>
        <v>47004.01</v>
      </c>
      <c r="DH34">
        <f t="shared" si="6"/>
        <v>0</v>
      </c>
      <c r="DI34">
        <f t="shared" si="7"/>
        <v>0</v>
      </c>
      <c r="DJ34">
        <f t="shared" si="12"/>
        <v>47004.01</v>
      </c>
      <c r="DK34">
        <v>0</v>
      </c>
      <c r="DL34" t="s">
        <v>3</v>
      </c>
      <c r="DM34">
        <v>0</v>
      </c>
      <c r="DN34" t="s">
        <v>3</v>
      </c>
      <c r="DO34">
        <v>0</v>
      </c>
    </row>
    <row r="35" spans="1:119" x14ac:dyDescent="0.2">
      <c r="A35">
        <f>ROW(Source!A37)</f>
        <v>37</v>
      </c>
      <c r="B35">
        <v>145033679</v>
      </c>
      <c r="C35">
        <v>145034505</v>
      </c>
      <c r="D35">
        <v>140924041</v>
      </c>
      <c r="E35">
        <v>1</v>
      </c>
      <c r="F35">
        <v>1</v>
      </c>
      <c r="G35">
        <v>1</v>
      </c>
      <c r="H35">
        <v>2</v>
      </c>
      <c r="I35" t="s">
        <v>777</v>
      </c>
      <c r="J35" t="s">
        <v>778</v>
      </c>
      <c r="K35" t="s">
        <v>779</v>
      </c>
      <c r="L35">
        <v>1367</v>
      </c>
      <c r="N35">
        <v>1011</v>
      </c>
      <c r="O35" t="s">
        <v>79</v>
      </c>
      <c r="P35" t="s">
        <v>79</v>
      </c>
      <c r="Q35">
        <v>1</v>
      </c>
      <c r="W35">
        <v>0</v>
      </c>
      <c r="X35">
        <v>2077867240</v>
      </c>
      <c r="Y35">
        <f t="shared" si="2"/>
        <v>0.9</v>
      </c>
      <c r="AA35">
        <v>0</v>
      </c>
      <c r="AB35">
        <v>14.56</v>
      </c>
      <c r="AC35">
        <v>0</v>
      </c>
      <c r="AD35">
        <v>0</v>
      </c>
      <c r="AE35">
        <v>0</v>
      </c>
      <c r="AF35">
        <v>1.2</v>
      </c>
      <c r="AG35">
        <v>0</v>
      </c>
      <c r="AH35">
        <v>0</v>
      </c>
      <c r="AI35">
        <v>1</v>
      </c>
      <c r="AJ35">
        <v>12.13</v>
      </c>
      <c r="AK35">
        <v>30.54</v>
      </c>
      <c r="AL35">
        <v>1</v>
      </c>
      <c r="AM35">
        <v>4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0.9</v>
      </c>
      <c r="AU35" t="s">
        <v>3</v>
      </c>
      <c r="AV35">
        <v>0</v>
      </c>
      <c r="AW35">
        <v>2</v>
      </c>
      <c r="AX35">
        <v>145034512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ROUND(Y35*Source!I37,9)</f>
        <v>2.0348999999999999</v>
      </c>
      <c r="CY35">
        <f t="shared" si="8"/>
        <v>14.56</v>
      </c>
      <c r="CZ35">
        <f t="shared" si="9"/>
        <v>1.2</v>
      </c>
      <c r="DA35">
        <f t="shared" si="10"/>
        <v>12.13</v>
      </c>
      <c r="DB35">
        <f t="shared" si="3"/>
        <v>1.08</v>
      </c>
      <c r="DC35">
        <f t="shared" si="4"/>
        <v>0</v>
      </c>
      <c r="DD35" t="s">
        <v>3</v>
      </c>
      <c r="DE35" t="s">
        <v>3</v>
      </c>
      <c r="DF35">
        <f t="shared" si="5"/>
        <v>0</v>
      </c>
      <c r="DG35">
        <f t="shared" si="11"/>
        <v>29.63</v>
      </c>
      <c r="DH35">
        <f t="shared" si="6"/>
        <v>0</v>
      </c>
      <c r="DI35">
        <f t="shared" si="7"/>
        <v>0</v>
      </c>
      <c r="DJ35">
        <f t="shared" si="12"/>
        <v>29.63</v>
      </c>
      <c r="DK35">
        <v>0</v>
      </c>
      <c r="DL35" t="s">
        <v>3</v>
      </c>
      <c r="DM35">
        <v>0</v>
      </c>
      <c r="DN35" t="s">
        <v>3</v>
      </c>
      <c r="DO35">
        <v>0</v>
      </c>
    </row>
    <row r="36" spans="1:119" x14ac:dyDescent="0.2">
      <c r="A36">
        <f>ROW(Source!A37)</f>
        <v>37</v>
      </c>
      <c r="B36">
        <v>145033679</v>
      </c>
      <c r="C36">
        <v>145034505</v>
      </c>
      <c r="D36">
        <v>140924610</v>
      </c>
      <c r="E36">
        <v>1</v>
      </c>
      <c r="F36">
        <v>1</v>
      </c>
      <c r="G36">
        <v>1</v>
      </c>
      <c r="H36">
        <v>2</v>
      </c>
      <c r="I36" t="s">
        <v>780</v>
      </c>
      <c r="J36" t="s">
        <v>781</v>
      </c>
      <c r="K36" t="s">
        <v>782</v>
      </c>
      <c r="L36">
        <v>1367</v>
      </c>
      <c r="N36">
        <v>1011</v>
      </c>
      <c r="O36" t="s">
        <v>79</v>
      </c>
      <c r="P36" t="s">
        <v>79</v>
      </c>
      <c r="Q36">
        <v>1</v>
      </c>
      <c r="W36">
        <v>0</v>
      </c>
      <c r="X36">
        <v>-193141335</v>
      </c>
      <c r="Y36">
        <f t="shared" si="2"/>
        <v>0.8</v>
      </c>
      <c r="AA36">
        <v>0</v>
      </c>
      <c r="AB36">
        <v>186.8</v>
      </c>
      <c r="AC36">
        <v>307.23</v>
      </c>
      <c r="AD36">
        <v>0</v>
      </c>
      <c r="AE36">
        <v>0</v>
      </c>
      <c r="AF36">
        <v>15.4</v>
      </c>
      <c r="AG36">
        <v>10.06</v>
      </c>
      <c r="AH36">
        <v>0</v>
      </c>
      <c r="AI36">
        <v>1</v>
      </c>
      <c r="AJ36">
        <v>12.13</v>
      </c>
      <c r="AK36">
        <v>30.54</v>
      </c>
      <c r="AL36">
        <v>1</v>
      </c>
      <c r="AM36">
        <v>4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0.8</v>
      </c>
      <c r="AU36" t="s">
        <v>3</v>
      </c>
      <c r="AV36">
        <v>0</v>
      </c>
      <c r="AW36">
        <v>2</v>
      </c>
      <c r="AX36">
        <v>145034513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ROUND(Y36*Source!I37,9)</f>
        <v>1.8088</v>
      </c>
      <c r="CY36">
        <f t="shared" si="8"/>
        <v>186.8</v>
      </c>
      <c r="CZ36">
        <f t="shared" si="9"/>
        <v>15.4</v>
      </c>
      <c r="DA36">
        <f t="shared" si="10"/>
        <v>12.13</v>
      </c>
      <c r="DB36">
        <f t="shared" si="3"/>
        <v>12.32</v>
      </c>
      <c r="DC36">
        <f t="shared" si="4"/>
        <v>8.0500000000000007</v>
      </c>
      <c r="DD36" t="s">
        <v>3</v>
      </c>
      <c r="DE36" t="s">
        <v>3</v>
      </c>
      <c r="DF36">
        <f t="shared" si="5"/>
        <v>0</v>
      </c>
      <c r="DG36">
        <f t="shared" si="11"/>
        <v>337.88</v>
      </c>
      <c r="DH36">
        <f t="shared" si="6"/>
        <v>555.72</v>
      </c>
      <c r="DI36">
        <f t="shared" si="7"/>
        <v>0</v>
      </c>
      <c r="DJ36">
        <f t="shared" si="12"/>
        <v>337.88</v>
      </c>
      <c r="DK36">
        <v>0</v>
      </c>
      <c r="DL36" t="s">
        <v>3</v>
      </c>
      <c r="DM36">
        <v>0</v>
      </c>
      <c r="DN36" t="s">
        <v>3</v>
      </c>
      <c r="DO36">
        <v>0</v>
      </c>
    </row>
    <row r="37" spans="1:119" x14ac:dyDescent="0.2">
      <c r="A37">
        <f>ROW(Source!A37)</f>
        <v>37</v>
      </c>
      <c r="B37">
        <v>145033679</v>
      </c>
      <c r="C37">
        <v>145034505</v>
      </c>
      <c r="D37">
        <v>140924652</v>
      </c>
      <c r="E37">
        <v>1</v>
      </c>
      <c r="F37">
        <v>1</v>
      </c>
      <c r="G37">
        <v>1</v>
      </c>
      <c r="H37">
        <v>2</v>
      </c>
      <c r="I37" t="s">
        <v>783</v>
      </c>
      <c r="J37" t="s">
        <v>784</v>
      </c>
      <c r="K37" t="s">
        <v>785</v>
      </c>
      <c r="L37">
        <v>1367</v>
      </c>
      <c r="N37">
        <v>1011</v>
      </c>
      <c r="O37" t="s">
        <v>79</v>
      </c>
      <c r="P37" t="s">
        <v>79</v>
      </c>
      <c r="Q37">
        <v>1</v>
      </c>
      <c r="W37">
        <v>0</v>
      </c>
      <c r="X37">
        <v>-1100498410</v>
      </c>
      <c r="Y37">
        <f t="shared" si="2"/>
        <v>2.4</v>
      </c>
      <c r="AA37">
        <v>0</v>
      </c>
      <c r="AB37">
        <v>28.63</v>
      </c>
      <c r="AC37">
        <v>0</v>
      </c>
      <c r="AD37">
        <v>0</v>
      </c>
      <c r="AE37">
        <v>0</v>
      </c>
      <c r="AF37">
        <v>2.36</v>
      </c>
      <c r="AG37">
        <v>0</v>
      </c>
      <c r="AH37">
        <v>0</v>
      </c>
      <c r="AI37">
        <v>1</v>
      </c>
      <c r="AJ37">
        <v>12.13</v>
      </c>
      <c r="AK37">
        <v>30.54</v>
      </c>
      <c r="AL37">
        <v>1</v>
      </c>
      <c r="AM37">
        <v>4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2.4</v>
      </c>
      <c r="AU37" t="s">
        <v>3</v>
      </c>
      <c r="AV37">
        <v>0</v>
      </c>
      <c r="AW37">
        <v>2</v>
      </c>
      <c r="AX37">
        <v>145034514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ROUND(Y37*Source!I37,9)</f>
        <v>5.4264000000000001</v>
      </c>
      <c r="CY37">
        <f t="shared" si="8"/>
        <v>28.63</v>
      </c>
      <c r="CZ37">
        <f t="shared" si="9"/>
        <v>2.36</v>
      </c>
      <c r="DA37">
        <f t="shared" si="10"/>
        <v>12.13</v>
      </c>
      <c r="DB37">
        <f t="shared" si="3"/>
        <v>5.66</v>
      </c>
      <c r="DC37">
        <f t="shared" si="4"/>
        <v>0</v>
      </c>
      <c r="DD37" t="s">
        <v>3</v>
      </c>
      <c r="DE37" t="s">
        <v>3</v>
      </c>
      <c r="DF37">
        <f t="shared" si="5"/>
        <v>0</v>
      </c>
      <c r="DG37">
        <f t="shared" si="11"/>
        <v>155.36000000000001</v>
      </c>
      <c r="DH37">
        <f t="shared" si="6"/>
        <v>0</v>
      </c>
      <c r="DI37">
        <f t="shared" si="7"/>
        <v>0</v>
      </c>
      <c r="DJ37">
        <f t="shared" si="12"/>
        <v>155.36000000000001</v>
      </c>
      <c r="DK37">
        <v>0</v>
      </c>
      <c r="DL37" t="s">
        <v>3</v>
      </c>
      <c r="DM37">
        <v>0</v>
      </c>
      <c r="DN37" t="s">
        <v>3</v>
      </c>
      <c r="DO37">
        <v>0</v>
      </c>
    </row>
    <row r="38" spans="1:119" x14ac:dyDescent="0.2">
      <c r="A38">
        <f>ROW(Source!A37)</f>
        <v>37</v>
      </c>
      <c r="B38">
        <v>145033679</v>
      </c>
      <c r="C38">
        <v>145034505</v>
      </c>
      <c r="D38">
        <v>140771005</v>
      </c>
      <c r="E38">
        <v>1</v>
      </c>
      <c r="F38">
        <v>1</v>
      </c>
      <c r="G38">
        <v>1</v>
      </c>
      <c r="H38">
        <v>3</v>
      </c>
      <c r="I38" t="s">
        <v>786</v>
      </c>
      <c r="J38" t="s">
        <v>787</v>
      </c>
      <c r="K38" t="s">
        <v>788</v>
      </c>
      <c r="L38">
        <v>1339</v>
      </c>
      <c r="N38">
        <v>1007</v>
      </c>
      <c r="O38" t="s">
        <v>66</v>
      </c>
      <c r="P38" t="s">
        <v>66</v>
      </c>
      <c r="Q38">
        <v>1</v>
      </c>
      <c r="W38">
        <v>0</v>
      </c>
      <c r="X38">
        <v>-1761807714</v>
      </c>
      <c r="Y38">
        <f t="shared" si="2"/>
        <v>0.6</v>
      </c>
      <c r="AA38">
        <v>54.18</v>
      </c>
      <c r="AB38">
        <v>0</v>
      </c>
      <c r="AC38">
        <v>0</v>
      </c>
      <c r="AD38">
        <v>0</v>
      </c>
      <c r="AE38">
        <v>6.22</v>
      </c>
      <c r="AF38">
        <v>0</v>
      </c>
      <c r="AG38">
        <v>0</v>
      </c>
      <c r="AH38">
        <v>0</v>
      </c>
      <c r="AI38">
        <v>8.7100000000000009</v>
      </c>
      <c r="AJ38">
        <v>1</v>
      </c>
      <c r="AK38">
        <v>1</v>
      </c>
      <c r="AL38">
        <v>1</v>
      </c>
      <c r="AM38">
        <v>4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0.6</v>
      </c>
      <c r="AU38" t="s">
        <v>3</v>
      </c>
      <c r="AV38">
        <v>0</v>
      </c>
      <c r="AW38">
        <v>2</v>
      </c>
      <c r="AX38">
        <v>145034515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ROUND(Y38*Source!I37,9)</f>
        <v>1.3566</v>
      </c>
      <c r="CY38">
        <f>AA38</f>
        <v>54.18</v>
      </c>
      <c r="CZ38">
        <f>AE38</f>
        <v>6.22</v>
      </c>
      <c r="DA38">
        <f>AI38</f>
        <v>8.7100000000000009</v>
      </c>
      <c r="DB38">
        <f t="shared" si="3"/>
        <v>3.73</v>
      </c>
      <c r="DC38">
        <f t="shared" si="4"/>
        <v>0</v>
      </c>
      <c r="DD38" t="s">
        <v>3</v>
      </c>
      <c r="DE38" t="s">
        <v>3</v>
      </c>
      <c r="DF38">
        <f>ROUND(ROUND(AE38*AI38,2)*CX38,2)</f>
        <v>73.5</v>
      </c>
      <c r="DG38">
        <f t="shared" ref="DG38:DG43" si="13">ROUND(ROUND(AF38,2)*CX38,2)</f>
        <v>0</v>
      </c>
      <c r="DH38">
        <f>ROUND(ROUND(AG38,2)*CX38,2)</f>
        <v>0</v>
      </c>
      <c r="DI38">
        <f t="shared" si="7"/>
        <v>0</v>
      </c>
      <c r="DJ38">
        <f>DF38</f>
        <v>73.5</v>
      </c>
      <c r="DK38">
        <v>0</v>
      </c>
      <c r="DL38" t="s">
        <v>3</v>
      </c>
      <c r="DM38">
        <v>0</v>
      </c>
      <c r="DN38" t="s">
        <v>3</v>
      </c>
      <c r="DO38">
        <v>0</v>
      </c>
    </row>
    <row r="39" spans="1:119" x14ac:dyDescent="0.2">
      <c r="A39">
        <f>ROW(Source!A37)</f>
        <v>37</v>
      </c>
      <c r="B39">
        <v>145033679</v>
      </c>
      <c r="C39">
        <v>145034505</v>
      </c>
      <c r="D39">
        <v>140771011</v>
      </c>
      <c r="E39">
        <v>1</v>
      </c>
      <c r="F39">
        <v>1</v>
      </c>
      <c r="G39">
        <v>1</v>
      </c>
      <c r="H39">
        <v>3</v>
      </c>
      <c r="I39" t="s">
        <v>789</v>
      </c>
      <c r="J39" t="s">
        <v>790</v>
      </c>
      <c r="K39" t="s">
        <v>791</v>
      </c>
      <c r="L39">
        <v>1346</v>
      </c>
      <c r="N39">
        <v>1009</v>
      </c>
      <c r="O39" t="s">
        <v>43</v>
      </c>
      <c r="P39" t="s">
        <v>43</v>
      </c>
      <c r="Q39">
        <v>1</v>
      </c>
      <c r="W39">
        <v>0</v>
      </c>
      <c r="X39">
        <v>-2118006079</v>
      </c>
      <c r="Y39">
        <f t="shared" si="2"/>
        <v>0.2</v>
      </c>
      <c r="AA39">
        <v>53.04</v>
      </c>
      <c r="AB39">
        <v>0</v>
      </c>
      <c r="AC39">
        <v>0</v>
      </c>
      <c r="AD39">
        <v>0</v>
      </c>
      <c r="AE39">
        <v>6.09</v>
      </c>
      <c r="AF39">
        <v>0</v>
      </c>
      <c r="AG39">
        <v>0</v>
      </c>
      <c r="AH39">
        <v>0</v>
      </c>
      <c r="AI39">
        <v>8.7100000000000009</v>
      </c>
      <c r="AJ39">
        <v>1</v>
      </c>
      <c r="AK39">
        <v>1</v>
      </c>
      <c r="AL39">
        <v>1</v>
      </c>
      <c r="AM39">
        <v>4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145034516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ROUND(Y39*Source!I37,9)</f>
        <v>0.45219999999999999</v>
      </c>
      <c r="CY39">
        <f>AA39</f>
        <v>53.04</v>
      </c>
      <c r="CZ39">
        <f>AE39</f>
        <v>6.09</v>
      </c>
      <c r="DA39">
        <f>AI39</f>
        <v>8.7100000000000009</v>
      </c>
      <c r="DB39">
        <f t="shared" si="3"/>
        <v>1.22</v>
      </c>
      <c r="DC39">
        <f t="shared" si="4"/>
        <v>0</v>
      </c>
      <c r="DD39" t="s">
        <v>3</v>
      </c>
      <c r="DE39" t="s">
        <v>3</v>
      </c>
      <c r="DF39">
        <f>ROUND(ROUND(AE39*AI39,2)*CX39,2)</f>
        <v>23.98</v>
      </c>
      <c r="DG39">
        <f t="shared" si="13"/>
        <v>0</v>
      </c>
      <c r="DH39">
        <f>ROUND(ROUND(AG39,2)*CX39,2)</f>
        <v>0</v>
      </c>
      <c r="DI39">
        <f t="shared" si="7"/>
        <v>0</v>
      </c>
      <c r="DJ39">
        <f>DF39</f>
        <v>23.98</v>
      </c>
      <c r="DK39">
        <v>0</v>
      </c>
      <c r="DL39" t="s">
        <v>3</v>
      </c>
      <c r="DM39">
        <v>0</v>
      </c>
      <c r="DN39" t="s">
        <v>3</v>
      </c>
      <c r="DO39">
        <v>0</v>
      </c>
    </row>
    <row r="40" spans="1:119" x14ac:dyDescent="0.2">
      <c r="A40">
        <f>ROW(Source!A37)</f>
        <v>37</v>
      </c>
      <c r="B40">
        <v>145033679</v>
      </c>
      <c r="C40">
        <v>145034505</v>
      </c>
      <c r="D40">
        <v>140773788</v>
      </c>
      <c r="E40">
        <v>1</v>
      </c>
      <c r="F40">
        <v>1</v>
      </c>
      <c r="G40">
        <v>1</v>
      </c>
      <c r="H40">
        <v>3</v>
      </c>
      <c r="I40" t="s">
        <v>792</v>
      </c>
      <c r="J40" t="s">
        <v>793</v>
      </c>
      <c r="K40" t="s">
        <v>794</v>
      </c>
      <c r="L40">
        <v>1348</v>
      </c>
      <c r="N40">
        <v>1009</v>
      </c>
      <c r="O40" t="s">
        <v>105</v>
      </c>
      <c r="P40" t="s">
        <v>105</v>
      </c>
      <c r="Q40">
        <v>1000</v>
      </c>
      <c r="W40">
        <v>0</v>
      </c>
      <c r="X40">
        <v>1238940307</v>
      </c>
      <c r="Y40">
        <f t="shared" si="2"/>
        <v>1.9E-2</v>
      </c>
      <c r="AA40">
        <v>85053.15</v>
      </c>
      <c r="AB40">
        <v>0</v>
      </c>
      <c r="AC40">
        <v>0</v>
      </c>
      <c r="AD40">
        <v>0</v>
      </c>
      <c r="AE40">
        <v>9765</v>
      </c>
      <c r="AF40">
        <v>0</v>
      </c>
      <c r="AG40">
        <v>0</v>
      </c>
      <c r="AH40">
        <v>0</v>
      </c>
      <c r="AI40">
        <v>8.7100000000000009</v>
      </c>
      <c r="AJ40">
        <v>1</v>
      </c>
      <c r="AK40">
        <v>1</v>
      </c>
      <c r="AL40">
        <v>1</v>
      </c>
      <c r="AM40">
        <v>4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1.9E-2</v>
      </c>
      <c r="AU40" t="s">
        <v>3</v>
      </c>
      <c r="AV40">
        <v>0</v>
      </c>
      <c r="AW40">
        <v>2</v>
      </c>
      <c r="AX40">
        <v>145034517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ROUND(Y40*Source!I37,9)</f>
        <v>4.2958999999999997E-2</v>
      </c>
      <c r="CY40">
        <f>AA40</f>
        <v>85053.15</v>
      </c>
      <c r="CZ40">
        <f>AE40</f>
        <v>9765</v>
      </c>
      <c r="DA40">
        <f>AI40</f>
        <v>8.7100000000000009</v>
      </c>
      <c r="DB40">
        <f t="shared" si="3"/>
        <v>185.54</v>
      </c>
      <c r="DC40">
        <f t="shared" si="4"/>
        <v>0</v>
      </c>
      <c r="DD40" t="s">
        <v>3</v>
      </c>
      <c r="DE40" t="s">
        <v>3</v>
      </c>
      <c r="DF40">
        <f>ROUND(ROUND(AE40*AI40,2)*CX40,2)</f>
        <v>3653.8</v>
      </c>
      <c r="DG40">
        <f t="shared" si="13"/>
        <v>0</v>
      </c>
      <c r="DH40">
        <f>ROUND(ROUND(AG40,2)*CX40,2)</f>
        <v>0</v>
      </c>
      <c r="DI40">
        <f t="shared" si="7"/>
        <v>0</v>
      </c>
      <c r="DJ40">
        <f>DF40</f>
        <v>3653.8</v>
      </c>
      <c r="DK40">
        <v>0</v>
      </c>
      <c r="DL40" t="s">
        <v>3</v>
      </c>
      <c r="DM40">
        <v>0</v>
      </c>
      <c r="DN40" t="s">
        <v>3</v>
      </c>
      <c r="DO40">
        <v>0</v>
      </c>
    </row>
    <row r="41" spans="1:119" x14ac:dyDescent="0.2">
      <c r="A41">
        <f>ROW(Source!A37)</f>
        <v>37</v>
      </c>
      <c r="B41">
        <v>145033679</v>
      </c>
      <c r="C41">
        <v>145034505</v>
      </c>
      <c r="D41">
        <v>140765022</v>
      </c>
      <c r="E41">
        <v>70</v>
      </c>
      <c r="F41">
        <v>1</v>
      </c>
      <c r="G41">
        <v>1</v>
      </c>
      <c r="H41">
        <v>3</v>
      </c>
      <c r="I41" t="s">
        <v>795</v>
      </c>
      <c r="J41" t="s">
        <v>3</v>
      </c>
      <c r="K41" t="s">
        <v>796</v>
      </c>
      <c r="L41">
        <v>1374</v>
      </c>
      <c r="N41">
        <v>1013</v>
      </c>
      <c r="O41" t="s">
        <v>275</v>
      </c>
      <c r="P41" t="s">
        <v>275</v>
      </c>
      <c r="Q41">
        <v>1</v>
      </c>
      <c r="W41">
        <v>0</v>
      </c>
      <c r="X41">
        <v>-1731369543</v>
      </c>
      <c r="Y41">
        <f t="shared" si="2"/>
        <v>24.44</v>
      </c>
      <c r="AA41">
        <v>8.7100000000000009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8.7100000000000009</v>
      </c>
      <c r="AJ41">
        <v>1</v>
      </c>
      <c r="AK41">
        <v>1</v>
      </c>
      <c r="AL41">
        <v>1</v>
      </c>
      <c r="AM41">
        <v>4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24.44</v>
      </c>
      <c r="AU41" t="s">
        <v>3</v>
      </c>
      <c r="AV41">
        <v>0</v>
      </c>
      <c r="AW41">
        <v>2</v>
      </c>
      <c r="AX41">
        <v>145034518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ROUND(Y41*Source!I37,9)</f>
        <v>55.258839999999999</v>
      </c>
      <c r="CY41">
        <f>AA41</f>
        <v>8.7100000000000009</v>
      </c>
      <c r="CZ41">
        <f>AE41</f>
        <v>1</v>
      </c>
      <c r="DA41">
        <f>AI41</f>
        <v>8.7100000000000009</v>
      </c>
      <c r="DB41">
        <f t="shared" si="3"/>
        <v>24.44</v>
      </c>
      <c r="DC41">
        <f t="shared" si="4"/>
        <v>0</v>
      </c>
      <c r="DD41" t="s">
        <v>3</v>
      </c>
      <c r="DE41" t="s">
        <v>3</v>
      </c>
      <c r="DF41">
        <f>ROUND(ROUND(AE41*AI41,2)*CX41,2)</f>
        <v>481.3</v>
      </c>
      <c r="DG41">
        <f t="shared" si="13"/>
        <v>0</v>
      </c>
      <c r="DH41">
        <f>ROUND(ROUND(AG41,2)*CX41,2)</f>
        <v>0</v>
      </c>
      <c r="DI41">
        <f t="shared" si="7"/>
        <v>0</v>
      </c>
      <c r="DJ41">
        <f>DF41</f>
        <v>481.3</v>
      </c>
      <c r="DK41">
        <v>0</v>
      </c>
      <c r="DL41" t="s">
        <v>3</v>
      </c>
      <c r="DM41">
        <v>0</v>
      </c>
      <c r="DN41" t="s">
        <v>3</v>
      </c>
      <c r="DO41">
        <v>0</v>
      </c>
    </row>
    <row r="42" spans="1:119" x14ac:dyDescent="0.2">
      <c r="A42">
        <f>ROW(Source!A41)</f>
        <v>41</v>
      </c>
      <c r="B42">
        <v>145033679</v>
      </c>
      <c r="C42">
        <v>145034578</v>
      </c>
      <c r="D42">
        <v>140759982</v>
      </c>
      <c r="E42">
        <v>70</v>
      </c>
      <c r="F42">
        <v>1</v>
      </c>
      <c r="G42">
        <v>1</v>
      </c>
      <c r="H42">
        <v>1</v>
      </c>
      <c r="I42" t="s">
        <v>797</v>
      </c>
      <c r="J42" t="s">
        <v>3</v>
      </c>
      <c r="K42" t="s">
        <v>798</v>
      </c>
      <c r="L42">
        <v>1191</v>
      </c>
      <c r="N42">
        <v>1013</v>
      </c>
      <c r="O42" t="s">
        <v>725</v>
      </c>
      <c r="P42" t="s">
        <v>725</v>
      </c>
      <c r="Q42">
        <v>1</v>
      </c>
      <c r="W42">
        <v>0</v>
      </c>
      <c r="X42">
        <v>-983457869</v>
      </c>
      <c r="Y42">
        <f>((AT42*1.15)*1.15)</f>
        <v>57.396499999999989</v>
      </c>
      <c r="AA42">
        <v>0</v>
      </c>
      <c r="AB42">
        <v>0</v>
      </c>
      <c r="AC42">
        <v>0</v>
      </c>
      <c r="AD42">
        <v>263.87</v>
      </c>
      <c r="AE42">
        <v>0</v>
      </c>
      <c r="AF42">
        <v>0</v>
      </c>
      <c r="AG42">
        <v>0</v>
      </c>
      <c r="AH42">
        <v>8.64</v>
      </c>
      <c r="AI42">
        <v>1</v>
      </c>
      <c r="AJ42">
        <v>1</v>
      </c>
      <c r="AK42">
        <v>1</v>
      </c>
      <c r="AL42">
        <v>30.54</v>
      </c>
      <c r="AM42">
        <v>4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43.4</v>
      </c>
      <c r="AU42" t="s">
        <v>91</v>
      </c>
      <c r="AV42">
        <v>1</v>
      </c>
      <c r="AW42">
        <v>2</v>
      </c>
      <c r="AX42">
        <v>145034579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ROUND(Y42*Source!I41,9)</f>
        <v>41.325479999999999</v>
      </c>
      <c r="CY42">
        <f>AD42</f>
        <v>263.87</v>
      </c>
      <c r="CZ42">
        <f>AH42</f>
        <v>8.64</v>
      </c>
      <c r="DA42">
        <f>AL42</f>
        <v>30.54</v>
      </c>
      <c r="DB42">
        <f>ROUND(((ROUND(AT42*CZ42,2)*1.15)*1.15),2)</f>
        <v>495.91</v>
      </c>
      <c r="DC42">
        <f>ROUND(((ROUND(AT42*AG42,2)*1.15)*1.15),2)</f>
        <v>0</v>
      </c>
      <c r="DD42" t="s">
        <v>3</v>
      </c>
      <c r="DE42" t="s">
        <v>3</v>
      </c>
      <c r="DF42">
        <f>ROUND(ROUND(AE42,2)*CX42,2)</f>
        <v>0</v>
      </c>
      <c r="DG42">
        <f t="shared" si="13"/>
        <v>0</v>
      </c>
      <c r="DH42">
        <f>ROUND(ROUND(AG42,2)*CX42,2)</f>
        <v>0</v>
      </c>
      <c r="DI42">
        <f>ROUND(ROUND(AH42*AL42,2)*CX42,2)</f>
        <v>10904.55</v>
      </c>
      <c r="DJ42">
        <f>DI42</f>
        <v>10904.55</v>
      </c>
      <c r="DK42">
        <v>0</v>
      </c>
      <c r="DL42" t="s">
        <v>3</v>
      </c>
      <c r="DM42">
        <v>0</v>
      </c>
      <c r="DN42" t="s">
        <v>3</v>
      </c>
      <c r="DO42">
        <v>0</v>
      </c>
    </row>
    <row r="43" spans="1:119" x14ac:dyDescent="0.2">
      <c r="A43">
        <f>ROW(Source!A41)</f>
        <v>41</v>
      </c>
      <c r="B43">
        <v>145033679</v>
      </c>
      <c r="C43">
        <v>145034578</v>
      </c>
      <c r="D43">
        <v>140760225</v>
      </c>
      <c r="E43">
        <v>70</v>
      </c>
      <c r="F43">
        <v>1</v>
      </c>
      <c r="G43">
        <v>1</v>
      </c>
      <c r="H43">
        <v>1</v>
      </c>
      <c r="I43" t="s">
        <v>730</v>
      </c>
      <c r="J43" t="s">
        <v>3</v>
      </c>
      <c r="K43" t="s">
        <v>731</v>
      </c>
      <c r="L43">
        <v>1191</v>
      </c>
      <c r="N43">
        <v>1013</v>
      </c>
      <c r="O43" t="s">
        <v>725</v>
      </c>
      <c r="P43" t="s">
        <v>725</v>
      </c>
      <c r="Q43">
        <v>1</v>
      </c>
      <c r="W43">
        <v>0</v>
      </c>
      <c r="X43">
        <v>-1417349443</v>
      </c>
      <c r="Y43">
        <f>((AT43*1.25)*1.15)</f>
        <v>0.10062500000000001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30.54</v>
      </c>
      <c r="AL43">
        <v>1</v>
      </c>
      <c r="AM43">
        <v>4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7.0000000000000007E-2</v>
      </c>
      <c r="AU43" t="s">
        <v>90</v>
      </c>
      <c r="AV43">
        <v>2</v>
      </c>
      <c r="AW43">
        <v>2</v>
      </c>
      <c r="AX43">
        <v>145034580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ROUND(Y43*Source!I41,9)</f>
        <v>7.2450000000000001E-2</v>
      </c>
      <c r="CY43">
        <f>AD43</f>
        <v>0</v>
      </c>
      <c r="CZ43">
        <f>AH43</f>
        <v>0</v>
      </c>
      <c r="DA43">
        <f>AL43</f>
        <v>1</v>
      </c>
      <c r="DB43">
        <f>ROUND(((ROUND(AT43*CZ43,2)*1.25)*1.15),2)</f>
        <v>0</v>
      </c>
      <c r="DC43">
        <f>ROUND(((ROUND(AT43*AG43,2)*1.25)*1.15),2)</f>
        <v>0</v>
      </c>
      <c r="DD43" t="s">
        <v>3</v>
      </c>
      <c r="DE43" t="s">
        <v>3</v>
      </c>
      <c r="DF43">
        <f>ROUND(ROUND(AE43,2)*CX43,2)</f>
        <v>0</v>
      </c>
      <c r="DG43">
        <f t="shared" si="13"/>
        <v>0</v>
      </c>
      <c r="DH43">
        <f>ROUND(ROUND(AG43*AK43,2)*CX43,2)</f>
        <v>0</v>
      </c>
      <c r="DI43">
        <f>ROUND(ROUND(AH43,2)*CX43,2)</f>
        <v>0</v>
      </c>
      <c r="DJ43">
        <f>DI43</f>
        <v>0</v>
      </c>
      <c r="DK43">
        <v>0</v>
      </c>
      <c r="DL43" t="s">
        <v>3</v>
      </c>
      <c r="DM43">
        <v>0</v>
      </c>
      <c r="DN43" t="s">
        <v>3</v>
      </c>
      <c r="DO43">
        <v>0</v>
      </c>
    </row>
    <row r="44" spans="1:119" x14ac:dyDescent="0.2">
      <c r="A44">
        <f>ROW(Source!A41)</f>
        <v>41</v>
      </c>
      <c r="B44">
        <v>145033679</v>
      </c>
      <c r="C44">
        <v>145034578</v>
      </c>
      <c r="D44">
        <v>140923885</v>
      </c>
      <c r="E44">
        <v>1</v>
      </c>
      <c r="F44">
        <v>1</v>
      </c>
      <c r="G44">
        <v>1</v>
      </c>
      <c r="H44">
        <v>2</v>
      </c>
      <c r="I44" t="s">
        <v>732</v>
      </c>
      <c r="J44" t="s">
        <v>733</v>
      </c>
      <c r="K44" t="s">
        <v>734</v>
      </c>
      <c r="L44">
        <v>1367</v>
      </c>
      <c r="N44">
        <v>1011</v>
      </c>
      <c r="O44" t="s">
        <v>79</v>
      </c>
      <c r="P44" t="s">
        <v>79</v>
      </c>
      <c r="Q44">
        <v>1</v>
      </c>
      <c r="W44">
        <v>0</v>
      </c>
      <c r="X44">
        <v>509054691</v>
      </c>
      <c r="Y44">
        <f>((AT44*1.25)*1.15)</f>
        <v>0.10062500000000001</v>
      </c>
      <c r="AA44">
        <v>0</v>
      </c>
      <c r="AB44">
        <v>797.06</v>
      </c>
      <c r="AC44">
        <v>354.26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12.13</v>
      </c>
      <c r="AK44">
        <v>30.54</v>
      </c>
      <c r="AL44">
        <v>1</v>
      </c>
      <c r="AM44">
        <v>4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7.0000000000000007E-2</v>
      </c>
      <c r="AU44" t="s">
        <v>90</v>
      </c>
      <c r="AV44">
        <v>0</v>
      </c>
      <c r="AW44">
        <v>2</v>
      </c>
      <c r="AX44">
        <v>145034581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ROUND(Y44*Source!I41,9)</f>
        <v>7.2450000000000001E-2</v>
      </c>
      <c r="CY44">
        <f>AB44</f>
        <v>797.06</v>
      </c>
      <c r="CZ44">
        <f>AF44</f>
        <v>65.709999999999994</v>
      </c>
      <c r="DA44">
        <f>AJ44</f>
        <v>12.13</v>
      </c>
      <c r="DB44">
        <f>ROUND(((ROUND(AT44*CZ44,2)*1.25)*1.15),2)</f>
        <v>6.61</v>
      </c>
      <c r="DC44">
        <f>ROUND(((ROUND(AT44*AG44,2)*1.25)*1.15),2)</f>
        <v>1.1599999999999999</v>
      </c>
      <c r="DD44" t="s">
        <v>3</v>
      </c>
      <c r="DE44" t="s">
        <v>3</v>
      </c>
      <c r="DF44">
        <f>ROUND(ROUND(AE44,2)*CX44,2)</f>
        <v>0</v>
      </c>
      <c r="DG44">
        <f>ROUND(ROUND(AF44*AJ44,2)*CX44,2)</f>
        <v>57.75</v>
      </c>
      <c r="DH44">
        <f>ROUND(ROUND(AG44*AK44,2)*CX44,2)</f>
        <v>25.67</v>
      </c>
      <c r="DI44">
        <f>ROUND(ROUND(AH44,2)*CX44,2)</f>
        <v>0</v>
      </c>
      <c r="DJ44">
        <f>DG44</f>
        <v>57.75</v>
      </c>
      <c r="DK44">
        <v>0</v>
      </c>
      <c r="DL44" t="s">
        <v>3</v>
      </c>
      <c r="DM44">
        <v>0</v>
      </c>
      <c r="DN44" t="s">
        <v>3</v>
      </c>
      <c r="DO44">
        <v>0</v>
      </c>
    </row>
    <row r="45" spans="1:119" x14ac:dyDescent="0.2">
      <c r="A45">
        <f>ROW(Source!A41)</f>
        <v>41</v>
      </c>
      <c r="B45">
        <v>145033679</v>
      </c>
      <c r="C45">
        <v>145034578</v>
      </c>
      <c r="D45">
        <v>140775571</v>
      </c>
      <c r="E45">
        <v>1</v>
      </c>
      <c r="F45">
        <v>1</v>
      </c>
      <c r="G45">
        <v>1</v>
      </c>
      <c r="H45">
        <v>3</v>
      </c>
      <c r="I45" t="s">
        <v>799</v>
      </c>
      <c r="J45" t="s">
        <v>800</v>
      </c>
      <c r="K45" t="s">
        <v>801</v>
      </c>
      <c r="L45">
        <v>1339</v>
      </c>
      <c r="N45">
        <v>1007</v>
      </c>
      <c r="O45" t="s">
        <v>66</v>
      </c>
      <c r="P45" t="s">
        <v>66</v>
      </c>
      <c r="Q45">
        <v>1</v>
      </c>
      <c r="W45">
        <v>0</v>
      </c>
      <c r="X45">
        <v>793530824</v>
      </c>
      <c r="Y45">
        <f>AT45</f>
        <v>6.0000000000000001E-3</v>
      </c>
      <c r="AA45">
        <v>9581</v>
      </c>
      <c r="AB45">
        <v>0</v>
      </c>
      <c r="AC45">
        <v>0</v>
      </c>
      <c r="AD45">
        <v>0</v>
      </c>
      <c r="AE45">
        <v>1100</v>
      </c>
      <c r="AF45">
        <v>0</v>
      </c>
      <c r="AG45">
        <v>0</v>
      </c>
      <c r="AH45">
        <v>0</v>
      </c>
      <c r="AI45">
        <v>8.7100000000000009</v>
      </c>
      <c r="AJ45">
        <v>1</v>
      </c>
      <c r="AK45">
        <v>1</v>
      </c>
      <c r="AL45">
        <v>1</v>
      </c>
      <c r="AM45">
        <v>4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6.0000000000000001E-3</v>
      </c>
      <c r="AU45" t="s">
        <v>3</v>
      </c>
      <c r="AV45">
        <v>0</v>
      </c>
      <c r="AW45">
        <v>2</v>
      </c>
      <c r="AX45">
        <v>145034582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ROUND(Y45*Source!I41,9)</f>
        <v>4.3200000000000001E-3</v>
      </c>
      <c r="CY45">
        <f>AA45</f>
        <v>9581</v>
      </c>
      <c r="CZ45">
        <f>AE45</f>
        <v>1100</v>
      </c>
      <c r="DA45">
        <f>AI45</f>
        <v>8.7100000000000009</v>
      </c>
      <c r="DB45">
        <f>ROUND(ROUND(AT45*CZ45,2),2)</f>
        <v>6.6</v>
      </c>
      <c r="DC45">
        <f>ROUND(ROUND(AT45*AG45,2),2)</f>
        <v>0</v>
      </c>
      <c r="DD45" t="s">
        <v>3</v>
      </c>
      <c r="DE45" t="s">
        <v>3</v>
      </c>
      <c r="DF45">
        <f>ROUND(ROUND(AE45*AI45,2)*CX45,2)</f>
        <v>41.39</v>
      </c>
      <c r="DG45">
        <f t="shared" ref="DG45:DG50" si="14">ROUND(ROUND(AF45,2)*CX45,2)</f>
        <v>0</v>
      </c>
      <c r="DH45">
        <f>ROUND(ROUND(AG45,2)*CX45,2)</f>
        <v>0</v>
      </c>
      <c r="DI45">
        <f>ROUND(ROUND(AH45,2)*CX45,2)</f>
        <v>0</v>
      </c>
      <c r="DJ45">
        <f>DF45</f>
        <v>41.39</v>
      </c>
      <c r="DK45">
        <v>0</v>
      </c>
      <c r="DL45" t="s">
        <v>3</v>
      </c>
      <c r="DM45">
        <v>0</v>
      </c>
      <c r="DN45" t="s">
        <v>3</v>
      </c>
      <c r="DO45">
        <v>0</v>
      </c>
    </row>
    <row r="46" spans="1:119" x14ac:dyDescent="0.2">
      <c r="A46">
        <f>ROW(Source!A41)</f>
        <v>41</v>
      </c>
      <c r="B46">
        <v>145033679</v>
      </c>
      <c r="C46">
        <v>145034578</v>
      </c>
      <c r="D46">
        <v>140775573</v>
      </c>
      <c r="E46">
        <v>1</v>
      </c>
      <c r="F46">
        <v>1</v>
      </c>
      <c r="G46">
        <v>1</v>
      </c>
      <c r="H46">
        <v>3</v>
      </c>
      <c r="I46" t="s">
        <v>802</v>
      </c>
      <c r="J46" t="s">
        <v>803</v>
      </c>
      <c r="K46" t="s">
        <v>804</v>
      </c>
      <c r="L46">
        <v>1348</v>
      </c>
      <c r="N46">
        <v>1009</v>
      </c>
      <c r="O46" t="s">
        <v>105</v>
      </c>
      <c r="P46" t="s">
        <v>105</v>
      </c>
      <c r="Q46">
        <v>1000</v>
      </c>
      <c r="W46">
        <v>0</v>
      </c>
      <c r="X46">
        <v>-322404577</v>
      </c>
      <c r="Y46">
        <f>AT46</f>
        <v>3.6999999999999998E-2</v>
      </c>
      <c r="AA46">
        <v>53148.42</v>
      </c>
      <c r="AB46">
        <v>0</v>
      </c>
      <c r="AC46">
        <v>0</v>
      </c>
      <c r="AD46">
        <v>0</v>
      </c>
      <c r="AE46">
        <v>6102</v>
      </c>
      <c r="AF46">
        <v>0</v>
      </c>
      <c r="AG46">
        <v>0</v>
      </c>
      <c r="AH46">
        <v>0</v>
      </c>
      <c r="AI46">
        <v>8.7100000000000009</v>
      </c>
      <c r="AJ46">
        <v>1</v>
      </c>
      <c r="AK46">
        <v>1</v>
      </c>
      <c r="AL46">
        <v>1</v>
      </c>
      <c r="AM46">
        <v>4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3.6999999999999998E-2</v>
      </c>
      <c r="AU46" t="s">
        <v>3</v>
      </c>
      <c r="AV46">
        <v>0</v>
      </c>
      <c r="AW46">
        <v>2</v>
      </c>
      <c r="AX46">
        <v>145034583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ROUND(Y46*Source!I41,9)</f>
        <v>2.664E-2</v>
      </c>
      <c r="CY46">
        <f>AA46</f>
        <v>53148.42</v>
      </c>
      <c r="CZ46">
        <f>AE46</f>
        <v>6102</v>
      </c>
      <c r="DA46">
        <f>AI46</f>
        <v>8.7100000000000009</v>
      </c>
      <c r="DB46">
        <f>ROUND(ROUND(AT46*CZ46,2),2)</f>
        <v>225.77</v>
      </c>
      <c r="DC46">
        <f>ROUND(ROUND(AT46*AG46,2),2)</f>
        <v>0</v>
      </c>
      <c r="DD46" t="s">
        <v>3</v>
      </c>
      <c r="DE46" t="s">
        <v>3</v>
      </c>
      <c r="DF46">
        <f>ROUND(ROUND(AE46*AI46,2)*CX46,2)</f>
        <v>1415.87</v>
      </c>
      <c r="DG46">
        <f t="shared" si="14"/>
        <v>0</v>
      </c>
      <c r="DH46">
        <f>ROUND(ROUND(AG46,2)*CX46,2)</f>
        <v>0</v>
      </c>
      <c r="DI46">
        <f>ROUND(ROUND(AH46,2)*CX46,2)</f>
        <v>0</v>
      </c>
      <c r="DJ46">
        <f>DF46</f>
        <v>1415.87</v>
      </c>
      <c r="DK46">
        <v>0</v>
      </c>
      <c r="DL46" t="s">
        <v>3</v>
      </c>
      <c r="DM46">
        <v>0</v>
      </c>
      <c r="DN46" t="s">
        <v>3</v>
      </c>
      <c r="DO46">
        <v>0</v>
      </c>
    </row>
    <row r="47" spans="1:119" x14ac:dyDescent="0.2">
      <c r="A47">
        <f>ROW(Source!A41)</f>
        <v>41</v>
      </c>
      <c r="B47">
        <v>145033679</v>
      </c>
      <c r="C47">
        <v>145034578</v>
      </c>
      <c r="D47">
        <v>140797739</v>
      </c>
      <c r="E47">
        <v>1</v>
      </c>
      <c r="F47">
        <v>1</v>
      </c>
      <c r="G47">
        <v>1</v>
      </c>
      <c r="H47">
        <v>3</v>
      </c>
      <c r="I47" t="s">
        <v>805</v>
      </c>
      <c r="J47" t="s">
        <v>806</v>
      </c>
      <c r="K47" t="s">
        <v>807</v>
      </c>
      <c r="L47">
        <v>1327</v>
      </c>
      <c r="N47">
        <v>1005</v>
      </c>
      <c r="O47" t="s">
        <v>131</v>
      </c>
      <c r="P47" t="s">
        <v>131</v>
      </c>
      <c r="Q47">
        <v>1</v>
      </c>
      <c r="W47">
        <v>0</v>
      </c>
      <c r="X47">
        <v>-1971970762</v>
      </c>
      <c r="Y47">
        <f>AT47</f>
        <v>1.2</v>
      </c>
      <c r="AA47">
        <v>306.77</v>
      </c>
      <c r="AB47">
        <v>0</v>
      </c>
      <c r="AC47">
        <v>0</v>
      </c>
      <c r="AD47">
        <v>0</v>
      </c>
      <c r="AE47">
        <v>35.22</v>
      </c>
      <c r="AF47">
        <v>0</v>
      </c>
      <c r="AG47">
        <v>0</v>
      </c>
      <c r="AH47">
        <v>0</v>
      </c>
      <c r="AI47">
        <v>8.7100000000000009</v>
      </c>
      <c r="AJ47">
        <v>1</v>
      </c>
      <c r="AK47">
        <v>1</v>
      </c>
      <c r="AL47">
        <v>1</v>
      </c>
      <c r="AM47">
        <v>4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1.2</v>
      </c>
      <c r="AU47" t="s">
        <v>3</v>
      </c>
      <c r="AV47">
        <v>0</v>
      </c>
      <c r="AW47">
        <v>2</v>
      </c>
      <c r="AX47">
        <v>145034584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ROUND(Y47*Source!I41,9)</f>
        <v>0.86399999999999999</v>
      </c>
      <c r="CY47">
        <f>AA47</f>
        <v>306.77</v>
      </c>
      <c r="CZ47">
        <f>AE47</f>
        <v>35.22</v>
      </c>
      <c r="DA47">
        <f>AI47</f>
        <v>8.7100000000000009</v>
      </c>
      <c r="DB47">
        <f>ROUND(ROUND(AT47*CZ47,2),2)</f>
        <v>42.26</v>
      </c>
      <c r="DC47">
        <f>ROUND(ROUND(AT47*AG47,2),2)</f>
        <v>0</v>
      </c>
      <c r="DD47" t="s">
        <v>3</v>
      </c>
      <c r="DE47" t="s">
        <v>3</v>
      </c>
      <c r="DF47">
        <f>ROUND(ROUND(AE47*AI47,2)*CX47,2)</f>
        <v>265.05</v>
      </c>
      <c r="DG47">
        <f t="shared" si="14"/>
        <v>0</v>
      </c>
      <c r="DH47">
        <f>ROUND(ROUND(AG47,2)*CX47,2)</f>
        <v>0</v>
      </c>
      <c r="DI47">
        <f>ROUND(ROUND(AH47,2)*CX47,2)</f>
        <v>0</v>
      </c>
      <c r="DJ47">
        <f>DF47</f>
        <v>265.05</v>
      </c>
      <c r="DK47">
        <v>0</v>
      </c>
      <c r="DL47" t="s">
        <v>3</v>
      </c>
      <c r="DM47">
        <v>0</v>
      </c>
      <c r="DN47" t="s">
        <v>3</v>
      </c>
      <c r="DO47">
        <v>0</v>
      </c>
    </row>
    <row r="48" spans="1:119" x14ac:dyDescent="0.2">
      <c r="A48">
        <f>ROW(Source!A42)</f>
        <v>42</v>
      </c>
      <c r="B48">
        <v>145033679</v>
      </c>
      <c r="C48">
        <v>145034586</v>
      </c>
      <c r="D48">
        <v>140759909</v>
      </c>
      <c r="E48">
        <v>70</v>
      </c>
      <c r="F48">
        <v>1</v>
      </c>
      <c r="G48">
        <v>1</v>
      </c>
      <c r="H48">
        <v>1</v>
      </c>
      <c r="I48" t="s">
        <v>808</v>
      </c>
      <c r="J48" t="s">
        <v>3</v>
      </c>
      <c r="K48" t="s">
        <v>809</v>
      </c>
      <c r="L48">
        <v>1191</v>
      </c>
      <c r="N48">
        <v>1013</v>
      </c>
      <c r="O48" t="s">
        <v>725</v>
      </c>
      <c r="P48" t="s">
        <v>725</v>
      </c>
      <c r="Q48">
        <v>1</v>
      </c>
      <c r="W48">
        <v>0</v>
      </c>
      <c r="X48">
        <v>980964037</v>
      </c>
      <c r="Y48">
        <f>(AT48*1.15)</f>
        <v>0.66699999999999993</v>
      </c>
      <c r="AA48">
        <v>0</v>
      </c>
      <c r="AB48">
        <v>0</v>
      </c>
      <c r="AC48">
        <v>0</v>
      </c>
      <c r="AD48">
        <v>230.88</v>
      </c>
      <c r="AE48">
        <v>0</v>
      </c>
      <c r="AF48">
        <v>0</v>
      </c>
      <c r="AG48">
        <v>0</v>
      </c>
      <c r="AH48">
        <v>7.56</v>
      </c>
      <c r="AI48">
        <v>1</v>
      </c>
      <c r="AJ48">
        <v>1</v>
      </c>
      <c r="AK48">
        <v>1</v>
      </c>
      <c r="AL48">
        <v>30.54</v>
      </c>
      <c r="AM48">
        <v>4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0.57999999999999996</v>
      </c>
      <c r="AU48" t="s">
        <v>21</v>
      </c>
      <c r="AV48">
        <v>1</v>
      </c>
      <c r="AW48">
        <v>2</v>
      </c>
      <c r="AX48">
        <v>145034587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ROUND(Y48*Source!I42,9)</f>
        <v>4.0019999999999998</v>
      </c>
      <c r="CY48">
        <f>AD48</f>
        <v>230.88</v>
      </c>
      <c r="CZ48">
        <f>AH48</f>
        <v>7.56</v>
      </c>
      <c r="DA48">
        <f>AL48</f>
        <v>30.54</v>
      </c>
      <c r="DB48">
        <f>ROUND((ROUND(AT48*CZ48,2)*1.15),2)</f>
        <v>5.04</v>
      </c>
      <c r="DC48">
        <f>ROUND((ROUND(AT48*AG48,2)*1.15),2)</f>
        <v>0</v>
      </c>
      <c r="DD48" t="s">
        <v>3</v>
      </c>
      <c r="DE48" t="s">
        <v>3</v>
      </c>
      <c r="DF48">
        <f t="shared" ref="DF48:DF53" si="15">ROUND(ROUND(AE48,2)*CX48,2)</f>
        <v>0</v>
      </c>
      <c r="DG48">
        <f t="shared" si="14"/>
        <v>0</v>
      </c>
      <c r="DH48">
        <f>ROUND(ROUND(AG48,2)*CX48,2)</f>
        <v>0</v>
      </c>
      <c r="DI48">
        <f>ROUND(ROUND(AH48*AL48,2)*CX48,2)</f>
        <v>923.98</v>
      </c>
      <c r="DJ48">
        <f>DI48</f>
        <v>923.98</v>
      </c>
      <c r="DK48">
        <v>0</v>
      </c>
      <c r="DL48" t="s">
        <v>3</v>
      </c>
      <c r="DM48">
        <v>0</v>
      </c>
      <c r="DN48" t="s">
        <v>3</v>
      </c>
      <c r="DO48">
        <v>0</v>
      </c>
    </row>
    <row r="49" spans="1:119" x14ac:dyDescent="0.2">
      <c r="A49">
        <f>ROW(Source!A43)</f>
        <v>43</v>
      </c>
      <c r="B49">
        <v>145033679</v>
      </c>
      <c r="C49">
        <v>145034717</v>
      </c>
      <c r="D49">
        <v>140760008</v>
      </c>
      <c r="E49">
        <v>70</v>
      </c>
      <c r="F49">
        <v>1</v>
      </c>
      <c r="G49">
        <v>1</v>
      </c>
      <c r="H49">
        <v>1</v>
      </c>
      <c r="I49" t="s">
        <v>810</v>
      </c>
      <c r="J49" t="s">
        <v>3</v>
      </c>
      <c r="K49" t="s">
        <v>811</v>
      </c>
      <c r="L49">
        <v>1191</v>
      </c>
      <c r="N49">
        <v>1013</v>
      </c>
      <c r="O49" t="s">
        <v>725</v>
      </c>
      <c r="P49" t="s">
        <v>725</v>
      </c>
      <c r="Q49">
        <v>1</v>
      </c>
      <c r="W49">
        <v>0</v>
      </c>
      <c r="X49">
        <v>-1810713292</v>
      </c>
      <c r="Y49">
        <f>((AT49*1.15)*1.15)</f>
        <v>4.8800249999999998</v>
      </c>
      <c r="AA49">
        <v>0</v>
      </c>
      <c r="AB49">
        <v>0</v>
      </c>
      <c r="AC49">
        <v>0</v>
      </c>
      <c r="AD49">
        <v>280.36</v>
      </c>
      <c r="AE49">
        <v>0</v>
      </c>
      <c r="AF49">
        <v>0</v>
      </c>
      <c r="AG49">
        <v>0</v>
      </c>
      <c r="AH49">
        <v>9.18</v>
      </c>
      <c r="AI49">
        <v>1</v>
      </c>
      <c r="AJ49">
        <v>1</v>
      </c>
      <c r="AK49">
        <v>1</v>
      </c>
      <c r="AL49">
        <v>30.54</v>
      </c>
      <c r="AM49">
        <v>4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3.69</v>
      </c>
      <c r="AU49" t="s">
        <v>91</v>
      </c>
      <c r="AV49">
        <v>1</v>
      </c>
      <c r="AW49">
        <v>2</v>
      </c>
      <c r="AX49">
        <v>145034718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ROUND(Y49*Source!I43,9)</f>
        <v>0.29280149999999999</v>
      </c>
      <c r="CY49">
        <f>AD49</f>
        <v>280.36</v>
      </c>
      <c r="CZ49">
        <f>AH49</f>
        <v>9.18</v>
      </c>
      <c r="DA49">
        <f>AL49</f>
        <v>30.54</v>
      </c>
      <c r="DB49">
        <f>ROUND(((ROUND(AT49*CZ49,2)*1.15)*1.15),2)</f>
        <v>44.79</v>
      </c>
      <c r="DC49">
        <f>ROUND(((ROUND(AT49*AG49,2)*1.15)*1.15),2)</f>
        <v>0</v>
      </c>
      <c r="DD49" t="s">
        <v>3</v>
      </c>
      <c r="DE49" t="s">
        <v>3</v>
      </c>
      <c r="DF49">
        <f t="shared" si="15"/>
        <v>0</v>
      </c>
      <c r="DG49">
        <f t="shared" si="14"/>
        <v>0</v>
      </c>
      <c r="DH49">
        <f>ROUND(ROUND(AG49,2)*CX49,2)</f>
        <v>0</v>
      </c>
      <c r="DI49">
        <f>ROUND(ROUND(AH49*AL49,2)*CX49,2)</f>
        <v>82.09</v>
      </c>
      <c r="DJ49">
        <f>DI49</f>
        <v>82.09</v>
      </c>
      <c r="DK49">
        <v>0</v>
      </c>
      <c r="DL49" t="s">
        <v>3</v>
      </c>
      <c r="DM49">
        <v>0</v>
      </c>
      <c r="DN49" t="s">
        <v>3</v>
      </c>
      <c r="DO49">
        <v>0</v>
      </c>
    </row>
    <row r="50" spans="1:119" x14ac:dyDescent="0.2">
      <c r="A50">
        <f>ROW(Source!A43)</f>
        <v>43</v>
      </c>
      <c r="B50">
        <v>145033679</v>
      </c>
      <c r="C50">
        <v>145034717</v>
      </c>
      <c r="D50">
        <v>140760225</v>
      </c>
      <c r="E50">
        <v>70</v>
      </c>
      <c r="F50">
        <v>1</v>
      </c>
      <c r="G50">
        <v>1</v>
      </c>
      <c r="H50">
        <v>1</v>
      </c>
      <c r="I50" t="s">
        <v>730</v>
      </c>
      <c r="J50" t="s">
        <v>3</v>
      </c>
      <c r="K50" t="s">
        <v>731</v>
      </c>
      <c r="L50">
        <v>1191</v>
      </c>
      <c r="N50">
        <v>1013</v>
      </c>
      <c r="O50" t="s">
        <v>725</v>
      </c>
      <c r="P50" t="s">
        <v>725</v>
      </c>
      <c r="Q50">
        <v>1</v>
      </c>
      <c r="W50">
        <v>0</v>
      </c>
      <c r="X50">
        <v>-1417349443</v>
      </c>
      <c r="Y50">
        <f>((AT50*1.25)*1.15)</f>
        <v>7.1874999999999994E-2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30.54</v>
      </c>
      <c r="AL50">
        <v>1</v>
      </c>
      <c r="AM50">
        <v>4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0.05</v>
      </c>
      <c r="AU50" t="s">
        <v>90</v>
      </c>
      <c r="AV50">
        <v>2</v>
      </c>
      <c r="AW50">
        <v>2</v>
      </c>
      <c r="AX50">
        <v>145034719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ROUND(Y50*Source!I43,9)</f>
        <v>4.3125000000000004E-3</v>
      </c>
      <c r="CY50">
        <f>AD50</f>
        <v>0</v>
      </c>
      <c r="CZ50">
        <f>AH50</f>
        <v>0</v>
      </c>
      <c r="DA50">
        <f>AL50</f>
        <v>1</v>
      </c>
      <c r="DB50">
        <f>ROUND(((ROUND(AT50*CZ50,2)*1.25)*1.15),2)</f>
        <v>0</v>
      </c>
      <c r="DC50">
        <f>ROUND(((ROUND(AT50*AG50,2)*1.25)*1.15),2)</f>
        <v>0</v>
      </c>
      <c r="DD50" t="s">
        <v>3</v>
      </c>
      <c r="DE50" t="s">
        <v>3</v>
      </c>
      <c r="DF50">
        <f t="shared" si="15"/>
        <v>0</v>
      </c>
      <c r="DG50">
        <f t="shared" si="14"/>
        <v>0</v>
      </c>
      <c r="DH50">
        <f>ROUND(ROUND(AG50*AK50,2)*CX50,2)</f>
        <v>0</v>
      </c>
      <c r="DI50">
        <f t="shared" ref="DI50:DI56" si="16">ROUND(ROUND(AH50,2)*CX50,2)</f>
        <v>0</v>
      </c>
      <c r="DJ50">
        <f>DI50</f>
        <v>0</v>
      </c>
      <c r="DK50">
        <v>0</v>
      </c>
      <c r="DL50" t="s">
        <v>3</v>
      </c>
      <c r="DM50">
        <v>0</v>
      </c>
      <c r="DN50" t="s">
        <v>3</v>
      </c>
      <c r="DO50">
        <v>0</v>
      </c>
    </row>
    <row r="51" spans="1:119" x14ac:dyDescent="0.2">
      <c r="A51">
        <f>ROW(Source!A43)</f>
        <v>43</v>
      </c>
      <c r="B51">
        <v>145033679</v>
      </c>
      <c r="C51">
        <v>145034717</v>
      </c>
      <c r="D51">
        <v>140923143</v>
      </c>
      <c r="E51">
        <v>1</v>
      </c>
      <c r="F51">
        <v>1</v>
      </c>
      <c r="G51">
        <v>1</v>
      </c>
      <c r="H51">
        <v>2</v>
      </c>
      <c r="I51" t="s">
        <v>812</v>
      </c>
      <c r="J51" t="s">
        <v>813</v>
      </c>
      <c r="K51" t="s">
        <v>814</v>
      </c>
      <c r="L51">
        <v>1367</v>
      </c>
      <c r="N51">
        <v>1011</v>
      </c>
      <c r="O51" t="s">
        <v>79</v>
      </c>
      <c r="P51" t="s">
        <v>79</v>
      </c>
      <c r="Q51">
        <v>1</v>
      </c>
      <c r="W51">
        <v>0</v>
      </c>
      <c r="X51">
        <v>961999509</v>
      </c>
      <c r="Y51">
        <f>((AT51*1.25)*1.15)</f>
        <v>1.4374999999999999E-2</v>
      </c>
      <c r="AA51">
        <v>0</v>
      </c>
      <c r="AB51">
        <v>335.52</v>
      </c>
      <c r="AC51">
        <v>354.26</v>
      </c>
      <c r="AD51">
        <v>0</v>
      </c>
      <c r="AE51">
        <v>0</v>
      </c>
      <c r="AF51">
        <v>27.66</v>
      </c>
      <c r="AG51">
        <v>11.6</v>
      </c>
      <c r="AH51">
        <v>0</v>
      </c>
      <c r="AI51">
        <v>1</v>
      </c>
      <c r="AJ51">
        <v>12.13</v>
      </c>
      <c r="AK51">
        <v>30.54</v>
      </c>
      <c r="AL51">
        <v>1</v>
      </c>
      <c r="AM51">
        <v>4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0.01</v>
      </c>
      <c r="AU51" t="s">
        <v>90</v>
      </c>
      <c r="AV51">
        <v>0</v>
      </c>
      <c r="AW51">
        <v>2</v>
      </c>
      <c r="AX51">
        <v>145034720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ROUND(Y51*Source!I43,9)</f>
        <v>8.6249999999999999E-4</v>
      </c>
      <c r="CY51">
        <f>AB51</f>
        <v>335.52</v>
      </c>
      <c r="CZ51">
        <f>AF51</f>
        <v>27.66</v>
      </c>
      <c r="DA51">
        <f>AJ51</f>
        <v>12.13</v>
      </c>
      <c r="DB51">
        <f>ROUND(((ROUND(AT51*CZ51,2)*1.25)*1.15),2)</f>
        <v>0.4</v>
      </c>
      <c r="DC51">
        <f>ROUND(((ROUND(AT51*AG51,2)*1.25)*1.15),2)</f>
        <v>0.17</v>
      </c>
      <c r="DD51" t="s">
        <v>3</v>
      </c>
      <c r="DE51" t="s">
        <v>3</v>
      </c>
      <c r="DF51">
        <f t="shared" si="15"/>
        <v>0</v>
      </c>
      <c r="DG51">
        <f>ROUND(ROUND(AF51*AJ51,2)*CX51,2)</f>
        <v>0.28999999999999998</v>
      </c>
      <c r="DH51">
        <f>ROUND(ROUND(AG51*AK51,2)*CX51,2)</f>
        <v>0.31</v>
      </c>
      <c r="DI51">
        <f t="shared" si="16"/>
        <v>0</v>
      </c>
      <c r="DJ51">
        <f>DG51</f>
        <v>0.28999999999999998</v>
      </c>
      <c r="DK51">
        <v>0</v>
      </c>
      <c r="DL51" t="s">
        <v>3</v>
      </c>
      <c r="DM51">
        <v>0</v>
      </c>
      <c r="DN51" t="s">
        <v>3</v>
      </c>
      <c r="DO51">
        <v>0</v>
      </c>
    </row>
    <row r="52" spans="1:119" x14ac:dyDescent="0.2">
      <c r="A52">
        <f>ROW(Source!A43)</f>
        <v>43</v>
      </c>
      <c r="B52">
        <v>145033679</v>
      </c>
      <c r="C52">
        <v>145034717</v>
      </c>
      <c r="D52">
        <v>140923885</v>
      </c>
      <c r="E52">
        <v>1</v>
      </c>
      <c r="F52">
        <v>1</v>
      </c>
      <c r="G52">
        <v>1</v>
      </c>
      <c r="H52">
        <v>2</v>
      </c>
      <c r="I52" t="s">
        <v>732</v>
      </c>
      <c r="J52" t="s">
        <v>733</v>
      </c>
      <c r="K52" t="s">
        <v>734</v>
      </c>
      <c r="L52">
        <v>1367</v>
      </c>
      <c r="N52">
        <v>1011</v>
      </c>
      <c r="O52" t="s">
        <v>79</v>
      </c>
      <c r="P52" t="s">
        <v>79</v>
      </c>
      <c r="Q52">
        <v>1</v>
      </c>
      <c r="W52">
        <v>0</v>
      </c>
      <c r="X52">
        <v>509054691</v>
      </c>
      <c r="Y52">
        <f>((AT52*1.25)*1.15)</f>
        <v>5.7499999999999996E-2</v>
      </c>
      <c r="AA52">
        <v>0</v>
      </c>
      <c r="AB52">
        <v>797.06</v>
      </c>
      <c r="AC52">
        <v>354.26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12.13</v>
      </c>
      <c r="AK52">
        <v>30.54</v>
      </c>
      <c r="AL52">
        <v>1</v>
      </c>
      <c r="AM52">
        <v>4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0.04</v>
      </c>
      <c r="AU52" t="s">
        <v>90</v>
      </c>
      <c r="AV52">
        <v>0</v>
      </c>
      <c r="AW52">
        <v>2</v>
      </c>
      <c r="AX52">
        <v>145034721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ROUND(Y52*Source!I43,9)</f>
        <v>3.4499999999999999E-3</v>
      </c>
      <c r="CY52">
        <f>AB52</f>
        <v>797.06</v>
      </c>
      <c r="CZ52">
        <f>AF52</f>
        <v>65.709999999999994</v>
      </c>
      <c r="DA52">
        <f>AJ52</f>
        <v>12.13</v>
      </c>
      <c r="DB52">
        <f>ROUND(((ROUND(AT52*CZ52,2)*1.25)*1.15),2)</f>
        <v>3.78</v>
      </c>
      <c r="DC52">
        <f>ROUND(((ROUND(AT52*AG52,2)*1.25)*1.15),2)</f>
        <v>0.66</v>
      </c>
      <c r="DD52" t="s">
        <v>3</v>
      </c>
      <c r="DE52" t="s">
        <v>3</v>
      </c>
      <c r="DF52">
        <f t="shared" si="15"/>
        <v>0</v>
      </c>
      <c r="DG52">
        <f>ROUND(ROUND(AF52*AJ52,2)*CX52,2)</f>
        <v>2.75</v>
      </c>
      <c r="DH52">
        <f>ROUND(ROUND(AG52*AK52,2)*CX52,2)</f>
        <v>1.22</v>
      </c>
      <c r="DI52">
        <f t="shared" si="16"/>
        <v>0</v>
      </c>
      <c r="DJ52">
        <f>DG52</f>
        <v>2.75</v>
      </c>
      <c r="DK52">
        <v>0</v>
      </c>
      <c r="DL52" t="s">
        <v>3</v>
      </c>
      <c r="DM52">
        <v>0</v>
      </c>
      <c r="DN52" t="s">
        <v>3</v>
      </c>
      <c r="DO52">
        <v>0</v>
      </c>
    </row>
    <row r="53" spans="1:119" x14ac:dyDescent="0.2">
      <c r="A53">
        <f>ROW(Source!A43)</f>
        <v>43</v>
      </c>
      <c r="B53">
        <v>145033679</v>
      </c>
      <c r="C53">
        <v>145034717</v>
      </c>
      <c r="D53">
        <v>140924526</v>
      </c>
      <c r="E53">
        <v>1</v>
      </c>
      <c r="F53">
        <v>1</v>
      </c>
      <c r="G53">
        <v>1</v>
      </c>
      <c r="H53">
        <v>2</v>
      </c>
      <c r="I53" t="s">
        <v>815</v>
      </c>
      <c r="J53" t="s">
        <v>816</v>
      </c>
      <c r="K53" t="s">
        <v>817</v>
      </c>
      <c r="L53">
        <v>1367</v>
      </c>
      <c r="N53">
        <v>1011</v>
      </c>
      <c r="O53" t="s">
        <v>79</v>
      </c>
      <c r="P53" t="s">
        <v>79</v>
      </c>
      <c r="Q53">
        <v>1</v>
      </c>
      <c r="W53">
        <v>0</v>
      </c>
      <c r="X53">
        <v>-1745017968</v>
      </c>
      <c r="Y53">
        <f>((AT53*1.25)*1.15)</f>
        <v>4.05375</v>
      </c>
      <c r="AA53">
        <v>0</v>
      </c>
      <c r="AB53">
        <v>82.73</v>
      </c>
      <c r="AC53">
        <v>0</v>
      </c>
      <c r="AD53">
        <v>0</v>
      </c>
      <c r="AE53">
        <v>0</v>
      </c>
      <c r="AF53">
        <v>6.82</v>
      </c>
      <c r="AG53">
        <v>0</v>
      </c>
      <c r="AH53">
        <v>0</v>
      </c>
      <c r="AI53">
        <v>1</v>
      </c>
      <c r="AJ53">
        <v>12.13</v>
      </c>
      <c r="AK53">
        <v>30.54</v>
      </c>
      <c r="AL53">
        <v>1</v>
      </c>
      <c r="AM53">
        <v>4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2.82</v>
      </c>
      <c r="AU53" t="s">
        <v>90</v>
      </c>
      <c r="AV53">
        <v>0</v>
      </c>
      <c r="AW53">
        <v>2</v>
      </c>
      <c r="AX53">
        <v>145034722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ROUND(Y53*Source!I43,9)</f>
        <v>0.243225</v>
      </c>
      <c r="CY53">
        <f>AB53</f>
        <v>82.73</v>
      </c>
      <c r="CZ53">
        <f>AF53</f>
        <v>6.82</v>
      </c>
      <c r="DA53">
        <f>AJ53</f>
        <v>12.13</v>
      </c>
      <c r="DB53">
        <f>ROUND(((ROUND(AT53*CZ53,2)*1.25)*1.15),2)</f>
        <v>27.64</v>
      </c>
      <c r="DC53">
        <f>ROUND(((ROUND(AT53*AG53,2)*1.25)*1.15),2)</f>
        <v>0</v>
      </c>
      <c r="DD53" t="s">
        <v>3</v>
      </c>
      <c r="DE53" t="s">
        <v>3</v>
      </c>
      <c r="DF53">
        <f t="shared" si="15"/>
        <v>0</v>
      </c>
      <c r="DG53">
        <f>ROUND(ROUND(AF53*AJ53,2)*CX53,2)</f>
        <v>20.12</v>
      </c>
      <c r="DH53">
        <f>ROUND(ROUND(AG53*AK53,2)*CX53,2)</f>
        <v>0</v>
      </c>
      <c r="DI53">
        <f t="shared" si="16"/>
        <v>0</v>
      </c>
      <c r="DJ53">
        <f>DG53</f>
        <v>20.12</v>
      </c>
      <c r="DK53">
        <v>0</v>
      </c>
      <c r="DL53" t="s">
        <v>3</v>
      </c>
      <c r="DM53">
        <v>0</v>
      </c>
      <c r="DN53" t="s">
        <v>3</v>
      </c>
      <c r="DO53">
        <v>0</v>
      </c>
    </row>
    <row r="54" spans="1:119" x14ac:dyDescent="0.2">
      <c r="A54">
        <f>ROW(Source!A43)</f>
        <v>43</v>
      </c>
      <c r="B54">
        <v>145033679</v>
      </c>
      <c r="C54">
        <v>145034717</v>
      </c>
      <c r="D54">
        <v>140772680</v>
      </c>
      <c r="E54">
        <v>1</v>
      </c>
      <c r="F54">
        <v>1</v>
      </c>
      <c r="G54">
        <v>1</v>
      </c>
      <c r="H54">
        <v>3</v>
      </c>
      <c r="I54" t="s">
        <v>735</v>
      </c>
      <c r="J54" t="s">
        <v>736</v>
      </c>
      <c r="K54" t="s">
        <v>737</v>
      </c>
      <c r="L54">
        <v>1339</v>
      </c>
      <c r="N54">
        <v>1007</v>
      </c>
      <c r="O54" t="s">
        <v>66</v>
      </c>
      <c r="P54" t="s">
        <v>66</v>
      </c>
      <c r="Q54">
        <v>1</v>
      </c>
      <c r="W54">
        <v>0</v>
      </c>
      <c r="X54">
        <v>-143474561</v>
      </c>
      <c r="Y54">
        <f>AT54</f>
        <v>0.01</v>
      </c>
      <c r="AA54">
        <v>21.25</v>
      </c>
      <c r="AB54">
        <v>0</v>
      </c>
      <c r="AC54">
        <v>0</v>
      </c>
      <c r="AD54">
        <v>0</v>
      </c>
      <c r="AE54">
        <v>2.44</v>
      </c>
      <c r="AF54">
        <v>0</v>
      </c>
      <c r="AG54">
        <v>0</v>
      </c>
      <c r="AH54">
        <v>0</v>
      </c>
      <c r="AI54">
        <v>8.7100000000000009</v>
      </c>
      <c r="AJ54">
        <v>1</v>
      </c>
      <c r="AK54">
        <v>1</v>
      </c>
      <c r="AL54">
        <v>1</v>
      </c>
      <c r="AM54">
        <v>4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0.01</v>
      </c>
      <c r="AU54" t="s">
        <v>3</v>
      </c>
      <c r="AV54">
        <v>0</v>
      </c>
      <c r="AW54">
        <v>2</v>
      </c>
      <c r="AX54">
        <v>145034723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ROUND(Y54*Source!I43,9)</f>
        <v>5.9999999999999995E-4</v>
      </c>
      <c r="CY54">
        <f>AA54</f>
        <v>21.25</v>
      </c>
      <c r="CZ54">
        <f>AE54</f>
        <v>2.44</v>
      </c>
      <c r="DA54">
        <f>AI54</f>
        <v>8.7100000000000009</v>
      </c>
      <c r="DB54">
        <f>ROUND(ROUND(AT54*CZ54,2),2)</f>
        <v>0.02</v>
      </c>
      <c r="DC54">
        <f>ROUND(ROUND(AT54*AG54,2),2)</f>
        <v>0</v>
      </c>
      <c r="DD54" t="s">
        <v>3</v>
      </c>
      <c r="DE54" t="s">
        <v>3</v>
      </c>
      <c r="DF54">
        <f>ROUND(ROUND(AE54*AI54,2)*CX54,2)</f>
        <v>0.01</v>
      </c>
      <c r="DG54">
        <f>ROUND(ROUND(AF54,2)*CX54,2)</f>
        <v>0</v>
      </c>
      <c r="DH54">
        <f>ROUND(ROUND(AG54,2)*CX54,2)</f>
        <v>0</v>
      </c>
      <c r="DI54">
        <f t="shared" si="16"/>
        <v>0</v>
      </c>
      <c r="DJ54">
        <f>DF54</f>
        <v>0.01</v>
      </c>
      <c r="DK54">
        <v>0</v>
      </c>
      <c r="DL54" t="s">
        <v>3</v>
      </c>
      <c r="DM54">
        <v>0</v>
      </c>
      <c r="DN54" t="s">
        <v>3</v>
      </c>
      <c r="DO54">
        <v>0</v>
      </c>
    </row>
    <row r="55" spans="1:119" x14ac:dyDescent="0.2">
      <c r="A55">
        <f>ROW(Source!A43)</f>
        <v>43</v>
      </c>
      <c r="B55">
        <v>145033679</v>
      </c>
      <c r="C55">
        <v>145034717</v>
      </c>
      <c r="D55">
        <v>140776226</v>
      </c>
      <c r="E55">
        <v>1</v>
      </c>
      <c r="F55">
        <v>1</v>
      </c>
      <c r="G55">
        <v>1</v>
      </c>
      <c r="H55">
        <v>3</v>
      </c>
      <c r="I55" t="s">
        <v>818</v>
      </c>
      <c r="J55" t="s">
        <v>819</v>
      </c>
      <c r="K55" t="s">
        <v>820</v>
      </c>
      <c r="L55">
        <v>1346</v>
      </c>
      <c r="N55">
        <v>1009</v>
      </c>
      <c r="O55" t="s">
        <v>43</v>
      </c>
      <c r="P55" t="s">
        <v>43</v>
      </c>
      <c r="Q55">
        <v>1</v>
      </c>
      <c r="W55">
        <v>0</v>
      </c>
      <c r="X55">
        <v>1052716416</v>
      </c>
      <c r="Y55">
        <f>AT55</f>
        <v>1</v>
      </c>
      <c r="AA55">
        <v>15.85</v>
      </c>
      <c r="AB55">
        <v>0</v>
      </c>
      <c r="AC55">
        <v>0</v>
      </c>
      <c r="AD55">
        <v>0</v>
      </c>
      <c r="AE55">
        <v>1.82</v>
      </c>
      <c r="AF55">
        <v>0</v>
      </c>
      <c r="AG55">
        <v>0</v>
      </c>
      <c r="AH55">
        <v>0</v>
      </c>
      <c r="AI55">
        <v>8.7100000000000009</v>
      </c>
      <c r="AJ55">
        <v>1</v>
      </c>
      <c r="AK55">
        <v>1</v>
      </c>
      <c r="AL55">
        <v>1</v>
      </c>
      <c r="AM55">
        <v>4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</v>
      </c>
      <c r="AU55" t="s">
        <v>3</v>
      </c>
      <c r="AV55">
        <v>0</v>
      </c>
      <c r="AW55">
        <v>2</v>
      </c>
      <c r="AX55">
        <v>145034724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ROUND(Y55*Source!I43,9)</f>
        <v>0.06</v>
      </c>
      <c r="CY55">
        <f>AA55</f>
        <v>15.85</v>
      </c>
      <c r="CZ55">
        <f>AE55</f>
        <v>1.82</v>
      </c>
      <c r="DA55">
        <f>AI55</f>
        <v>8.7100000000000009</v>
      </c>
      <c r="DB55">
        <f>ROUND(ROUND(AT55*CZ55,2),2)</f>
        <v>1.82</v>
      </c>
      <c r="DC55">
        <f>ROUND(ROUND(AT55*AG55,2),2)</f>
        <v>0</v>
      </c>
      <c r="DD55" t="s">
        <v>3</v>
      </c>
      <c r="DE55" t="s">
        <v>3</v>
      </c>
      <c r="DF55">
        <f>ROUND(ROUND(AE55*AI55,2)*CX55,2)</f>
        <v>0.95</v>
      </c>
      <c r="DG55">
        <f>ROUND(ROUND(AF55,2)*CX55,2)</f>
        <v>0</v>
      </c>
      <c r="DH55">
        <f>ROUND(ROUND(AG55,2)*CX55,2)</f>
        <v>0</v>
      </c>
      <c r="DI55">
        <f t="shared" si="16"/>
        <v>0</v>
      </c>
      <c r="DJ55">
        <f>DF55</f>
        <v>0.95</v>
      </c>
      <c r="DK55">
        <v>0</v>
      </c>
      <c r="DL55" t="s">
        <v>3</v>
      </c>
      <c r="DM55">
        <v>0</v>
      </c>
      <c r="DN55" t="s">
        <v>3</v>
      </c>
      <c r="DO55">
        <v>0</v>
      </c>
    </row>
    <row r="56" spans="1:119" x14ac:dyDescent="0.2">
      <c r="A56">
        <f>ROW(Source!A43)</f>
        <v>43</v>
      </c>
      <c r="B56">
        <v>145033679</v>
      </c>
      <c r="C56">
        <v>145034717</v>
      </c>
      <c r="D56">
        <v>140763283</v>
      </c>
      <c r="E56">
        <v>70</v>
      </c>
      <c r="F56">
        <v>1</v>
      </c>
      <c r="G56">
        <v>1</v>
      </c>
      <c r="H56">
        <v>3</v>
      </c>
      <c r="I56" t="s">
        <v>821</v>
      </c>
      <c r="J56" t="s">
        <v>3</v>
      </c>
      <c r="K56" t="s">
        <v>822</v>
      </c>
      <c r="L56">
        <v>1346</v>
      </c>
      <c r="N56">
        <v>1009</v>
      </c>
      <c r="O56" t="s">
        <v>43</v>
      </c>
      <c r="P56" t="s">
        <v>43</v>
      </c>
      <c r="Q56">
        <v>1</v>
      </c>
      <c r="W56">
        <v>0</v>
      </c>
      <c r="X56">
        <v>-112592316</v>
      </c>
      <c r="Y56">
        <f>AT56</f>
        <v>13.8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8.7100000000000009</v>
      </c>
      <c r="AJ56">
        <v>1</v>
      </c>
      <c r="AK56">
        <v>1</v>
      </c>
      <c r="AL56">
        <v>1</v>
      </c>
      <c r="AM56">
        <v>4</v>
      </c>
      <c r="AN56">
        <v>0</v>
      </c>
      <c r="AO56">
        <v>0</v>
      </c>
      <c r="AP56">
        <v>1</v>
      </c>
      <c r="AQ56">
        <v>0</v>
      </c>
      <c r="AR56">
        <v>0</v>
      </c>
      <c r="AS56" t="s">
        <v>3</v>
      </c>
      <c r="AT56">
        <v>13.8</v>
      </c>
      <c r="AU56" t="s">
        <v>3</v>
      </c>
      <c r="AV56">
        <v>0</v>
      </c>
      <c r="AW56">
        <v>2</v>
      </c>
      <c r="AX56">
        <v>145034725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ROUND(Y56*Source!I43,9)</f>
        <v>0.82799999999999996</v>
      </c>
      <c r="CY56">
        <f>AA56</f>
        <v>0</v>
      </c>
      <c r="CZ56">
        <f>AE56</f>
        <v>0</v>
      </c>
      <c r="DA56">
        <f>AI56</f>
        <v>8.7100000000000009</v>
      </c>
      <c r="DB56">
        <f>ROUND(ROUND(AT56*CZ56,2),2)</f>
        <v>0</v>
      </c>
      <c r="DC56">
        <f>ROUND(ROUND(AT56*AG56,2),2)</f>
        <v>0</v>
      </c>
      <c r="DD56" t="s">
        <v>3</v>
      </c>
      <c r="DE56" t="s">
        <v>3</v>
      </c>
      <c r="DF56">
        <f>ROUND(ROUND(AE56*AI56,2)*CX56,2)</f>
        <v>0</v>
      </c>
      <c r="DG56">
        <f>ROUND(ROUND(AF56,2)*CX56,2)</f>
        <v>0</v>
      </c>
      <c r="DH56">
        <f>ROUND(ROUND(AG56,2)*CX56,2)</f>
        <v>0</v>
      </c>
      <c r="DI56">
        <f t="shared" si="16"/>
        <v>0</v>
      </c>
      <c r="DJ56">
        <f>DF56</f>
        <v>0</v>
      </c>
      <c r="DK56">
        <v>0</v>
      </c>
      <c r="DL56" t="s">
        <v>3</v>
      </c>
      <c r="DM56">
        <v>0</v>
      </c>
      <c r="DN56" t="s">
        <v>3</v>
      </c>
      <c r="DO56">
        <v>0</v>
      </c>
    </row>
    <row r="57" spans="1:119" x14ac:dyDescent="0.2">
      <c r="A57">
        <f>ROW(Source!A45)</f>
        <v>45</v>
      </c>
      <c r="B57">
        <v>145033679</v>
      </c>
      <c r="C57">
        <v>145034671</v>
      </c>
      <c r="D57">
        <v>140760008</v>
      </c>
      <c r="E57">
        <v>70</v>
      </c>
      <c r="F57">
        <v>1</v>
      </c>
      <c r="G57">
        <v>1</v>
      </c>
      <c r="H57">
        <v>1</v>
      </c>
      <c r="I57" t="s">
        <v>810</v>
      </c>
      <c r="J57" t="s">
        <v>3</v>
      </c>
      <c r="K57" t="s">
        <v>811</v>
      </c>
      <c r="L57">
        <v>1191</v>
      </c>
      <c r="N57">
        <v>1013</v>
      </c>
      <c r="O57" t="s">
        <v>725</v>
      </c>
      <c r="P57" t="s">
        <v>725</v>
      </c>
      <c r="Q57">
        <v>1</v>
      </c>
      <c r="W57">
        <v>0</v>
      </c>
      <c r="X57">
        <v>-1810713292</v>
      </c>
      <c r="Y57">
        <f>((AT57*1.15)*1.15)</f>
        <v>29.491749999999996</v>
      </c>
      <c r="AA57">
        <v>0</v>
      </c>
      <c r="AB57">
        <v>0</v>
      </c>
      <c r="AC57">
        <v>0</v>
      </c>
      <c r="AD57">
        <v>280.36</v>
      </c>
      <c r="AE57">
        <v>0</v>
      </c>
      <c r="AF57">
        <v>0</v>
      </c>
      <c r="AG57">
        <v>0</v>
      </c>
      <c r="AH57">
        <v>9.18</v>
      </c>
      <c r="AI57">
        <v>1</v>
      </c>
      <c r="AJ57">
        <v>1</v>
      </c>
      <c r="AK57">
        <v>1</v>
      </c>
      <c r="AL57">
        <v>30.54</v>
      </c>
      <c r="AM57">
        <v>4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22.3</v>
      </c>
      <c r="AU57" t="s">
        <v>91</v>
      </c>
      <c r="AV57">
        <v>1</v>
      </c>
      <c r="AW57">
        <v>2</v>
      </c>
      <c r="AX57">
        <v>145034881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ROUND(Y57*Source!I45,9)</f>
        <v>1.7695050000000001</v>
      </c>
      <c r="CY57">
        <f>AD57</f>
        <v>280.36</v>
      </c>
      <c r="CZ57">
        <f>AH57</f>
        <v>9.18</v>
      </c>
      <c r="DA57">
        <f>AL57</f>
        <v>30.54</v>
      </c>
      <c r="DB57">
        <f>ROUND(((ROUND(AT57*CZ57,2)*1.15)*1.15),2)</f>
        <v>270.73</v>
      </c>
      <c r="DC57">
        <f>ROUND(((ROUND(AT57*AG57,2)*1.15)*1.15),2)</f>
        <v>0</v>
      </c>
      <c r="DD57" t="s">
        <v>3</v>
      </c>
      <c r="DE57" t="s">
        <v>3</v>
      </c>
      <c r="DF57">
        <f>ROUND(ROUND(AE57,2)*CX57,2)</f>
        <v>0</v>
      </c>
      <c r="DG57">
        <f>ROUND(ROUND(AF57,2)*CX57,2)</f>
        <v>0</v>
      </c>
      <c r="DH57">
        <f>ROUND(ROUND(AG57,2)*CX57,2)</f>
        <v>0</v>
      </c>
      <c r="DI57">
        <f>ROUND(ROUND(AH57*AL57,2)*CX57,2)</f>
        <v>496.1</v>
      </c>
      <c r="DJ57">
        <f>DI57</f>
        <v>496.1</v>
      </c>
      <c r="DK57">
        <v>0</v>
      </c>
      <c r="DL57" t="s">
        <v>3</v>
      </c>
      <c r="DM57">
        <v>0</v>
      </c>
      <c r="DN57" t="s">
        <v>3</v>
      </c>
      <c r="DO57">
        <v>0</v>
      </c>
    </row>
    <row r="58" spans="1:119" x14ac:dyDescent="0.2">
      <c r="A58">
        <f>ROW(Source!A45)</f>
        <v>45</v>
      </c>
      <c r="B58">
        <v>145033679</v>
      </c>
      <c r="C58">
        <v>145034671</v>
      </c>
      <c r="D58">
        <v>140760225</v>
      </c>
      <c r="E58">
        <v>70</v>
      </c>
      <c r="F58">
        <v>1</v>
      </c>
      <c r="G58">
        <v>1</v>
      </c>
      <c r="H58">
        <v>1</v>
      </c>
      <c r="I58" t="s">
        <v>730</v>
      </c>
      <c r="J58" t="s">
        <v>3</v>
      </c>
      <c r="K58" t="s">
        <v>731</v>
      </c>
      <c r="L58">
        <v>1191</v>
      </c>
      <c r="N58">
        <v>1013</v>
      </c>
      <c r="O58" t="s">
        <v>725</v>
      </c>
      <c r="P58" t="s">
        <v>725</v>
      </c>
      <c r="Q58">
        <v>1</v>
      </c>
      <c r="W58">
        <v>0</v>
      </c>
      <c r="X58">
        <v>-1417349443</v>
      </c>
      <c r="Y58">
        <f>((AT58*1.25)*1.15)</f>
        <v>0.301875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30.54</v>
      </c>
      <c r="AL58">
        <v>1</v>
      </c>
      <c r="AM58">
        <v>4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0.21</v>
      </c>
      <c r="AU58" t="s">
        <v>90</v>
      </c>
      <c r="AV58">
        <v>2</v>
      </c>
      <c r="AW58">
        <v>2</v>
      </c>
      <c r="AX58">
        <v>145034882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ROUND(Y58*Source!I45,9)</f>
        <v>1.81125E-2</v>
      </c>
      <c r="CY58">
        <f>AD58</f>
        <v>0</v>
      </c>
      <c r="CZ58">
        <f>AH58</f>
        <v>0</v>
      </c>
      <c r="DA58">
        <f>AL58</f>
        <v>1</v>
      </c>
      <c r="DB58">
        <f>ROUND(((ROUND(AT58*CZ58,2)*1.25)*1.15),2)</f>
        <v>0</v>
      </c>
      <c r="DC58">
        <f>ROUND(((ROUND(AT58*AG58,2)*1.25)*1.15),2)</f>
        <v>0</v>
      </c>
      <c r="DD58" t="s">
        <v>3</v>
      </c>
      <c r="DE58" t="s">
        <v>3</v>
      </c>
      <c r="DF58">
        <f>ROUND(ROUND(AE58,2)*CX58,2)</f>
        <v>0</v>
      </c>
      <c r="DG58">
        <f>ROUND(ROUND(AF58,2)*CX58,2)</f>
        <v>0</v>
      </c>
      <c r="DH58">
        <f>ROUND(ROUND(AG58*AK58,2)*CX58,2)</f>
        <v>0</v>
      </c>
      <c r="DI58">
        <f>ROUND(ROUND(AH58,2)*CX58,2)</f>
        <v>0</v>
      </c>
      <c r="DJ58">
        <f>DI58</f>
        <v>0</v>
      </c>
      <c r="DK58">
        <v>0</v>
      </c>
      <c r="DL58" t="s">
        <v>3</v>
      </c>
      <c r="DM58">
        <v>0</v>
      </c>
      <c r="DN58" t="s">
        <v>3</v>
      </c>
      <c r="DO58">
        <v>0</v>
      </c>
    </row>
    <row r="59" spans="1:119" x14ac:dyDescent="0.2">
      <c r="A59">
        <f>ROW(Source!A45)</f>
        <v>45</v>
      </c>
      <c r="B59">
        <v>145033679</v>
      </c>
      <c r="C59">
        <v>145034671</v>
      </c>
      <c r="D59">
        <v>140923105</v>
      </c>
      <c r="E59">
        <v>1</v>
      </c>
      <c r="F59">
        <v>1</v>
      </c>
      <c r="G59">
        <v>1</v>
      </c>
      <c r="H59">
        <v>2</v>
      </c>
      <c r="I59" t="s">
        <v>823</v>
      </c>
      <c r="J59" t="s">
        <v>824</v>
      </c>
      <c r="K59" t="s">
        <v>825</v>
      </c>
      <c r="L59">
        <v>1367</v>
      </c>
      <c r="N59">
        <v>1011</v>
      </c>
      <c r="O59" t="s">
        <v>79</v>
      </c>
      <c r="P59" t="s">
        <v>79</v>
      </c>
      <c r="Q59">
        <v>1</v>
      </c>
      <c r="W59">
        <v>0</v>
      </c>
      <c r="X59">
        <v>-896236776</v>
      </c>
      <c r="Y59">
        <f>((AT59*1.25)*1.15)</f>
        <v>0.11499999999999999</v>
      </c>
      <c r="AA59">
        <v>0</v>
      </c>
      <c r="AB59">
        <v>1091.58</v>
      </c>
      <c r="AC59">
        <v>307.23</v>
      </c>
      <c r="AD59">
        <v>0</v>
      </c>
      <c r="AE59">
        <v>0</v>
      </c>
      <c r="AF59">
        <v>89.99</v>
      </c>
      <c r="AG59">
        <v>10.06</v>
      </c>
      <c r="AH59">
        <v>0</v>
      </c>
      <c r="AI59">
        <v>1</v>
      </c>
      <c r="AJ59">
        <v>12.13</v>
      </c>
      <c r="AK59">
        <v>30.54</v>
      </c>
      <c r="AL59">
        <v>1</v>
      </c>
      <c r="AM59">
        <v>4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0.08</v>
      </c>
      <c r="AU59" t="s">
        <v>90</v>
      </c>
      <c r="AV59">
        <v>0</v>
      </c>
      <c r="AW59">
        <v>2</v>
      </c>
      <c r="AX59">
        <v>145034883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ROUND(Y59*Source!I45,9)</f>
        <v>6.8999999999999999E-3</v>
      </c>
      <c r="CY59">
        <f>AB59</f>
        <v>1091.58</v>
      </c>
      <c r="CZ59">
        <f>AF59</f>
        <v>89.99</v>
      </c>
      <c r="DA59">
        <f>AJ59</f>
        <v>12.13</v>
      </c>
      <c r="DB59">
        <f>ROUND(((ROUND(AT59*CZ59,2)*1.25)*1.15),2)</f>
        <v>10.35</v>
      </c>
      <c r="DC59">
        <f>ROUND(((ROUND(AT59*AG59,2)*1.25)*1.15),2)</f>
        <v>1.1499999999999999</v>
      </c>
      <c r="DD59" t="s">
        <v>3</v>
      </c>
      <c r="DE59" t="s">
        <v>3</v>
      </c>
      <c r="DF59">
        <f>ROUND(ROUND(AE59,2)*CX59,2)</f>
        <v>0</v>
      </c>
      <c r="DG59">
        <f>ROUND(ROUND(AF59*AJ59,2)*CX59,2)</f>
        <v>7.53</v>
      </c>
      <c r="DH59">
        <f>ROUND(ROUND(AG59*AK59,2)*CX59,2)</f>
        <v>2.12</v>
      </c>
      <c r="DI59">
        <f>ROUND(ROUND(AH59,2)*CX59,2)</f>
        <v>0</v>
      </c>
      <c r="DJ59">
        <f>DG59</f>
        <v>7.53</v>
      </c>
      <c r="DK59">
        <v>0</v>
      </c>
      <c r="DL59" t="s">
        <v>3</v>
      </c>
      <c r="DM59">
        <v>0</v>
      </c>
      <c r="DN59" t="s">
        <v>3</v>
      </c>
      <c r="DO59">
        <v>0</v>
      </c>
    </row>
    <row r="60" spans="1:119" x14ac:dyDescent="0.2">
      <c r="A60">
        <f>ROW(Source!A45)</f>
        <v>45</v>
      </c>
      <c r="B60">
        <v>145033679</v>
      </c>
      <c r="C60">
        <v>145034671</v>
      </c>
      <c r="D60">
        <v>140923145</v>
      </c>
      <c r="E60">
        <v>1</v>
      </c>
      <c r="F60">
        <v>1</v>
      </c>
      <c r="G60">
        <v>1</v>
      </c>
      <c r="H60">
        <v>2</v>
      </c>
      <c r="I60" t="s">
        <v>826</v>
      </c>
      <c r="J60" t="s">
        <v>827</v>
      </c>
      <c r="K60" t="s">
        <v>828</v>
      </c>
      <c r="L60">
        <v>1367</v>
      </c>
      <c r="N60">
        <v>1011</v>
      </c>
      <c r="O60" t="s">
        <v>79</v>
      </c>
      <c r="P60" t="s">
        <v>79</v>
      </c>
      <c r="Q60">
        <v>1</v>
      </c>
      <c r="W60">
        <v>0</v>
      </c>
      <c r="X60">
        <v>1232162608</v>
      </c>
      <c r="Y60">
        <f>((AT60*1.25)*1.15)</f>
        <v>0.18687499999999999</v>
      </c>
      <c r="AA60">
        <v>0</v>
      </c>
      <c r="AB60">
        <v>379.18</v>
      </c>
      <c r="AC60">
        <v>412.29</v>
      </c>
      <c r="AD60">
        <v>0</v>
      </c>
      <c r="AE60">
        <v>0</v>
      </c>
      <c r="AF60">
        <v>31.26</v>
      </c>
      <c r="AG60">
        <v>13.5</v>
      </c>
      <c r="AH60">
        <v>0</v>
      </c>
      <c r="AI60">
        <v>1</v>
      </c>
      <c r="AJ60">
        <v>12.13</v>
      </c>
      <c r="AK60">
        <v>30.54</v>
      </c>
      <c r="AL60">
        <v>1</v>
      </c>
      <c r="AM60">
        <v>4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0.13</v>
      </c>
      <c r="AU60" t="s">
        <v>90</v>
      </c>
      <c r="AV60">
        <v>0</v>
      </c>
      <c r="AW60">
        <v>2</v>
      </c>
      <c r="AX60">
        <v>145034884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ROUND(Y60*Source!I45,9)</f>
        <v>1.12125E-2</v>
      </c>
      <c r="CY60">
        <f>AB60</f>
        <v>379.18</v>
      </c>
      <c r="CZ60">
        <f>AF60</f>
        <v>31.26</v>
      </c>
      <c r="DA60">
        <f>AJ60</f>
        <v>12.13</v>
      </c>
      <c r="DB60">
        <f>ROUND(((ROUND(AT60*CZ60,2)*1.25)*1.15),2)</f>
        <v>5.84</v>
      </c>
      <c r="DC60">
        <f>ROUND(((ROUND(AT60*AG60,2)*1.25)*1.15),2)</f>
        <v>2.5299999999999998</v>
      </c>
      <c r="DD60" t="s">
        <v>3</v>
      </c>
      <c r="DE60" t="s">
        <v>3</v>
      </c>
      <c r="DF60">
        <f>ROUND(ROUND(AE60,2)*CX60,2)</f>
        <v>0</v>
      </c>
      <c r="DG60">
        <f>ROUND(ROUND(AF60*AJ60,2)*CX60,2)</f>
        <v>4.25</v>
      </c>
      <c r="DH60">
        <f>ROUND(ROUND(AG60*AK60,2)*CX60,2)</f>
        <v>4.62</v>
      </c>
      <c r="DI60">
        <f>ROUND(ROUND(AH60,2)*CX60,2)</f>
        <v>0</v>
      </c>
      <c r="DJ60">
        <f>DG60</f>
        <v>4.25</v>
      </c>
      <c r="DK60">
        <v>0</v>
      </c>
      <c r="DL60" t="s">
        <v>3</v>
      </c>
      <c r="DM60">
        <v>0</v>
      </c>
      <c r="DN60" t="s">
        <v>3</v>
      </c>
      <c r="DO60">
        <v>0</v>
      </c>
    </row>
    <row r="61" spans="1:119" x14ac:dyDescent="0.2">
      <c r="A61">
        <f>ROW(Source!A45)</f>
        <v>45</v>
      </c>
      <c r="B61">
        <v>145033679</v>
      </c>
      <c r="C61">
        <v>145034671</v>
      </c>
      <c r="D61">
        <v>140792315</v>
      </c>
      <c r="E61">
        <v>1</v>
      </c>
      <c r="F61">
        <v>1</v>
      </c>
      <c r="G61">
        <v>1</v>
      </c>
      <c r="H61">
        <v>3</v>
      </c>
      <c r="I61" t="s">
        <v>829</v>
      </c>
      <c r="J61" t="s">
        <v>830</v>
      </c>
      <c r="K61" t="s">
        <v>831</v>
      </c>
      <c r="L61">
        <v>1348</v>
      </c>
      <c r="N61">
        <v>1009</v>
      </c>
      <c r="O61" t="s">
        <v>105</v>
      </c>
      <c r="P61" t="s">
        <v>105</v>
      </c>
      <c r="Q61">
        <v>1000</v>
      </c>
      <c r="W61">
        <v>0</v>
      </c>
      <c r="X61">
        <v>1421771881</v>
      </c>
      <c r="Y61">
        <f>(AT61*0)</f>
        <v>0</v>
      </c>
      <c r="AA61">
        <v>56615</v>
      </c>
      <c r="AB61">
        <v>0</v>
      </c>
      <c r="AC61">
        <v>0</v>
      </c>
      <c r="AD61">
        <v>0</v>
      </c>
      <c r="AE61">
        <v>6500</v>
      </c>
      <c r="AF61">
        <v>0</v>
      </c>
      <c r="AG61">
        <v>0</v>
      </c>
      <c r="AH61">
        <v>0</v>
      </c>
      <c r="AI61">
        <v>8.7100000000000009</v>
      </c>
      <c r="AJ61">
        <v>1</v>
      </c>
      <c r="AK61">
        <v>1</v>
      </c>
      <c r="AL61">
        <v>1</v>
      </c>
      <c r="AM61">
        <v>4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1.2999999999999999E-3</v>
      </c>
      <c r="AU61" t="s">
        <v>153</v>
      </c>
      <c r="AV61">
        <v>0</v>
      </c>
      <c r="AW61">
        <v>2</v>
      </c>
      <c r="AX61">
        <v>145034885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ROUND(Y61*Source!I45,9)</f>
        <v>0</v>
      </c>
      <c r="CY61">
        <f>AA61</f>
        <v>56615</v>
      </c>
      <c r="CZ61">
        <f>AE61</f>
        <v>6500</v>
      </c>
      <c r="DA61">
        <f>AI61</f>
        <v>8.7100000000000009</v>
      </c>
      <c r="DB61">
        <f>ROUND((ROUND(AT61*CZ61,2)*0),2)</f>
        <v>0</v>
      </c>
      <c r="DC61">
        <f>ROUND((ROUND(AT61*AG61,2)*0),2)</f>
        <v>0</v>
      </c>
      <c r="DD61" t="s">
        <v>3</v>
      </c>
      <c r="DE61" t="s">
        <v>3</v>
      </c>
      <c r="DF61">
        <f>ROUND(ROUND(AE61*AI61,2)*CX61,2)</f>
        <v>0</v>
      </c>
      <c r="DG61">
        <f>ROUND(ROUND(AF61,2)*CX61,2)</f>
        <v>0</v>
      </c>
      <c r="DH61">
        <f>ROUND(ROUND(AG61,2)*CX61,2)</f>
        <v>0</v>
      </c>
      <c r="DI61">
        <f>ROUND(ROUND(AH61,2)*CX61,2)</f>
        <v>0</v>
      </c>
      <c r="DJ61">
        <f>DF61</f>
        <v>0</v>
      </c>
      <c r="DK61">
        <v>0</v>
      </c>
      <c r="DL61" t="s">
        <v>3</v>
      </c>
      <c r="DM61">
        <v>0</v>
      </c>
      <c r="DN61" t="s">
        <v>3</v>
      </c>
      <c r="DO61">
        <v>0</v>
      </c>
    </row>
    <row r="62" spans="1:119" x14ac:dyDescent="0.2">
      <c r="A62">
        <f>ROW(Source!A45)</f>
        <v>45</v>
      </c>
      <c r="B62">
        <v>145033679</v>
      </c>
      <c r="C62">
        <v>145034671</v>
      </c>
      <c r="D62">
        <v>140792339</v>
      </c>
      <c r="E62">
        <v>1</v>
      </c>
      <c r="F62">
        <v>1</v>
      </c>
      <c r="G62">
        <v>1</v>
      </c>
      <c r="H62">
        <v>3</v>
      </c>
      <c r="I62" t="s">
        <v>832</v>
      </c>
      <c r="J62" t="s">
        <v>833</v>
      </c>
      <c r="K62" t="s">
        <v>834</v>
      </c>
      <c r="L62">
        <v>1348</v>
      </c>
      <c r="N62">
        <v>1009</v>
      </c>
      <c r="O62" t="s">
        <v>105</v>
      </c>
      <c r="P62" t="s">
        <v>105</v>
      </c>
      <c r="Q62">
        <v>1000</v>
      </c>
      <c r="W62">
        <v>0</v>
      </c>
      <c r="X62">
        <v>-120483918</v>
      </c>
      <c r="Y62">
        <f>(AT62*0)</f>
        <v>0</v>
      </c>
      <c r="AA62">
        <v>38804.79</v>
      </c>
      <c r="AB62">
        <v>0</v>
      </c>
      <c r="AC62">
        <v>0</v>
      </c>
      <c r="AD62">
        <v>0</v>
      </c>
      <c r="AE62">
        <v>4455.2</v>
      </c>
      <c r="AF62">
        <v>0</v>
      </c>
      <c r="AG62">
        <v>0</v>
      </c>
      <c r="AH62">
        <v>0</v>
      </c>
      <c r="AI62">
        <v>8.7100000000000009</v>
      </c>
      <c r="AJ62">
        <v>1</v>
      </c>
      <c r="AK62">
        <v>1</v>
      </c>
      <c r="AL62">
        <v>1</v>
      </c>
      <c r="AM62">
        <v>4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0.36</v>
      </c>
      <c r="AU62" t="s">
        <v>153</v>
      </c>
      <c r="AV62">
        <v>0</v>
      </c>
      <c r="AW62">
        <v>2</v>
      </c>
      <c r="AX62">
        <v>145034886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ROUND(Y62*Source!I45,9)</f>
        <v>0</v>
      </c>
      <c r="CY62">
        <f>AA62</f>
        <v>38804.79</v>
      </c>
      <c r="CZ62">
        <f>AE62</f>
        <v>4455.2</v>
      </c>
      <c r="DA62">
        <f>AI62</f>
        <v>8.7100000000000009</v>
      </c>
      <c r="DB62">
        <f>ROUND((ROUND(AT62*CZ62,2)*0),2)</f>
        <v>0</v>
      </c>
      <c r="DC62">
        <f>ROUND((ROUND(AT62*AG62,2)*0),2)</f>
        <v>0</v>
      </c>
      <c r="DD62" t="s">
        <v>3</v>
      </c>
      <c r="DE62" t="s">
        <v>3</v>
      </c>
      <c r="DF62">
        <f>ROUND(ROUND(AE62*AI62,2)*CX62,2)</f>
        <v>0</v>
      </c>
      <c r="DG62">
        <f>ROUND(ROUND(AF62,2)*CX62,2)</f>
        <v>0</v>
      </c>
      <c r="DH62">
        <f>ROUND(ROUND(AG62,2)*CX62,2)</f>
        <v>0</v>
      </c>
      <c r="DI62">
        <f>ROUND(ROUND(AH62,2)*CX62,2)</f>
        <v>0</v>
      </c>
      <c r="DJ62">
        <f>DF62</f>
        <v>0</v>
      </c>
      <c r="DK62">
        <v>0</v>
      </c>
      <c r="DL62" t="s">
        <v>3</v>
      </c>
      <c r="DM62">
        <v>0</v>
      </c>
      <c r="DN62" t="s">
        <v>3</v>
      </c>
      <c r="DO62">
        <v>0</v>
      </c>
    </row>
    <row r="63" spans="1:119" x14ac:dyDescent="0.2">
      <c r="A63">
        <f>ROW(Source!A48)</f>
        <v>48</v>
      </c>
      <c r="B63">
        <v>145033679</v>
      </c>
      <c r="C63">
        <v>145034655</v>
      </c>
      <c r="D63">
        <v>140760060</v>
      </c>
      <c r="E63">
        <v>70</v>
      </c>
      <c r="F63">
        <v>1</v>
      </c>
      <c r="G63">
        <v>1</v>
      </c>
      <c r="H63">
        <v>1</v>
      </c>
      <c r="I63" t="s">
        <v>835</v>
      </c>
      <c r="J63" t="s">
        <v>3</v>
      </c>
      <c r="K63" t="s">
        <v>836</v>
      </c>
      <c r="L63">
        <v>1191</v>
      </c>
      <c r="N63">
        <v>1013</v>
      </c>
      <c r="O63" t="s">
        <v>725</v>
      </c>
      <c r="P63" t="s">
        <v>725</v>
      </c>
      <c r="Q63">
        <v>1</v>
      </c>
      <c r="W63">
        <v>0</v>
      </c>
      <c r="X63">
        <v>-981676222</v>
      </c>
      <c r="Y63">
        <f>(AT63*1.15)</f>
        <v>72.346499999999992</v>
      </c>
      <c r="AA63">
        <v>0</v>
      </c>
      <c r="AB63">
        <v>0</v>
      </c>
      <c r="AC63">
        <v>0</v>
      </c>
      <c r="AD63">
        <v>325.25</v>
      </c>
      <c r="AE63">
        <v>0</v>
      </c>
      <c r="AF63">
        <v>0</v>
      </c>
      <c r="AG63">
        <v>0</v>
      </c>
      <c r="AH63">
        <v>10.65</v>
      </c>
      <c r="AI63">
        <v>1</v>
      </c>
      <c r="AJ63">
        <v>1</v>
      </c>
      <c r="AK63">
        <v>1</v>
      </c>
      <c r="AL63">
        <v>30.54</v>
      </c>
      <c r="AM63">
        <v>4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62.91</v>
      </c>
      <c r="AU63" t="s">
        <v>21</v>
      </c>
      <c r="AV63">
        <v>1</v>
      </c>
      <c r="AW63">
        <v>2</v>
      </c>
      <c r="AX63">
        <v>145034656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ROUND(Y63*Source!I48,9)</f>
        <v>4.3407900000000001</v>
      </c>
      <c r="CY63">
        <f>AD63</f>
        <v>325.25</v>
      </c>
      <c r="CZ63">
        <f>AH63</f>
        <v>10.65</v>
      </c>
      <c r="DA63">
        <f>AL63</f>
        <v>30.54</v>
      </c>
      <c r="DB63">
        <f>ROUND((ROUND(AT63*CZ63,2)*1.15),2)</f>
        <v>770.49</v>
      </c>
      <c r="DC63">
        <f>ROUND((ROUND(AT63*AG63,2)*1.15),2)</f>
        <v>0</v>
      </c>
      <c r="DD63" t="s">
        <v>3</v>
      </c>
      <c r="DE63" t="s">
        <v>3</v>
      </c>
      <c r="DF63">
        <f>ROUND(ROUND(AE63,2)*CX63,2)</f>
        <v>0</v>
      </c>
      <c r="DG63">
        <f>ROUND(ROUND(AF63,2)*CX63,2)</f>
        <v>0</v>
      </c>
      <c r="DH63">
        <f>ROUND(ROUND(AG63,2)*CX63,2)</f>
        <v>0</v>
      </c>
      <c r="DI63">
        <f>ROUND(ROUND(AH63*AL63,2)*CX63,2)</f>
        <v>1411.84</v>
      </c>
      <c r="DJ63">
        <f>DI63</f>
        <v>1411.84</v>
      </c>
      <c r="DK63">
        <v>0</v>
      </c>
      <c r="DL63" t="s">
        <v>3</v>
      </c>
      <c r="DM63">
        <v>0</v>
      </c>
      <c r="DN63" t="s">
        <v>3</v>
      </c>
      <c r="DO63">
        <v>0</v>
      </c>
    </row>
    <row r="64" spans="1:119" x14ac:dyDescent="0.2">
      <c r="A64">
        <f>ROW(Source!A48)</f>
        <v>48</v>
      </c>
      <c r="B64">
        <v>145033679</v>
      </c>
      <c r="C64">
        <v>145034655</v>
      </c>
      <c r="D64">
        <v>140760225</v>
      </c>
      <c r="E64">
        <v>70</v>
      </c>
      <c r="F64">
        <v>1</v>
      </c>
      <c r="G64">
        <v>1</v>
      </c>
      <c r="H64">
        <v>1</v>
      </c>
      <c r="I64" t="s">
        <v>730</v>
      </c>
      <c r="J64" t="s">
        <v>3</v>
      </c>
      <c r="K64" t="s">
        <v>731</v>
      </c>
      <c r="L64">
        <v>1191</v>
      </c>
      <c r="N64">
        <v>1013</v>
      </c>
      <c r="O64" t="s">
        <v>725</v>
      </c>
      <c r="P64" t="s">
        <v>725</v>
      </c>
      <c r="Q64">
        <v>1</v>
      </c>
      <c r="W64">
        <v>0</v>
      </c>
      <c r="X64">
        <v>-1417349443</v>
      </c>
      <c r="Y64">
        <f>(AT64*1.15)</f>
        <v>7.1414999999999997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30.54</v>
      </c>
      <c r="AL64">
        <v>1</v>
      </c>
      <c r="AM64">
        <v>4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6.21</v>
      </c>
      <c r="AU64" t="s">
        <v>21</v>
      </c>
      <c r="AV64">
        <v>2</v>
      </c>
      <c r="AW64">
        <v>2</v>
      </c>
      <c r="AX64">
        <v>145034657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ROUND(Y64*Source!I48,9)</f>
        <v>0.42848999999999998</v>
      </c>
      <c r="CY64">
        <f>AD64</f>
        <v>0</v>
      </c>
      <c r="CZ64">
        <f>AH64</f>
        <v>0</v>
      </c>
      <c r="DA64">
        <f>AL64</f>
        <v>1</v>
      </c>
      <c r="DB64">
        <f>ROUND((ROUND(AT64*CZ64,2)*1.15),2)</f>
        <v>0</v>
      </c>
      <c r="DC64">
        <f>ROUND((ROUND(AT64*AG64,2)*1.15),2)</f>
        <v>0</v>
      </c>
      <c r="DD64" t="s">
        <v>3</v>
      </c>
      <c r="DE64" t="s">
        <v>3</v>
      </c>
      <c r="DF64">
        <f>ROUND(ROUND(AE64,2)*CX64,2)</f>
        <v>0</v>
      </c>
      <c r="DG64">
        <f>ROUND(ROUND(AF64,2)*CX64,2)</f>
        <v>0</v>
      </c>
      <c r="DH64">
        <f>ROUND(ROUND(AG64*AK64,2)*CX64,2)</f>
        <v>0</v>
      </c>
      <c r="DI64">
        <f t="shared" ref="DI64:DI70" si="17">ROUND(ROUND(AH64,2)*CX64,2)</f>
        <v>0</v>
      </c>
      <c r="DJ64">
        <f>DI64</f>
        <v>0</v>
      </c>
      <c r="DK64">
        <v>0</v>
      </c>
      <c r="DL64" t="s">
        <v>3</v>
      </c>
      <c r="DM64">
        <v>0</v>
      </c>
      <c r="DN64" t="s">
        <v>3</v>
      </c>
      <c r="DO64">
        <v>0</v>
      </c>
    </row>
    <row r="65" spans="1:119" x14ac:dyDescent="0.2">
      <c r="A65">
        <f>ROW(Source!A48)</f>
        <v>48</v>
      </c>
      <c r="B65">
        <v>145033679</v>
      </c>
      <c r="C65">
        <v>145034655</v>
      </c>
      <c r="D65">
        <v>140923145</v>
      </c>
      <c r="E65">
        <v>1</v>
      </c>
      <c r="F65">
        <v>1</v>
      </c>
      <c r="G65">
        <v>1</v>
      </c>
      <c r="H65">
        <v>2</v>
      </c>
      <c r="I65" t="s">
        <v>826</v>
      </c>
      <c r="J65" t="s">
        <v>827</v>
      </c>
      <c r="K65" t="s">
        <v>828</v>
      </c>
      <c r="L65">
        <v>1367</v>
      </c>
      <c r="N65">
        <v>1011</v>
      </c>
      <c r="O65" t="s">
        <v>79</v>
      </c>
      <c r="P65" t="s">
        <v>79</v>
      </c>
      <c r="Q65">
        <v>1</v>
      </c>
      <c r="W65">
        <v>0</v>
      </c>
      <c r="X65">
        <v>1232162608</v>
      </c>
      <c r="Y65">
        <f>(AT65*1.15)</f>
        <v>0.65549999999999986</v>
      </c>
      <c r="AA65">
        <v>0</v>
      </c>
      <c r="AB65">
        <v>379.18</v>
      </c>
      <c r="AC65">
        <v>412.29</v>
      </c>
      <c r="AD65">
        <v>0</v>
      </c>
      <c r="AE65">
        <v>0</v>
      </c>
      <c r="AF65">
        <v>31.26</v>
      </c>
      <c r="AG65">
        <v>13.5</v>
      </c>
      <c r="AH65">
        <v>0</v>
      </c>
      <c r="AI65">
        <v>1</v>
      </c>
      <c r="AJ65">
        <v>12.13</v>
      </c>
      <c r="AK65">
        <v>30.54</v>
      </c>
      <c r="AL65">
        <v>1</v>
      </c>
      <c r="AM65">
        <v>4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0.56999999999999995</v>
      </c>
      <c r="AU65" t="s">
        <v>21</v>
      </c>
      <c r="AV65">
        <v>0</v>
      </c>
      <c r="AW65">
        <v>2</v>
      </c>
      <c r="AX65">
        <v>145034658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ROUND(Y65*Source!I48,9)</f>
        <v>3.9329999999999997E-2</v>
      </c>
      <c r="CY65">
        <f>AB65</f>
        <v>379.18</v>
      </c>
      <c r="CZ65">
        <f>AF65</f>
        <v>31.26</v>
      </c>
      <c r="DA65">
        <f>AJ65</f>
        <v>12.13</v>
      </c>
      <c r="DB65">
        <f>ROUND((ROUND(AT65*CZ65,2)*1.15),2)</f>
        <v>20.49</v>
      </c>
      <c r="DC65">
        <f>ROUND((ROUND(AT65*AG65,2)*1.15),2)</f>
        <v>8.86</v>
      </c>
      <c r="DD65" t="s">
        <v>3</v>
      </c>
      <c r="DE65" t="s">
        <v>3</v>
      </c>
      <c r="DF65">
        <f>ROUND(ROUND(AE65,2)*CX65,2)</f>
        <v>0</v>
      </c>
      <c r="DG65">
        <f>ROUND(ROUND(AF65*AJ65,2)*CX65,2)</f>
        <v>14.91</v>
      </c>
      <c r="DH65">
        <f>ROUND(ROUND(AG65*AK65,2)*CX65,2)</f>
        <v>16.22</v>
      </c>
      <c r="DI65">
        <f t="shared" si="17"/>
        <v>0</v>
      </c>
      <c r="DJ65">
        <f>DG65</f>
        <v>14.91</v>
      </c>
      <c r="DK65">
        <v>0</v>
      </c>
      <c r="DL65" t="s">
        <v>3</v>
      </c>
      <c r="DM65">
        <v>0</v>
      </c>
      <c r="DN65" t="s">
        <v>3</v>
      </c>
      <c r="DO65">
        <v>0</v>
      </c>
    </row>
    <row r="66" spans="1:119" x14ac:dyDescent="0.2">
      <c r="A66">
        <f>ROW(Source!A48)</f>
        <v>48</v>
      </c>
      <c r="B66">
        <v>145033679</v>
      </c>
      <c r="C66">
        <v>145034655</v>
      </c>
      <c r="D66">
        <v>140923268</v>
      </c>
      <c r="E66">
        <v>1</v>
      </c>
      <c r="F66">
        <v>1</v>
      </c>
      <c r="G66">
        <v>1</v>
      </c>
      <c r="H66">
        <v>2</v>
      </c>
      <c r="I66" t="s">
        <v>837</v>
      </c>
      <c r="J66" t="s">
        <v>838</v>
      </c>
      <c r="K66" t="s">
        <v>839</v>
      </c>
      <c r="L66">
        <v>1367</v>
      </c>
      <c r="N66">
        <v>1011</v>
      </c>
      <c r="O66" t="s">
        <v>79</v>
      </c>
      <c r="P66" t="s">
        <v>79</v>
      </c>
      <c r="Q66">
        <v>1</v>
      </c>
      <c r="W66">
        <v>0</v>
      </c>
      <c r="X66">
        <v>1385328552</v>
      </c>
      <c r="Y66">
        <f>(AT66*1.15)</f>
        <v>6.4859999999999989</v>
      </c>
      <c r="AA66">
        <v>0</v>
      </c>
      <c r="AB66">
        <v>150.29</v>
      </c>
      <c r="AC66">
        <v>307.23</v>
      </c>
      <c r="AD66">
        <v>0</v>
      </c>
      <c r="AE66">
        <v>0</v>
      </c>
      <c r="AF66">
        <v>12.39</v>
      </c>
      <c r="AG66">
        <v>10.06</v>
      </c>
      <c r="AH66">
        <v>0</v>
      </c>
      <c r="AI66">
        <v>1</v>
      </c>
      <c r="AJ66">
        <v>12.13</v>
      </c>
      <c r="AK66">
        <v>30.54</v>
      </c>
      <c r="AL66">
        <v>1</v>
      </c>
      <c r="AM66">
        <v>4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5.64</v>
      </c>
      <c r="AU66" t="s">
        <v>21</v>
      </c>
      <c r="AV66">
        <v>0</v>
      </c>
      <c r="AW66">
        <v>2</v>
      </c>
      <c r="AX66">
        <v>145034659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ROUND(Y66*Source!I48,9)</f>
        <v>0.38916000000000001</v>
      </c>
      <c r="CY66">
        <f>AB66</f>
        <v>150.29</v>
      </c>
      <c r="CZ66">
        <f>AF66</f>
        <v>12.39</v>
      </c>
      <c r="DA66">
        <f>AJ66</f>
        <v>12.13</v>
      </c>
      <c r="DB66">
        <f>ROUND((ROUND(AT66*CZ66,2)*1.15),2)</f>
        <v>80.36</v>
      </c>
      <c r="DC66">
        <f>ROUND((ROUND(AT66*AG66,2)*1.15),2)</f>
        <v>65.25</v>
      </c>
      <c r="DD66" t="s">
        <v>3</v>
      </c>
      <c r="DE66" t="s">
        <v>3</v>
      </c>
      <c r="DF66">
        <f>ROUND(ROUND(AE66,2)*CX66,2)</f>
        <v>0</v>
      </c>
      <c r="DG66">
        <f>ROUND(ROUND(AF66*AJ66,2)*CX66,2)</f>
        <v>58.49</v>
      </c>
      <c r="DH66">
        <f>ROUND(ROUND(AG66*AK66,2)*CX66,2)</f>
        <v>119.56</v>
      </c>
      <c r="DI66">
        <f t="shared" si="17"/>
        <v>0</v>
      </c>
      <c r="DJ66">
        <f>DG66</f>
        <v>58.49</v>
      </c>
      <c r="DK66">
        <v>0</v>
      </c>
      <c r="DL66" t="s">
        <v>3</v>
      </c>
      <c r="DM66">
        <v>0</v>
      </c>
      <c r="DN66" t="s">
        <v>3</v>
      </c>
      <c r="DO66">
        <v>0</v>
      </c>
    </row>
    <row r="67" spans="1:119" x14ac:dyDescent="0.2">
      <c r="A67">
        <f>ROW(Source!A48)</f>
        <v>48</v>
      </c>
      <c r="B67">
        <v>145033679</v>
      </c>
      <c r="C67">
        <v>145034655</v>
      </c>
      <c r="D67">
        <v>140772680</v>
      </c>
      <c r="E67">
        <v>1</v>
      </c>
      <c r="F67">
        <v>1</v>
      </c>
      <c r="G67">
        <v>1</v>
      </c>
      <c r="H67">
        <v>3</v>
      </c>
      <c r="I67" t="s">
        <v>735</v>
      </c>
      <c r="J67" t="s">
        <v>736</v>
      </c>
      <c r="K67" t="s">
        <v>737</v>
      </c>
      <c r="L67">
        <v>1339</v>
      </c>
      <c r="N67">
        <v>1007</v>
      </c>
      <c r="O67" t="s">
        <v>66</v>
      </c>
      <c r="P67" t="s">
        <v>66</v>
      </c>
      <c r="Q67">
        <v>1</v>
      </c>
      <c r="W67">
        <v>0</v>
      </c>
      <c r="X67">
        <v>-143474561</v>
      </c>
      <c r="Y67">
        <f>AT67</f>
        <v>0.41</v>
      </c>
      <c r="AA67">
        <v>21.25</v>
      </c>
      <c r="AB67">
        <v>0</v>
      </c>
      <c r="AC67">
        <v>0</v>
      </c>
      <c r="AD67">
        <v>0</v>
      </c>
      <c r="AE67">
        <v>2.44</v>
      </c>
      <c r="AF67">
        <v>0</v>
      </c>
      <c r="AG67">
        <v>0</v>
      </c>
      <c r="AH67">
        <v>0</v>
      </c>
      <c r="AI67">
        <v>8.7100000000000009</v>
      </c>
      <c r="AJ67">
        <v>1</v>
      </c>
      <c r="AK67">
        <v>1</v>
      </c>
      <c r="AL67">
        <v>1</v>
      </c>
      <c r="AM67">
        <v>4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0.41</v>
      </c>
      <c r="AU67" t="s">
        <v>3</v>
      </c>
      <c r="AV67">
        <v>0</v>
      </c>
      <c r="AW67">
        <v>2</v>
      </c>
      <c r="AX67">
        <v>145034660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ROUND(Y67*Source!I48,9)</f>
        <v>2.46E-2</v>
      </c>
      <c r="CY67">
        <f>AA67</f>
        <v>21.25</v>
      </c>
      <c r="CZ67">
        <f>AE67</f>
        <v>2.44</v>
      </c>
      <c r="DA67">
        <f>AI67</f>
        <v>8.7100000000000009</v>
      </c>
      <c r="DB67">
        <f>ROUND(ROUND(AT67*CZ67,2),2)</f>
        <v>1</v>
      </c>
      <c r="DC67">
        <f>ROUND(ROUND(AT67*AG67,2),2)</f>
        <v>0</v>
      </c>
      <c r="DD67" t="s">
        <v>3</v>
      </c>
      <c r="DE67" t="s">
        <v>3</v>
      </c>
      <c r="DF67">
        <f>ROUND(ROUND(AE67*AI67,2)*CX67,2)</f>
        <v>0.52</v>
      </c>
      <c r="DG67">
        <f t="shared" ref="DG67:DG72" si="18">ROUND(ROUND(AF67,2)*CX67,2)</f>
        <v>0</v>
      </c>
      <c r="DH67">
        <f>ROUND(ROUND(AG67,2)*CX67,2)</f>
        <v>0</v>
      </c>
      <c r="DI67">
        <f t="shared" si="17"/>
        <v>0</v>
      </c>
      <c r="DJ67">
        <f>DF67</f>
        <v>0.52</v>
      </c>
      <c r="DK67">
        <v>0</v>
      </c>
      <c r="DL67" t="s">
        <v>3</v>
      </c>
      <c r="DM67">
        <v>0</v>
      </c>
      <c r="DN67" t="s">
        <v>3</v>
      </c>
      <c r="DO67">
        <v>0</v>
      </c>
    </row>
    <row r="68" spans="1:119" x14ac:dyDescent="0.2">
      <c r="A68">
        <f>ROW(Source!A48)</f>
        <v>48</v>
      </c>
      <c r="B68">
        <v>145033679</v>
      </c>
      <c r="C68">
        <v>145034655</v>
      </c>
      <c r="D68">
        <v>140775863</v>
      </c>
      <c r="E68">
        <v>1</v>
      </c>
      <c r="F68">
        <v>1</v>
      </c>
      <c r="G68">
        <v>1</v>
      </c>
      <c r="H68">
        <v>3</v>
      </c>
      <c r="I68" t="s">
        <v>840</v>
      </c>
      <c r="J68" t="s">
        <v>841</v>
      </c>
      <c r="K68" t="s">
        <v>842</v>
      </c>
      <c r="L68">
        <v>1327</v>
      </c>
      <c r="N68">
        <v>1005</v>
      </c>
      <c r="O68" t="s">
        <v>131</v>
      </c>
      <c r="P68" t="s">
        <v>131</v>
      </c>
      <c r="Q68">
        <v>1</v>
      </c>
      <c r="W68">
        <v>0</v>
      </c>
      <c r="X68">
        <v>105551837</v>
      </c>
      <c r="Y68">
        <f>AT68</f>
        <v>2</v>
      </c>
      <c r="AA68">
        <v>629.91</v>
      </c>
      <c r="AB68">
        <v>0</v>
      </c>
      <c r="AC68">
        <v>0</v>
      </c>
      <c r="AD68">
        <v>0</v>
      </c>
      <c r="AE68">
        <v>72.319999999999993</v>
      </c>
      <c r="AF68">
        <v>0</v>
      </c>
      <c r="AG68">
        <v>0</v>
      </c>
      <c r="AH68">
        <v>0</v>
      </c>
      <c r="AI68">
        <v>8.7100000000000009</v>
      </c>
      <c r="AJ68">
        <v>1</v>
      </c>
      <c r="AK68">
        <v>1</v>
      </c>
      <c r="AL68">
        <v>1</v>
      </c>
      <c r="AM68">
        <v>4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</v>
      </c>
      <c r="AU68" t="s">
        <v>3</v>
      </c>
      <c r="AV68">
        <v>0</v>
      </c>
      <c r="AW68">
        <v>2</v>
      </c>
      <c r="AX68">
        <v>145034661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ROUND(Y68*Source!I48,9)</f>
        <v>0.12</v>
      </c>
      <c r="CY68">
        <f>AA68</f>
        <v>629.91</v>
      </c>
      <c r="CZ68">
        <f>AE68</f>
        <v>72.319999999999993</v>
      </c>
      <c r="DA68">
        <f>AI68</f>
        <v>8.7100000000000009</v>
      </c>
      <c r="DB68">
        <f>ROUND(ROUND(AT68*CZ68,2),2)</f>
        <v>144.63999999999999</v>
      </c>
      <c r="DC68">
        <f>ROUND(ROUND(AT68*AG68,2),2)</f>
        <v>0</v>
      </c>
      <c r="DD68" t="s">
        <v>3</v>
      </c>
      <c r="DE68" t="s">
        <v>3</v>
      </c>
      <c r="DF68">
        <f>ROUND(ROUND(AE68*AI68,2)*CX68,2)</f>
        <v>75.59</v>
      </c>
      <c r="DG68">
        <f t="shared" si="18"/>
        <v>0</v>
      </c>
      <c r="DH68">
        <f>ROUND(ROUND(AG68,2)*CX68,2)</f>
        <v>0</v>
      </c>
      <c r="DI68">
        <f t="shared" si="17"/>
        <v>0</v>
      </c>
      <c r="DJ68">
        <f>DF68</f>
        <v>75.59</v>
      </c>
      <c r="DK68">
        <v>0</v>
      </c>
      <c r="DL68" t="s">
        <v>3</v>
      </c>
      <c r="DM68">
        <v>0</v>
      </c>
      <c r="DN68" t="s">
        <v>3</v>
      </c>
      <c r="DO68">
        <v>0</v>
      </c>
    </row>
    <row r="69" spans="1:119" x14ac:dyDescent="0.2">
      <c r="A69">
        <f>ROW(Source!A48)</f>
        <v>48</v>
      </c>
      <c r="B69">
        <v>145033679</v>
      </c>
      <c r="C69">
        <v>145034655</v>
      </c>
      <c r="D69">
        <v>140761160</v>
      </c>
      <c r="E69">
        <v>70</v>
      </c>
      <c r="F69">
        <v>1</v>
      </c>
      <c r="G69">
        <v>1</v>
      </c>
      <c r="H69">
        <v>3</v>
      </c>
      <c r="I69" t="s">
        <v>843</v>
      </c>
      <c r="J69" t="s">
        <v>3</v>
      </c>
      <c r="K69" t="s">
        <v>844</v>
      </c>
      <c r="L69">
        <v>1348</v>
      </c>
      <c r="N69">
        <v>1009</v>
      </c>
      <c r="O69" t="s">
        <v>105</v>
      </c>
      <c r="P69" t="s">
        <v>105</v>
      </c>
      <c r="Q69">
        <v>1000</v>
      </c>
      <c r="W69">
        <v>0</v>
      </c>
      <c r="X69">
        <v>1880203204</v>
      </c>
      <c r="Y69">
        <f>AT69</f>
        <v>0.54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8.7100000000000009</v>
      </c>
      <c r="AJ69">
        <v>1</v>
      </c>
      <c r="AK69">
        <v>1</v>
      </c>
      <c r="AL69">
        <v>1</v>
      </c>
      <c r="AM69">
        <v>4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3</v>
      </c>
      <c r="AT69">
        <v>0.54</v>
      </c>
      <c r="AU69" t="s">
        <v>3</v>
      </c>
      <c r="AV69">
        <v>0</v>
      </c>
      <c r="AW69">
        <v>2</v>
      </c>
      <c r="AX69">
        <v>145034662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ROUND(Y69*Source!I48,9)</f>
        <v>3.2399999999999998E-2</v>
      </c>
      <c r="CY69">
        <f>AA69</f>
        <v>0</v>
      </c>
      <c r="CZ69">
        <f>AE69</f>
        <v>0</v>
      </c>
      <c r="DA69">
        <f>AI69</f>
        <v>8.7100000000000009</v>
      </c>
      <c r="DB69">
        <f>ROUND(ROUND(AT69*CZ69,2),2)</f>
        <v>0</v>
      </c>
      <c r="DC69">
        <f>ROUND(ROUND(AT69*AG69,2),2)</f>
        <v>0</v>
      </c>
      <c r="DD69" t="s">
        <v>3</v>
      </c>
      <c r="DE69" t="s">
        <v>3</v>
      </c>
      <c r="DF69">
        <f>ROUND(ROUND(AE69*AI69,2)*CX69,2)</f>
        <v>0</v>
      </c>
      <c r="DG69">
        <f t="shared" si="18"/>
        <v>0</v>
      </c>
      <c r="DH69">
        <f>ROUND(ROUND(AG69,2)*CX69,2)</f>
        <v>0</v>
      </c>
      <c r="DI69">
        <f t="shared" si="17"/>
        <v>0</v>
      </c>
      <c r="DJ69">
        <f>DF69</f>
        <v>0</v>
      </c>
      <c r="DK69">
        <v>0</v>
      </c>
      <c r="DL69" t="s">
        <v>3</v>
      </c>
      <c r="DM69">
        <v>0</v>
      </c>
      <c r="DN69" t="s">
        <v>3</v>
      </c>
      <c r="DO69">
        <v>0</v>
      </c>
    </row>
    <row r="70" spans="1:119" x14ac:dyDescent="0.2">
      <c r="A70">
        <f>ROW(Source!A48)</f>
        <v>48</v>
      </c>
      <c r="B70">
        <v>145033679</v>
      </c>
      <c r="C70">
        <v>145034655</v>
      </c>
      <c r="D70">
        <v>140803775</v>
      </c>
      <c r="E70">
        <v>1</v>
      </c>
      <c r="F70">
        <v>1</v>
      </c>
      <c r="G70">
        <v>1</v>
      </c>
      <c r="H70">
        <v>3</v>
      </c>
      <c r="I70" t="s">
        <v>845</v>
      </c>
      <c r="J70" t="s">
        <v>846</v>
      </c>
      <c r="K70" t="s">
        <v>847</v>
      </c>
      <c r="L70">
        <v>1348</v>
      </c>
      <c r="N70">
        <v>1009</v>
      </c>
      <c r="O70" t="s">
        <v>105</v>
      </c>
      <c r="P70" t="s">
        <v>105</v>
      </c>
      <c r="Q70">
        <v>1000</v>
      </c>
      <c r="W70">
        <v>0</v>
      </c>
      <c r="X70">
        <v>994388775</v>
      </c>
      <c r="Y70">
        <f>AT70</f>
        <v>0.01</v>
      </c>
      <c r="AA70">
        <v>119091.83</v>
      </c>
      <c r="AB70">
        <v>0</v>
      </c>
      <c r="AC70">
        <v>0</v>
      </c>
      <c r="AD70">
        <v>0</v>
      </c>
      <c r="AE70">
        <v>13673</v>
      </c>
      <c r="AF70">
        <v>0</v>
      </c>
      <c r="AG70">
        <v>0</v>
      </c>
      <c r="AH70">
        <v>0</v>
      </c>
      <c r="AI70">
        <v>8.7100000000000009</v>
      </c>
      <c r="AJ70">
        <v>1</v>
      </c>
      <c r="AK70">
        <v>1</v>
      </c>
      <c r="AL70">
        <v>1</v>
      </c>
      <c r="AM70">
        <v>4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145034663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ROUND(Y70*Source!I48,9)</f>
        <v>5.9999999999999995E-4</v>
      </c>
      <c r="CY70">
        <f>AA70</f>
        <v>119091.83</v>
      </c>
      <c r="CZ70">
        <f>AE70</f>
        <v>13673</v>
      </c>
      <c r="DA70">
        <f>AI70</f>
        <v>8.7100000000000009</v>
      </c>
      <c r="DB70">
        <f>ROUND(ROUND(AT70*CZ70,2),2)</f>
        <v>136.72999999999999</v>
      </c>
      <c r="DC70">
        <f>ROUND(ROUND(AT70*AG70,2),2)</f>
        <v>0</v>
      </c>
      <c r="DD70" t="s">
        <v>3</v>
      </c>
      <c r="DE70" t="s">
        <v>3</v>
      </c>
      <c r="DF70">
        <f>ROUND(ROUND(AE70*AI70,2)*CX70,2)</f>
        <v>71.459999999999994</v>
      </c>
      <c r="DG70">
        <f t="shared" si="18"/>
        <v>0</v>
      </c>
      <c r="DH70">
        <f>ROUND(ROUND(AG70,2)*CX70,2)</f>
        <v>0</v>
      </c>
      <c r="DI70">
        <f t="shared" si="17"/>
        <v>0</v>
      </c>
      <c r="DJ70">
        <f>DF70</f>
        <v>71.459999999999994</v>
      </c>
      <c r="DK70">
        <v>0</v>
      </c>
      <c r="DL70" t="s">
        <v>3</v>
      </c>
      <c r="DM70">
        <v>0</v>
      </c>
      <c r="DN70" t="s">
        <v>3</v>
      </c>
      <c r="DO70">
        <v>0</v>
      </c>
    </row>
    <row r="71" spans="1:119" x14ac:dyDescent="0.2">
      <c r="A71">
        <f>ROW(Source!A51)</f>
        <v>51</v>
      </c>
      <c r="B71">
        <v>145033679</v>
      </c>
      <c r="C71">
        <v>145034989</v>
      </c>
      <c r="D71">
        <v>140759985</v>
      </c>
      <c r="E71">
        <v>70</v>
      </c>
      <c r="F71">
        <v>1</v>
      </c>
      <c r="G71">
        <v>1</v>
      </c>
      <c r="H71">
        <v>1</v>
      </c>
      <c r="I71" t="s">
        <v>848</v>
      </c>
      <c r="J71" t="s">
        <v>3</v>
      </c>
      <c r="K71" t="s">
        <v>849</v>
      </c>
      <c r="L71">
        <v>1191</v>
      </c>
      <c r="N71">
        <v>1013</v>
      </c>
      <c r="O71" t="s">
        <v>725</v>
      </c>
      <c r="P71" t="s">
        <v>725</v>
      </c>
      <c r="Q71">
        <v>1</v>
      </c>
      <c r="W71">
        <v>0</v>
      </c>
      <c r="X71">
        <v>784619160</v>
      </c>
      <c r="Y71">
        <f>(AT71*1.15)</f>
        <v>92.528999999999982</v>
      </c>
      <c r="AA71">
        <v>0</v>
      </c>
      <c r="AB71">
        <v>0</v>
      </c>
      <c r="AC71">
        <v>0</v>
      </c>
      <c r="AD71">
        <v>266.92</v>
      </c>
      <c r="AE71">
        <v>0</v>
      </c>
      <c r="AF71">
        <v>0</v>
      </c>
      <c r="AG71">
        <v>0</v>
      </c>
      <c r="AH71">
        <v>8.74</v>
      </c>
      <c r="AI71">
        <v>1</v>
      </c>
      <c r="AJ71">
        <v>1</v>
      </c>
      <c r="AK71">
        <v>1</v>
      </c>
      <c r="AL71">
        <v>30.54</v>
      </c>
      <c r="AM71">
        <v>4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80.459999999999994</v>
      </c>
      <c r="AU71" t="s">
        <v>21</v>
      </c>
      <c r="AV71">
        <v>1</v>
      </c>
      <c r="AW71">
        <v>2</v>
      </c>
      <c r="AX71">
        <v>145034990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ROUND(Y71*Source!I51,9)</f>
        <v>17.117864999999998</v>
      </c>
      <c r="CY71">
        <f>AD71</f>
        <v>266.92</v>
      </c>
      <c r="CZ71">
        <f>AH71</f>
        <v>8.74</v>
      </c>
      <c r="DA71">
        <f>AL71</f>
        <v>30.54</v>
      </c>
      <c r="DB71">
        <f>ROUND((ROUND(AT71*CZ71,2)*1.15),2)</f>
        <v>808.7</v>
      </c>
      <c r="DC71">
        <f>ROUND((ROUND(AT71*AG71,2)*1.15),2)</f>
        <v>0</v>
      </c>
      <c r="DD71" t="s">
        <v>3</v>
      </c>
      <c r="DE71" t="s">
        <v>3</v>
      </c>
      <c r="DF71">
        <f>ROUND(ROUND(AE71,2)*CX71,2)</f>
        <v>0</v>
      </c>
      <c r="DG71">
        <f t="shared" si="18"/>
        <v>0</v>
      </c>
      <c r="DH71">
        <f>ROUND(ROUND(AG71,2)*CX71,2)</f>
        <v>0</v>
      </c>
      <c r="DI71">
        <f>ROUND(ROUND(AH71*AL71,2)*CX71,2)</f>
        <v>4569.1000000000004</v>
      </c>
      <c r="DJ71">
        <f>DI71</f>
        <v>4569.1000000000004</v>
      </c>
      <c r="DK71">
        <v>0</v>
      </c>
      <c r="DL71" t="s">
        <v>3</v>
      </c>
      <c r="DM71">
        <v>0</v>
      </c>
      <c r="DN71" t="s">
        <v>3</v>
      </c>
      <c r="DO71">
        <v>0</v>
      </c>
    </row>
    <row r="72" spans="1:119" x14ac:dyDescent="0.2">
      <c r="A72">
        <f>ROW(Source!A51)</f>
        <v>51</v>
      </c>
      <c r="B72">
        <v>145033679</v>
      </c>
      <c r="C72">
        <v>145034989</v>
      </c>
      <c r="D72">
        <v>140760225</v>
      </c>
      <c r="E72">
        <v>70</v>
      </c>
      <c r="F72">
        <v>1</v>
      </c>
      <c r="G72">
        <v>1</v>
      </c>
      <c r="H72">
        <v>1</v>
      </c>
      <c r="I72" t="s">
        <v>730</v>
      </c>
      <c r="J72" t="s">
        <v>3</v>
      </c>
      <c r="K72" t="s">
        <v>731</v>
      </c>
      <c r="L72">
        <v>1191</v>
      </c>
      <c r="N72">
        <v>1013</v>
      </c>
      <c r="O72" t="s">
        <v>725</v>
      </c>
      <c r="P72" t="s">
        <v>725</v>
      </c>
      <c r="Q72">
        <v>1</v>
      </c>
      <c r="W72">
        <v>0</v>
      </c>
      <c r="X72">
        <v>-1417349443</v>
      </c>
      <c r="Y72">
        <f>(AT72*1.15)</f>
        <v>2.3E-2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30.54</v>
      </c>
      <c r="AL72">
        <v>1</v>
      </c>
      <c r="AM72">
        <v>4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0.02</v>
      </c>
      <c r="AU72" t="s">
        <v>21</v>
      </c>
      <c r="AV72">
        <v>2</v>
      </c>
      <c r="AW72">
        <v>2</v>
      </c>
      <c r="AX72">
        <v>145034991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ROUND(Y72*Source!I51,9)</f>
        <v>4.2550000000000001E-3</v>
      </c>
      <c r="CY72">
        <f>AD72</f>
        <v>0</v>
      </c>
      <c r="CZ72">
        <f>AH72</f>
        <v>0</v>
      </c>
      <c r="DA72">
        <f>AL72</f>
        <v>1</v>
      </c>
      <c r="DB72">
        <f>ROUND((ROUND(AT72*CZ72,2)*1.15),2)</f>
        <v>0</v>
      </c>
      <c r="DC72">
        <f>ROUND((ROUND(AT72*AG72,2)*1.15),2)</f>
        <v>0</v>
      </c>
      <c r="DD72" t="s">
        <v>3</v>
      </c>
      <c r="DE72" t="s">
        <v>3</v>
      </c>
      <c r="DF72">
        <f>ROUND(ROUND(AE72,2)*CX72,2)</f>
        <v>0</v>
      </c>
      <c r="DG72">
        <f t="shared" si="18"/>
        <v>0</v>
      </c>
      <c r="DH72">
        <f>ROUND(ROUND(AG72*AK72,2)*CX72,2)</f>
        <v>0</v>
      </c>
      <c r="DI72">
        <f t="shared" ref="DI72:DI78" si="19">ROUND(ROUND(AH72,2)*CX72,2)</f>
        <v>0</v>
      </c>
      <c r="DJ72">
        <f>DI72</f>
        <v>0</v>
      </c>
      <c r="DK72">
        <v>0</v>
      </c>
      <c r="DL72" t="s">
        <v>3</v>
      </c>
      <c r="DM72">
        <v>0</v>
      </c>
      <c r="DN72" t="s">
        <v>3</v>
      </c>
      <c r="DO72">
        <v>0</v>
      </c>
    </row>
    <row r="73" spans="1:119" x14ac:dyDescent="0.2">
      <c r="A73">
        <f>ROW(Source!A51)</f>
        <v>51</v>
      </c>
      <c r="B73">
        <v>145033679</v>
      </c>
      <c r="C73">
        <v>145034989</v>
      </c>
      <c r="D73">
        <v>140923885</v>
      </c>
      <c r="E73">
        <v>1</v>
      </c>
      <c r="F73">
        <v>1</v>
      </c>
      <c r="G73">
        <v>1</v>
      </c>
      <c r="H73">
        <v>2</v>
      </c>
      <c r="I73" t="s">
        <v>732</v>
      </c>
      <c r="J73" t="s">
        <v>733</v>
      </c>
      <c r="K73" t="s">
        <v>734</v>
      </c>
      <c r="L73">
        <v>1367</v>
      </c>
      <c r="N73">
        <v>1011</v>
      </c>
      <c r="O73" t="s">
        <v>79</v>
      </c>
      <c r="P73" t="s">
        <v>79</v>
      </c>
      <c r="Q73">
        <v>1</v>
      </c>
      <c r="W73">
        <v>0</v>
      </c>
      <c r="X73">
        <v>509054691</v>
      </c>
      <c r="Y73">
        <f>(AT73*1.15)</f>
        <v>2.3E-2</v>
      </c>
      <c r="AA73">
        <v>0</v>
      </c>
      <c r="AB73">
        <v>797.06</v>
      </c>
      <c r="AC73">
        <v>354.26</v>
      </c>
      <c r="AD73">
        <v>0</v>
      </c>
      <c r="AE73">
        <v>0</v>
      </c>
      <c r="AF73">
        <v>65.709999999999994</v>
      </c>
      <c r="AG73">
        <v>11.6</v>
      </c>
      <c r="AH73">
        <v>0</v>
      </c>
      <c r="AI73">
        <v>1</v>
      </c>
      <c r="AJ73">
        <v>12.13</v>
      </c>
      <c r="AK73">
        <v>30.54</v>
      </c>
      <c r="AL73">
        <v>1</v>
      </c>
      <c r="AM73">
        <v>4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0.02</v>
      </c>
      <c r="AU73" t="s">
        <v>21</v>
      </c>
      <c r="AV73">
        <v>0</v>
      </c>
      <c r="AW73">
        <v>2</v>
      </c>
      <c r="AX73">
        <v>145034992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ROUND(Y73*Source!I51,9)</f>
        <v>4.2550000000000001E-3</v>
      </c>
      <c r="CY73">
        <f>AB73</f>
        <v>797.06</v>
      </c>
      <c r="CZ73">
        <f>AF73</f>
        <v>65.709999999999994</v>
      </c>
      <c r="DA73">
        <f>AJ73</f>
        <v>12.13</v>
      </c>
      <c r="DB73">
        <f>ROUND((ROUND(AT73*CZ73,2)*1.15),2)</f>
        <v>1.51</v>
      </c>
      <c r="DC73">
        <f>ROUND((ROUND(AT73*AG73,2)*1.15),2)</f>
        <v>0.26</v>
      </c>
      <c r="DD73" t="s">
        <v>3</v>
      </c>
      <c r="DE73" t="s">
        <v>3</v>
      </c>
      <c r="DF73">
        <f>ROUND(ROUND(AE73,2)*CX73,2)</f>
        <v>0</v>
      </c>
      <c r="DG73">
        <f>ROUND(ROUND(AF73*AJ73,2)*CX73,2)</f>
        <v>3.39</v>
      </c>
      <c r="DH73">
        <f>ROUND(ROUND(AG73*AK73,2)*CX73,2)</f>
        <v>1.51</v>
      </c>
      <c r="DI73">
        <f t="shared" si="19"/>
        <v>0</v>
      </c>
      <c r="DJ73">
        <f>DG73</f>
        <v>3.39</v>
      </c>
      <c r="DK73">
        <v>0</v>
      </c>
      <c r="DL73" t="s">
        <v>3</v>
      </c>
      <c r="DM73">
        <v>0</v>
      </c>
      <c r="DN73" t="s">
        <v>3</v>
      </c>
      <c r="DO73">
        <v>0</v>
      </c>
    </row>
    <row r="74" spans="1:119" x14ac:dyDescent="0.2">
      <c r="A74">
        <f>ROW(Source!A51)</f>
        <v>51</v>
      </c>
      <c r="B74">
        <v>145033679</v>
      </c>
      <c r="C74">
        <v>145034989</v>
      </c>
      <c r="D74">
        <v>140924116</v>
      </c>
      <c r="E74">
        <v>1</v>
      </c>
      <c r="F74">
        <v>1</v>
      </c>
      <c r="G74">
        <v>1</v>
      </c>
      <c r="H74">
        <v>2</v>
      </c>
      <c r="I74" t="s">
        <v>850</v>
      </c>
      <c r="J74" t="s">
        <v>851</v>
      </c>
      <c r="K74" t="s">
        <v>852</v>
      </c>
      <c r="L74">
        <v>1367</v>
      </c>
      <c r="N74">
        <v>1011</v>
      </c>
      <c r="O74" t="s">
        <v>79</v>
      </c>
      <c r="P74" t="s">
        <v>79</v>
      </c>
      <c r="Q74">
        <v>1</v>
      </c>
      <c r="W74">
        <v>0</v>
      </c>
      <c r="X74">
        <v>-1328751058</v>
      </c>
      <c r="Y74">
        <f>(AT74*1.15)</f>
        <v>16.099999999999998</v>
      </c>
      <c r="AA74">
        <v>0</v>
      </c>
      <c r="AB74">
        <v>44.88</v>
      </c>
      <c r="AC74">
        <v>0</v>
      </c>
      <c r="AD74">
        <v>0</v>
      </c>
      <c r="AE74">
        <v>0</v>
      </c>
      <c r="AF74">
        <v>3.7</v>
      </c>
      <c r="AG74">
        <v>0</v>
      </c>
      <c r="AH74">
        <v>0</v>
      </c>
      <c r="AI74">
        <v>1</v>
      </c>
      <c r="AJ74">
        <v>12.13</v>
      </c>
      <c r="AK74">
        <v>30.54</v>
      </c>
      <c r="AL74">
        <v>1</v>
      </c>
      <c r="AM74">
        <v>4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14</v>
      </c>
      <c r="AU74" t="s">
        <v>21</v>
      </c>
      <c r="AV74">
        <v>0</v>
      </c>
      <c r="AW74">
        <v>2</v>
      </c>
      <c r="AX74">
        <v>145034993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ROUND(Y74*Source!I51,9)</f>
        <v>2.9784999999999999</v>
      </c>
      <c r="CY74">
        <f>AB74</f>
        <v>44.88</v>
      </c>
      <c r="CZ74">
        <f>AF74</f>
        <v>3.7</v>
      </c>
      <c r="DA74">
        <f>AJ74</f>
        <v>12.13</v>
      </c>
      <c r="DB74">
        <f>ROUND((ROUND(AT74*CZ74,2)*1.15),2)</f>
        <v>59.57</v>
      </c>
      <c r="DC74">
        <f>ROUND((ROUND(AT74*AG74,2)*1.15),2)</f>
        <v>0</v>
      </c>
      <c r="DD74" t="s">
        <v>3</v>
      </c>
      <c r="DE74" t="s">
        <v>3</v>
      </c>
      <c r="DF74">
        <f>ROUND(ROUND(AE74,2)*CX74,2)</f>
        <v>0</v>
      </c>
      <c r="DG74">
        <f>ROUND(ROUND(AF74*AJ74,2)*CX74,2)</f>
        <v>133.68</v>
      </c>
      <c r="DH74">
        <f>ROUND(ROUND(AG74*AK74,2)*CX74,2)</f>
        <v>0</v>
      </c>
      <c r="DI74">
        <f t="shared" si="19"/>
        <v>0</v>
      </c>
      <c r="DJ74">
        <f>DG74</f>
        <v>133.68</v>
      </c>
      <c r="DK74">
        <v>0</v>
      </c>
      <c r="DL74" t="s">
        <v>3</v>
      </c>
      <c r="DM74">
        <v>0</v>
      </c>
      <c r="DN74" t="s">
        <v>3</v>
      </c>
      <c r="DO74">
        <v>0</v>
      </c>
    </row>
    <row r="75" spans="1:119" x14ac:dyDescent="0.2">
      <c r="A75">
        <f>ROW(Source!A51)</f>
        <v>51</v>
      </c>
      <c r="B75">
        <v>145033679</v>
      </c>
      <c r="C75">
        <v>145034989</v>
      </c>
      <c r="D75">
        <v>140772680</v>
      </c>
      <c r="E75">
        <v>1</v>
      </c>
      <c r="F75">
        <v>1</v>
      </c>
      <c r="G75">
        <v>1</v>
      </c>
      <c r="H75">
        <v>3</v>
      </c>
      <c r="I75" t="s">
        <v>735</v>
      </c>
      <c r="J75" t="s">
        <v>736</v>
      </c>
      <c r="K75" t="s">
        <v>737</v>
      </c>
      <c r="L75">
        <v>1339</v>
      </c>
      <c r="N75">
        <v>1007</v>
      </c>
      <c r="O75" t="s">
        <v>66</v>
      </c>
      <c r="P75" t="s">
        <v>66</v>
      </c>
      <c r="Q75">
        <v>1</v>
      </c>
      <c r="W75">
        <v>0</v>
      </c>
      <c r="X75">
        <v>-143474561</v>
      </c>
      <c r="Y75">
        <f>AT75</f>
        <v>8.9999999999999998E-4</v>
      </c>
      <c r="AA75">
        <v>21.25</v>
      </c>
      <c r="AB75">
        <v>0</v>
      </c>
      <c r="AC75">
        <v>0</v>
      </c>
      <c r="AD75">
        <v>0</v>
      </c>
      <c r="AE75">
        <v>2.44</v>
      </c>
      <c r="AF75">
        <v>0</v>
      </c>
      <c r="AG75">
        <v>0</v>
      </c>
      <c r="AH75">
        <v>0</v>
      </c>
      <c r="AI75">
        <v>8.7100000000000009</v>
      </c>
      <c r="AJ75">
        <v>1</v>
      </c>
      <c r="AK75">
        <v>1</v>
      </c>
      <c r="AL75">
        <v>1</v>
      </c>
      <c r="AM75">
        <v>4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8.9999999999999998E-4</v>
      </c>
      <c r="AU75" t="s">
        <v>3</v>
      </c>
      <c r="AV75">
        <v>0</v>
      </c>
      <c r="AW75">
        <v>2</v>
      </c>
      <c r="AX75">
        <v>145034994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ROUND(Y75*Source!I51,9)</f>
        <v>1.6650000000000001E-4</v>
      </c>
      <c r="CY75">
        <f>AA75</f>
        <v>21.25</v>
      </c>
      <c r="CZ75">
        <f>AE75</f>
        <v>2.44</v>
      </c>
      <c r="DA75">
        <f>AI75</f>
        <v>8.7100000000000009</v>
      </c>
      <c r="DB75">
        <f>ROUND(ROUND(AT75*CZ75,2),2)</f>
        <v>0</v>
      </c>
      <c r="DC75">
        <f>ROUND(ROUND(AT75*AG75,2),2)</f>
        <v>0</v>
      </c>
      <c r="DD75" t="s">
        <v>3</v>
      </c>
      <c r="DE75" t="s">
        <v>3</v>
      </c>
      <c r="DF75">
        <f>ROUND(ROUND(AE75*AI75,2)*CX75,2)</f>
        <v>0</v>
      </c>
      <c r="DG75">
        <f t="shared" ref="DG75:DG80" si="20">ROUND(ROUND(AF75,2)*CX75,2)</f>
        <v>0</v>
      </c>
      <c r="DH75">
        <f>ROUND(ROUND(AG75,2)*CX75,2)</f>
        <v>0</v>
      </c>
      <c r="DI75">
        <f t="shared" si="19"/>
        <v>0</v>
      </c>
      <c r="DJ75">
        <f>DF75</f>
        <v>0</v>
      </c>
      <c r="DK75">
        <v>0</v>
      </c>
      <c r="DL75" t="s">
        <v>3</v>
      </c>
      <c r="DM75">
        <v>0</v>
      </c>
      <c r="DN75" t="s">
        <v>3</v>
      </c>
      <c r="DO75">
        <v>0</v>
      </c>
    </row>
    <row r="76" spans="1:119" x14ac:dyDescent="0.2">
      <c r="A76">
        <f>ROW(Source!A51)</f>
        <v>51</v>
      </c>
      <c r="B76">
        <v>145033679</v>
      </c>
      <c r="C76">
        <v>145034989</v>
      </c>
      <c r="D76">
        <v>140760650</v>
      </c>
      <c r="E76">
        <v>70</v>
      </c>
      <c r="F76">
        <v>1</v>
      </c>
      <c r="G76">
        <v>1</v>
      </c>
      <c r="H76">
        <v>3</v>
      </c>
      <c r="I76" t="s">
        <v>853</v>
      </c>
      <c r="J76" t="s">
        <v>3</v>
      </c>
      <c r="K76" t="s">
        <v>854</v>
      </c>
      <c r="L76">
        <v>1455</v>
      </c>
      <c r="N76">
        <v>1013</v>
      </c>
      <c r="O76" t="s">
        <v>855</v>
      </c>
      <c r="P76" t="s">
        <v>855</v>
      </c>
      <c r="Q76">
        <v>1</v>
      </c>
      <c r="W76">
        <v>0</v>
      </c>
      <c r="X76">
        <v>-531486342</v>
      </c>
      <c r="Y76">
        <f>AT76</f>
        <v>100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8.7100000000000009</v>
      </c>
      <c r="AJ76">
        <v>1</v>
      </c>
      <c r="AK76">
        <v>1</v>
      </c>
      <c r="AL76">
        <v>1</v>
      </c>
      <c r="AM76">
        <v>4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3</v>
      </c>
      <c r="AT76">
        <v>100</v>
      </c>
      <c r="AU76" t="s">
        <v>3</v>
      </c>
      <c r="AV76">
        <v>0</v>
      </c>
      <c r="AW76">
        <v>2</v>
      </c>
      <c r="AX76">
        <v>145034995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ROUND(Y76*Source!I51,9)</f>
        <v>18.5</v>
      </c>
      <c r="CY76">
        <f>AA76</f>
        <v>0</v>
      </c>
      <c r="CZ76">
        <f>AE76</f>
        <v>0</v>
      </c>
      <c r="DA76">
        <f>AI76</f>
        <v>8.7100000000000009</v>
      </c>
      <c r="DB76">
        <f>ROUND(ROUND(AT76*CZ76,2),2)</f>
        <v>0</v>
      </c>
      <c r="DC76">
        <f>ROUND(ROUND(AT76*AG76,2),2)</f>
        <v>0</v>
      </c>
      <c r="DD76" t="s">
        <v>3</v>
      </c>
      <c r="DE76" t="s">
        <v>3</v>
      </c>
      <c r="DF76">
        <f>ROUND(ROUND(AE76*AI76,2)*CX76,2)</f>
        <v>0</v>
      </c>
      <c r="DG76">
        <f t="shared" si="20"/>
        <v>0</v>
      </c>
      <c r="DH76">
        <f>ROUND(ROUND(AG76,2)*CX76,2)</f>
        <v>0</v>
      </c>
      <c r="DI76">
        <f t="shared" si="19"/>
        <v>0</v>
      </c>
      <c r="DJ76">
        <f>DF76</f>
        <v>0</v>
      </c>
      <c r="DK76">
        <v>0</v>
      </c>
      <c r="DL76" t="s">
        <v>3</v>
      </c>
      <c r="DM76">
        <v>0</v>
      </c>
      <c r="DN76" t="s">
        <v>3</v>
      </c>
      <c r="DO76">
        <v>0</v>
      </c>
    </row>
    <row r="77" spans="1:119" x14ac:dyDescent="0.2">
      <c r="A77">
        <f>ROW(Source!A51)</f>
        <v>51</v>
      </c>
      <c r="B77">
        <v>145033679</v>
      </c>
      <c r="C77">
        <v>145034989</v>
      </c>
      <c r="D77">
        <v>140760721</v>
      </c>
      <c r="E77">
        <v>70</v>
      </c>
      <c r="F77">
        <v>1</v>
      </c>
      <c r="G77">
        <v>1</v>
      </c>
      <c r="H77">
        <v>3</v>
      </c>
      <c r="I77" t="s">
        <v>856</v>
      </c>
      <c r="J77" t="s">
        <v>3</v>
      </c>
      <c r="K77" t="s">
        <v>857</v>
      </c>
      <c r="L77">
        <v>1371</v>
      </c>
      <c r="N77">
        <v>1013</v>
      </c>
      <c r="O77" t="s">
        <v>222</v>
      </c>
      <c r="P77" t="s">
        <v>222</v>
      </c>
      <c r="Q77">
        <v>1</v>
      </c>
      <c r="W77">
        <v>0</v>
      </c>
      <c r="X77">
        <v>1781721726</v>
      </c>
      <c r="Y77">
        <f>AT77</f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8.7100000000000009</v>
      </c>
      <c r="AJ77">
        <v>1</v>
      </c>
      <c r="AK77">
        <v>1</v>
      </c>
      <c r="AL77">
        <v>1</v>
      </c>
      <c r="AM77">
        <v>4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3</v>
      </c>
      <c r="AT77">
        <v>0</v>
      </c>
      <c r="AU77" t="s">
        <v>3</v>
      </c>
      <c r="AV77">
        <v>0</v>
      </c>
      <c r="AW77">
        <v>2</v>
      </c>
      <c r="AX77">
        <v>145034996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ROUND(Y77*Source!I51,9)</f>
        <v>0</v>
      </c>
      <c r="CY77">
        <f>AA77</f>
        <v>0</v>
      </c>
      <c r="CZ77">
        <f>AE77</f>
        <v>0</v>
      </c>
      <c r="DA77">
        <f>AI77</f>
        <v>8.7100000000000009</v>
      </c>
      <c r="DB77">
        <f>ROUND(ROUND(AT77*CZ77,2),2)</f>
        <v>0</v>
      </c>
      <c r="DC77">
        <f>ROUND(ROUND(AT77*AG77,2),2)</f>
        <v>0</v>
      </c>
      <c r="DD77" t="s">
        <v>3</v>
      </c>
      <c r="DE77" t="s">
        <v>3</v>
      </c>
      <c r="DF77">
        <f>ROUND(ROUND(AE77*AI77,2)*CX77,2)</f>
        <v>0</v>
      </c>
      <c r="DG77">
        <f t="shared" si="20"/>
        <v>0</v>
      </c>
      <c r="DH77">
        <f>ROUND(ROUND(AG77,2)*CX77,2)</f>
        <v>0</v>
      </c>
      <c r="DI77">
        <f t="shared" si="19"/>
        <v>0</v>
      </c>
      <c r="DJ77">
        <f>DF77</f>
        <v>0</v>
      </c>
      <c r="DK77">
        <v>0</v>
      </c>
      <c r="DL77" t="s">
        <v>3</v>
      </c>
      <c r="DM77">
        <v>0</v>
      </c>
      <c r="DN77" t="s">
        <v>3</v>
      </c>
      <c r="DO77">
        <v>0</v>
      </c>
    </row>
    <row r="78" spans="1:119" x14ac:dyDescent="0.2">
      <c r="A78">
        <f>ROW(Source!A51)</f>
        <v>51</v>
      </c>
      <c r="B78">
        <v>145033679</v>
      </c>
      <c r="C78">
        <v>145034989</v>
      </c>
      <c r="D78">
        <v>140761173</v>
      </c>
      <c r="E78">
        <v>70</v>
      </c>
      <c r="F78">
        <v>1</v>
      </c>
      <c r="G78">
        <v>1</v>
      </c>
      <c r="H78">
        <v>3</v>
      </c>
      <c r="I78" t="s">
        <v>843</v>
      </c>
      <c r="J78" t="s">
        <v>3</v>
      </c>
      <c r="K78" t="s">
        <v>858</v>
      </c>
      <c r="L78">
        <v>1346</v>
      </c>
      <c r="N78">
        <v>1009</v>
      </c>
      <c r="O78" t="s">
        <v>43</v>
      </c>
      <c r="P78" t="s">
        <v>43</v>
      </c>
      <c r="Q78">
        <v>1</v>
      </c>
      <c r="W78">
        <v>0</v>
      </c>
      <c r="X78">
        <v>-1129383129</v>
      </c>
      <c r="Y78">
        <f>AT78</f>
        <v>5.6440000000000001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8.7100000000000009</v>
      </c>
      <c r="AJ78">
        <v>1</v>
      </c>
      <c r="AK78">
        <v>1</v>
      </c>
      <c r="AL78">
        <v>1</v>
      </c>
      <c r="AM78">
        <v>4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3</v>
      </c>
      <c r="AT78">
        <v>5.6440000000000001</v>
      </c>
      <c r="AU78" t="s">
        <v>3</v>
      </c>
      <c r="AV78">
        <v>0</v>
      </c>
      <c r="AW78">
        <v>2</v>
      </c>
      <c r="AX78">
        <v>145034997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ROUND(Y78*Source!I51,9)</f>
        <v>1.0441400000000001</v>
      </c>
      <c r="CY78">
        <f>AA78</f>
        <v>0</v>
      </c>
      <c r="CZ78">
        <f>AE78</f>
        <v>0</v>
      </c>
      <c r="DA78">
        <f>AI78</f>
        <v>8.7100000000000009</v>
      </c>
      <c r="DB78">
        <f>ROUND(ROUND(AT78*CZ78,2),2)</f>
        <v>0</v>
      </c>
      <c r="DC78">
        <f>ROUND(ROUND(AT78*AG78,2),2)</f>
        <v>0</v>
      </c>
      <c r="DD78" t="s">
        <v>3</v>
      </c>
      <c r="DE78" t="s">
        <v>3</v>
      </c>
      <c r="DF78">
        <f>ROUND(ROUND(AE78*AI78,2)*CX78,2)</f>
        <v>0</v>
      </c>
      <c r="DG78">
        <f t="shared" si="20"/>
        <v>0</v>
      </c>
      <c r="DH78">
        <f>ROUND(ROUND(AG78,2)*CX78,2)</f>
        <v>0</v>
      </c>
      <c r="DI78">
        <f t="shared" si="19"/>
        <v>0</v>
      </c>
      <c r="DJ78">
        <f>DF78</f>
        <v>0</v>
      </c>
      <c r="DK78">
        <v>0</v>
      </c>
      <c r="DL78" t="s">
        <v>3</v>
      </c>
      <c r="DM78">
        <v>0</v>
      </c>
      <c r="DN78" t="s">
        <v>3</v>
      </c>
      <c r="DO78">
        <v>0</v>
      </c>
    </row>
    <row r="79" spans="1:119" x14ac:dyDescent="0.2">
      <c r="A79">
        <f>ROW(Source!A52)</f>
        <v>52</v>
      </c>
      <c r="B79">
        <v>145033679</v>
      </c>
      <c r="C79">
        <v>145070751</v>
      </c>
      <c r="D79">
        <v>140759979</v>
      </c>
      <c r="E79">
        <v>70</v>
      </c>
      <c r="F79">
        <v>1</v>
      </c>
      <c r="G79">
        <v>1</v>
      </c>
      <c r="H79">
        <v>1</v>
      </c>
      <c r="I79" t="s">
        <v>745</v>
      </c>
      <c r="J79" t="s">
        <v>3</v>
      </c>
      <c r="K79" t="s">
        <v>746</v>
      </c>
      <c r="L79">
        <v>1191</v>
      </c>
      <c r="N79">
        <v>1013</v>
      </c>
      <c r="O79" t="s">
        <v>725</v>
      </c>
      <c r="P79" t="s">
        <v>725</v>
      </c>
      <c r="Q79">
        <v>1</v>
      </c>
      <c r="W79">
        <v>0</v>
      </c>
      <c r="X79">
        <v>1049124552</v>
      </c>
      <c r="Y79">
        <f>(AT79*1.15)</f>
        <v>11.845000000000001</v>
      </c>
      <c r="AA79">
        <v>0</v>
      </c>
      <c r="AB79">
        <v>0</v>
      </c>
      <c r="AC79">
        <v>0</v>
      </c>
      <c r="AD79">
        <v>260.51</v>
      </c>
      <c r="AE79">
        <v>0</v>
      </c>
      <c r="AF79">
        <v>0</v>
      </c>
      <c r="AG79">
        <v>0</v>
      </c>
      <c r="AH79">
        <v>8.5299999999999994</v>
      </c>
      <c r="AI79">
        <v>1</v>
      </c>
      <c r="AJ79">
        <v>1</v>
      </c>
      <c r="AK79">
        <v>1</v>
      </c>
      <c r="AL79">
        <v>30.54</v>
      </c>
      <c r="AM79">
        <v>4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10.3</v>
      </c>
      <c r="AU79" t="s">
        <v>21</v>
      </c>
      <c r="AV79">
        <v>1</v>
      </c>
      <c r="AW79">
        <v>2</v>
      </c>
      <c r="AX79">
        <v>145070752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ROUND(Y79*Source!I52,9)</f>
        <v>2.191325</v>
      </c>
      <c r="CY79">
        <f>AD79</f>
        <v>260.51</v>
      </c>
      <c r="CZ79">
        <f>AH79</f>
        <v>8.5299999999999994</v>
      </c>
      <c r="DA79">
        <f>AL79</f>
        <v>30.54</v>
      </c>
      <c r="DB79">
        <f>ROUND((ROUND(AT79*CZ79,2)*1.15),2)</f>
        <v>101.04</v>
      </c>
      <c r="DC79">
        <f>ROUND((ROUND(AT79*AG79,2)*1.15),2)</f>
        <v>0</v>
      </c>
      <c r="DD79" t="s">
        <v>3</v>
      </c>
      <c r="DE79" t="s">
        <v>3</v>
      </c>
      <c r="DF79">
        <f>ROUND(ROUND(AE79,2)*CX79,2)</f>
        <v>0</v>
      </c>
      <c r="DG79">
        <f t="shared" si="20"/>
        <v>0</v>
      </c>
      <c r="DH79">
        <f>ROUND(ROUND(AG79,2)*CX79,2)</f>
        <v>0</v>
      </c>
      <c r="DI79">
        <f>ROUND(ROUND(AH79*AL79,2)*CX79,2)</f>
        <v>570.86</v>
      </c>
      <c r="DJ79">
        <f>DI79</f>
        <v>570.86</v>
      </c>
      <c r="DK79">
        <v>0</v>
      </c>
      <c r="DL79" t="s">
        <v>3</v>
      </c>
      <c r="DM79">
        <v>0</v>
      </c>
      <c r="DN79" t="s">
        <v>3</v>
      </c>
      <c r="DO79">
        <v>0</v>
      </c>
    </row>
    <row r="80" spans="1:119" x14ac:dyDescent="0.2">
      <c r="A80">
        <f>ROW(Source!A52)</f>
        <v>52</v>
      </c>
      <c r="B80">
        <v>145033679</v>
      </c>
      <c r="C80">
        <v>145070751</v>
      </c>
      <c r="D80">
        <v>140760225</v>
      </c>
      <c r="E80">
        <v>70</v>
      </c>
      <c r="F80">
        <v>1</v>
      </c>
      <c r="G80">
        <v>1</v>
      </c>
      <c r="H80">
        <v>1</v>
      </c>
      <c r="I80" t="s">
        <v>730</v>
      </c>
      <c r="J80" t="s">
        <v>3</v>
      </c>
      <c r="K80" t="s">
        <v>731</v>
      </c>
      <c r="L80">
        <v>1191</v>
      </c>
      <c r="N80">
        <v>1013</v>
      </c>
      <c r="O80" t="s">
        <v>725</v>
      </c>
      <c r="P80" t="s">
        <v>725</v>
      </c>
      <c r="Q80">
        <v>1</v>
      </c>
      <c r="W80">
        <v>0</v>
      </c>
      <c r="X80">
        <v>-1417349443</v>
      </c>
      <c r="Y80">
        <f>(AT80*1.15)</f>
        <v>1.15E-2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30.54</v>
      </c>
      <c r="AL80">
        <v>1</v>
      </c>
      <c r="AM80">
        <v>4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0.01</v>
      </c>
      <c r="AU80" t="s">
        <v>21</v>
      </c>
      <c r="AV80">
        <v>2</v>
      </c>
      <c r="AW80">
        <v>2</v>
      </c>
      <c r="AX80">
        <v>145070753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ROUND(Y80*Source!I52,9)</f>
        <v>2.1275000000000001E-3</v>
      </c>
      <c r="CY80">
        <f>AD80</f>
        <v>0</v>
      </c>
      <c r="CZ80">
        <f>AH80</f>
        <v>0</v>
      </c>
      <c r="DA80">
        <f>AL80</f>
        <v>1</v>
      </c>
      <c r="DB80">
        <f>ROUND((ROUND(AT80*CZ80,2)*1.15),2)</f>
        <v>0</v>
      </c>
      <c r="DC80">
        <f>ROUND((ROUND(AT80*AG80,2)*1.15),2)</f>
        <v>0</v>
      </c>
      <c r="DD80" t="s">
        <v>3</v>
      </c>
      <c r="DE80" t="s">
        <v>3</v>
      </c>
      <c r="DF80">
        <f>ROUND(ROUND(AE80,2)*CX80,2)</f>
        <v>0</v>
      </c>
      <c r="DG80">
        <f t="shared" si="20"/>
        <v>0</v>
      </c>
      <c r="DH80">
        <f>ROUND(ROUND(AG80*AK80,2)*CX80,2)</f>
        <v>0</v>
      </c>
      <c r="DI80">
        <f>ROUND(ROUND(AH80,2)*CX80,2)</f>
        <v>0</v>
      </c>
      <c r="DJ80">
        <f>DI80</f>
        <v>0</v>
      </c>
      <c r="DK80">
        <v>0</v>
      </c>
      <c r="DL80" t="s">
        <v>3</v>
      </c>
      <c r="DM80">
        <v>0</v>
      </c>
      <c r="DN80" t="s">
        <v>3</v>
      </c>
      <c r="DO80">
        <v>0</v>
      </c>
    </row>
    <row r="81" spans="1:119" x14ac:dyDescent="0.2">
      <c r="A81">
        <f>ROW(Source!A52)</f>
        <v>52</v>
      </c>
      <c r="B81">
        <v>145033679</v>
      </c>
      <c r="C81">
        <v>145070751</v>
      </c>
      <c r="D81">
        <v>140923885</v>
      </c>
      <c r="E81">
        <v>1</v>
      </c>
      <c r="F81">
        <v>1</v>
      </c>
      <c r="G81">
        <v>1</v>
      </c>
      <c r="H81">
        <v>2</v>
      </c>
      <c r="I81" t="s">
        <v>732</v>
      </c>
      <c r="J81" t="s">
        <v>733</v>
      </c>
      <c r="K81" t="s">
        <v>734</v>
      </c>
      <c r="L81">
        <v>1367</v>
      </c>
      <c r="N81">
        <v>1011</v>
      </c>
      <c r="O81" t="s">
        <v>79</v>
      </c>
      <c r="P81" t="s">
        <v>79</v>
      </c>
      <c r="Q81">
        <v>1</v>
      </c>
      <c r="W81">
        <v>0</v>
      </c>
      <c r="X81">
        <v>509054691</v>
      </c>
      <c r="Y81">
        <f>(AT81*1.15)</f>
        <v>1.15E-2</v>
      </c>
      <c r="AA81">
        <v>0</v>
      </c>
      <c r="AB81">
        <v>797.06</v>
      </c>
      <c r="AC81">
        <v>354.26</v>
      </c>
      <c r="AD81">
        <v>0</v>
      </c>
      <c r="AE81">
        <v>0</v>
      </c>
      <c r="AF81">
        <v>65.709999999999994</v>
      </c>
      <c r="AG81">
        <v>11.6</v>
      </c>
      <c r="AH81">
        <v>0</v>
      </c>
      <c r="AI81">
        <v>1</v>
      </c>
      <c r="AJ81">
        <v>12.13</v>
      </c>
      <c r="AK81">
        <v>30.54</v>
      </c>
      <c r="AL81">
        <v>1</v>
      </c>
      <c r="AM81">
        <v>4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0.01</v>
      </c>
      <c r="AU81" t="s">
        <v>21</v>
      </c>
      <c r="AV81">
        <v>0</v>
      </c>
      <c r="AW81">
        <v>2</v>
      </c>
      <c r="AX81">
        <v>145070754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ROUND(Y81*Source!I52,9)</f>
        <v>2.1275000000000001E-3</v>
      </c>
      <c r="CY81">
        <f>AB81</f>
        <v>797.06</v>
      </c>
      <c r="CZ81">
        <f>AF81</f>
        <v>65.709999999999994</v>
      </c>
      <c r="DA81">
        <f>AJ81</f>
        <v>12.13</v>
      </c>
      <c r="DB81">
        <f>ROUND((ROUND(AT81*CZ81,2)*1.15),2)</f>
        <v>0.76</v>
      </c>
      <c r="DC81">
        <f>ROUND((ROUND(AT81*AG81,2)*1.15),2)</f>
        <v>0.14000000000000001</v>
      </c>
      <c r="DD81" t="s">
        <v>3</v>
      </c>
      <c r="DE81" t="s">
        <v>3</v>
      </c>
      <c r="DF81">
        <f>ROUND(ROUND(AE81,2)*CX81,2)</f>
        <v>0</v>
      </c>
      <c r="DG81">
        <f>ROUND(ROUND(AF81*AJ81,2)*CX81,2)</f>
        <v>1.7</v>
      </c>
      <c r="DH81">
        <f>ROUND(ROUND(AG81*AK81,2)*CX81,2)</f>
        <v>0.75</v>
      </c>
      <c r="DI81">
        <f>ROUND(ROUND(AH81,2)*CX81,2)</f>
        <v>0</v>
      </c>
      <c r="DJ81">
        <f>DG81</f>
        <v>1.7</v>
      </c>
      <c r="DK81">
        <v>0</v>
      </c>
      <c r="DL81" t="s">
        <v>3</v>
      </c>
      <c r="DM81">
        <v>0</v>
      </c>
      <c r="DN81" t="s">
        <v>3</v>
      </c>
      <c r="DO81">
        <v>0</v>
      </c>
    </row>
    <row r="82" spans="1:119" x14ac:dyDescent="0.2">
      <c r="A82">
        <f>ROW(Source!A52)</f>
        <v>52</v>
      </c>
      <c r="B82">
        <v>145033679</v>
      </c>
      <c r="C82">
        <v>145070751</v>
      </c>
      <c r="D82">
        <v>140772680</v>
      </c>
      <c r="E82">
        <v>1</v>
      </c>
      <c r="F82">
        <v>1</v>
      </c>
      <c r="G82">
        <v>1</v>
      </c>
      <c r="H82">
        <v>3</v>
      </c>
      <c r="I82" t="s">
        <v>735</v>
      </c>
      <c r="J82" t="s">
        <v>736</v>
      </c>
      <c r="K82" t="s">
        <v>737</v>
      </c>
      <c r="L82">
        <v>1339</v>
      </c>
      <c r="N82">
        <v>1007</v>
      </c>
      <c r="O82" t="s">
        <v>66</v>
      </c>
      <c r="P82" t="s">
        <v>66</v>
      </c>
      <c r="Q82">
        <v>1</v>
      </c>
      <c r="W82">
        <v>0</v>
      </c>
      <c r="X82">
        <v>-143474561</v>
      </c>
      <c r="Y82">
        <f>AT82</f>
        <v>4.0000000000000002E-4</v>
      </c>
      <c r="AA82">
        <v>21.25</v>
      </c>
      <c r="AB82">
        <v>0</v>
      </c>
      <c r="AC82">
        <v>0</v>
      </c>
      <c r="AD82">
        <v>0</v>
      </c>
      <c r="AE82">
        <v>2.44</v>
      </c>
      <c r="AF82">
        <v>0</v>
      </c>
      <c r="AG82">
        <v>0</v>
      </c>
      <c r="AH82">
        <v>0</v>
      </c>
      <c r="AI82">
        <v>8.7100000000000009</v>
      </c>
      <c r="AJ82">
        <v>1</v>
      </c>
      <c r="AK82">
        <v>1</v>
      </c>
      <c r="AL82">
        <v>1</v>
      </c>
      <c r="AM82">
        <v>4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4.0000000000000002E-4</v>
      </c>
      <c r="AU82" t="s">
        <v>3</v>
      </c>
      <c r="AV82">
        <v>0</v>
      </c>
      <c r="AW82">
        <v>2</v>
      </c>
      <c r="AX82">
        <v>145070755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ROUND(Y82*Source!I52,9)</f>
        <v>7.3999999999999996E-5</v>
      </c>
      <c r="CY82">
        <f>AA82</f>
        <v>21.25</v>
      </c>
      <c r="CZ82">
        <f>AE82</f>
        <v>2.44</v>
      </c>
      <c r="DA82">
        <f>AI82</f>
        <v>8.7100000000000009</v>
      </c>
      <c r="DB82">
        <f>ROUND(ROUND(AT82*CZ82,2),2)</f>
        <v>0</v>
      </c>
      <c r="DC82">
        <f>ROUND(ROUND(AT82*AG82,2),2)</f>
        <v>0</v>
      </c>
      <c r="DD82" t="s">
        <v>3</v>
      </c>
      <c r="DE82" t="s">
        <v>3</v>
      </c>
      <c r="DF82">
        <f>ROUND(ROUND(AE82*AI82,2)*CX82,2)</f>
        <v>0</v>
      </c>
      <c r="DG82">
        <f>ROUND(ROUND(AF82,2)*CX82,2)</f>
        <v>0</v>
      </c>
      <c r="DH82">
        <f>ROUND(ROUND(AG82,2)*CX82,2)</f>
        <v>0</v>
      </c>
      <c r="DI82">
        <f>ROUND(ROUND(AH82,2)*CX82,2)</f>
        <v>0</v>
      </c>
      <c r="DJ82">
        <f>DF82</f>
        <v>0</v>
      </c>
      <c r="DK82">
        <v>0</v>
      </c>
      <c r="DL82" t="s">
        <v>3</v>
      </c>
      <c r="DM82">
        <v>0</v>
      </c>
      <c r="DN82" t="s">
        <v>3</v>
      </c>
      <c r="DO82">
        <v>0</v>
      </c>
    </row>
    <row r="83" spans="1:119" x14ac:dyDescent="0.2">
      <c r="A83">
        <f>ROW(Source!A52)</f>
        <v>52</v>
      </c>
      <c r="B83">
        <v>145033679</v>
      </c>
      <c r="C83">
        <v>145070751</v>
      </c>
      <c r="D83">
        <v>140761173</v>
      </c>
      <c r="E83">
        <v>70</v>
      </c>
      <c r="F83">
        <v>1</v>
      </c>
      <c r="G83">
        <v>1</v>
      </c>
      <c r="H83">
        <v>3</v>
      </c>
      <c r="I83" t="s">
        <v>843</v>
      </c>
      <c r="J83" t="s">
        <v>3</v>
      </c>
      <c r="K83" t="s">
        <v>858</v>
      </c>
      <c r="L83">
        <v>1346</v>
      </c>
      <c r="N83">
        <v>1009</v>
      </c>
      <c r="O83" t="s">
        <v>43</v>
      </c>
      <c r="P83" t="s">
        <v>43</v>
      </c>
      <c r="Q83">
        <v>1</v>
      </c>
      <c r="W83">
        <v>0</v>
      </c>
      <c r="X83">
        <v>-1129383129</v>
      </c>
      <c r="Y83">
        <f>AT83</f>
        <v>2.71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8.7100000000000009</v>
      </c>
      <c r="AJ83">
        <v>1</v>
      </c>
      <c r="AK83">
        <v>1</v>
      </c>
      <c r="AL83">
        <v>1</v>
      </c>
      <c r="AM83">
        <v>4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3</v>
      </c>
      <c r="AT83">
        <v>2.71</v>
      </c>
      <c r="AU83" t="s">
        <v>3</v>
      </c>
      <c r="AV83">
        <v>0</v>
      </c>
      <c r="AW83">
        <v>2</v>
      </c>
      <c r="AX83">
        <v>145070756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ROUND(Y83*Source!I52,9)</f>
        <v>0.50134999999999996</v>
      </c>
      <c r="CY83">
        <f>AA83</f>
        <v>0</v>
      </c>
      <c r="CZ83">
        <f>AE83</f>
        <v>0</v>
      </c>
      <c r="DA83">
        <f>AI83</f>
        <v>8.7100000000000009</v>
      </c>
      <c r="DB83">
        <f>ROUND(ROUND(AT83*CZ83,2),2)</f>
        <v>0</v>
      </c>
      <c r="DC83">
        <f>ROUND(ROUND(AT83*AG83,2),2)</f>
        <v>0</v>
      </c>
      <c r="DD83" t="s">
        <v>3</v>
      </c>
      <c r="DE83" t="s">
        <v>3</v>
      </c>
      <c r="DF83">
        <f>ROUND(ROUND(AE83*AI83,2)*CX83,2)</f>
        <v>0</v>
      </c>
      <c r="DG83">
        <f>ROUND(ROUND(AF83,2)*CX83,2)</f>
        <v>0</v>
      </c>
      <c r="DH83">
        <f>ROUND(ROUND(AG83,2)*CX83,2)</f>
        <v>0</v>
      </c>
      <c r="DI83">
        <f>ROUND(ROUND(AH83,2)*CX83,2)</f>
        <v>0</v>
      </c>
      <c r="DJ83">
        <f>DF83</f>
        <v>0</v>
      </c>
      <c r="DK83">
        <v>0</v>
      </c>
      <c r="DL83" t="s">
        <v>3</v>
      </c>
      <c r="DM83">
        <v>0</v>
      </c>
      <c r="DN83" t="s">
        <v>3</v>
      </c>
      <c r="DO83">
        <v>0</v>
      </c>
    </row>
    <row r="84" spans="1:119" x14ac:dyDescent="0.2">
      <c r="A84">
        <f>ROW(Source!A53)</f>
        <v>53</v>
      </c>
      <c r="B84">
        <v>145033679</v>
      </c>
      <c r="C84">
        <v>145034998</v>
      </c>
      <c r="D84">
        <v>140759979</v>
      </c>
      <c r="E84">
        <v>70</v>
      </c>
      <c r="F84">
        <v>1</v>
      </c>
      <c r="G84">
        <v>1</v>
      </c>
      <c r="H84">
        <v>1</v>
      </c>
      <c r="I84" t="s">
        <v>745</v>
      </c>
      <c r="J84" t="s">
        <v>3</v>
      </c>
      <c r="K84" t="s">
        <v>746</v>
      </c>
      <c r="L84">
        <v>1191</v>
      </c>
      <c r="N84">
        <v>1013</v>
      </c>
      <c r="O84" t="s">
        <v>725</v>
      </c>
      <c r="P84" t="s">
        <v>725</v>
      </c>
      <c r="Q84">
        <v>1</v>
      </c>
      <c r="W84">
        <v>0</v>
      </c>
      <c r="X84">
        <v>1049124552</v>
      </c>
      <c r="Y84">
        <f>((AT84*1.15)*2)</f>
        <v>11.845000000000001</v>
      </c>
      <c r="AA84">
        <v>0</v>
      </c>
      <c r="AB84">
        <v>0</v>
      </c>
      <c r="AC84">
        <v>0</v>
      </c>
      <c r="AD84">
        <v>260.51</v>
      </c>
      <c r="AE84">
        <v>0</v>
      </c>
      <c r="AF84">
        <v>0</v>
      </c>
      <c r="AG84">
        <v>0</v>
      </c>
      <c r="AH84">
        <v>8.5299999999999994</v>
      </c>
      <c r="AI84">
        <v>1</v>
      </c>
      <c r="AJ84">
        <v>1</v>
      </c>
      <c r="AK84">
        <v>1</v>
      </c>
      <c r="AL84">
        <v>30.54</v>
      </c>
      <c r="AM84">
        <v>4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5.15</v>
      </c>
      <c r="AU84" t="s">
        <v>190</v>
      </c>
      <c r="AV84">
        <v>1</v>
      </c>
      <c r="AW84">
        <v>2</v>
      </c>
      <c r="AX84">
        <v>145034999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ROUND(Y84*Source!I53,9)</f>
        <v>-2.191325</v>
      </c>
      <c r="CY84">
        <f>AD84</f>
        <v>260.51</v>
      </c>
      <c r="CZ84">
        <f>AH84</f>
        <v>8.5299999999999994</v>
      </c>
      <c r="DA84">
        <f>AL84</f>
        <v>30.54</v>
      </c>
      <c r="DB84">
        <f>ROUND(((ROUND(AT84*CZ84,2)*1.15)*2),2)</f>
        <v>101.04</v>
      </c>
      <c r="DC84">
        <f>ROUND(((ROUND(AT84*AG84,2)*1.15)*2),2)</f>
        <v>0</v>
      </c>
      <c r="DD84" t="s">
        <v>3</v>
      </c>
      <c r="DE84" t="s">
        <v>3</v>
      </c>
      <c r="DF84">
        <f>ROUND(ROUND(AE84,2)*CX84,2)</f>
        <v>0</v>
      </c>
      <c r="DG84">
        <f>ROUND(ROUND(AF84,2)*CX84,2)</f>
        <v>0</v>
      </c>
      <c r="DH84">
        <f>ROUND(ROUND(AG84,2)*CX84,2)</f>
        <v>0</v>
      </c>
      <c r="DI84">
        <f>ROUND(ROUND(AH84*AL84,2)*CX84,2)</f>
        <v>-570.86</v>
      </c>
      <c r="DJ84">
        <f>DI84</f>
        <v>-570.86</v>
      </c>
      <c r="DK84">
        <v>0</v>
      </c>
      <c r="DL84" t="s">
        <v>3</v>
      </c>
      <c r="DM84">
        <v>0</v>
      </c>
      <c r="DN84" t="s">
        <v>3</v>
      </c>
      <c r="DO84">
        <v>0</v>
      </c>
    </row>
    <row r="85" spans="1:119" x14ac:dyDescent="0.2">
      <c r="A85">
        <f>ROW(Source!A55)</f>
        <v>55</v>
      </c>
      <c r="B85">
        <v>145033679</v>
      </c>
      <c r="C85">
        <v>145075997</v>
      </c>
      <c r="D85">
        <v>140760051</v>
      </c>
      <c r="E85">
        <v>70</v>
      </c>
      <c r="F85">
        <v>1</v>
      </c>
      <c r="G85">
        <v>1</v>
      </c>
      <c r="H85">
        <v>1</v>
      </c>
      <c r="I85" t="s">
        <v>859</v>
      </c>
      <c r="J85" t="s">
        <v>3</v>
      </c>
      <c r="K85" t="s">
        <v>860</v>
      </c>
      <c r="L85">
        <v>1191</v>
      </c>
      <c r="N85">
        <v>1013</v>
      </c>
      <c r="O85" t="s">
        <v>725</v>
      </c>
      <c r="P85" t="s">
        <v>725</v>
      </c>
      <c r="Q85">
        <v>1</v>
      </c>
      <c r="W85">
        <v>0</v>
      </c>
      <c r="X85">
        <v>-632984526</v>
      </c>
      <c r="Y85">
        <f>(AT85*1.15)</f>
        <v>11.3735</v>
      </c>
      <c r="AA85">
        <v>0</v>
      </c>
      <c r="AB85">
        <v>0</v>
      </c>
      <c r="AC85">
        <v>0</v>
      </c>
      <c r="AD85">
        <v>311.81</v>
      </c>
      <c r="AE85">
        <v>0</v>
      </c>
      <c r="AF85">
        <v>0</v>
      </c>
      <c r="AG85">
        <v>0</v>
      </c>
      <c r="AH85">
        <v>10.210000000000001</v>
      </c>
      <c r="AI85">
        <v>1</v>
      </c>
      <c r="AJ85">
        <v>1</v>
      </c>
      <c r="AK85">
        <v>1</v>
      </c>
      <c r="AL85">
        <v>30.54</v>
      </c>
      <c r="AM85">
        <v>4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9.89</v>
      </c>
      <c r="AU85" t="s">
        <v>21</v>
      </c>
      <c r="AV85">
        <v>1</v>
      </c>
      <c r="AW85">
        <v>2</v>
      </c>
      <c r="AX85">
        <v>145075998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ROUND(Y85*Source!I55,9)</f>
        <v>21.040975</v>
      </c>
      <c r="CY85">
        <f>AD85</f>
        <v>311.81</v>
      </c>
      <c r="CZ85">
        <f>AH85</f>
        <v>10.210000000000001</v>
      </c>
      <c r="DA85">
        <f>AL85</f>
        <v>30.54</v>
      </c>
      <c r="DB85">
        <f>ROUND((ROUND(AT85*CZ85,2)*1.15),2)</f>
        <v>116.13</v>
      </c>
      <c r="DC85">
        <f>ROUND((ROUND(AT85*AG85,2)*1.15),2)</f>
        <v>0</v>
      </c>
      <c r="DD85" t="s">
        <v>3</v>
      </c>
      <c r="DE85" t="s">
        <v>3</v>
      </c>
      <c r="DF85">
        <f>ROUND(ROUND(AE85,2)*CX85,2)</f>
        <v>0</v>
      </c>
      <c r="DG85">
        <f>ROUND(ROUND(AF85,2)*CX85,2)</f>
        <v>0</v>
      </c>
      <c r="DH85">
        <f>ROUND(ROUND(AG85,2)*CX85,2)</f>
        <v>0</v>
      </c>
      <c r="DI85">
        <f>ROUND(ROUND(AH85*AL85,2)*CX85,2)</f>
        <v>6560.79</v>
      </c>
      <c r="DJ85">
        <f>DI85</f>
        <v>6560.79</v>
      </c>
      <c r="DK85">
        <v>0</v>
      </c>
      <c r="DL85" t="s">
        <v>3</v>
      </c>
      <c r="DM85">
        <v>0</v>
      </c>
      <c r="DN85" t="s">
        <v>3</v>
      </c>
      <c r="DO85">
        <v>0</v>
      </c>
    </row>
    <row r="86" spans="1:119" x14ac:dyDescent="0.2">
      <c r="A86">
        <f>ROW(Source!A55)</f>
        <v>55</v>
      </c>
      <c r="B86">
        <v>145033679</v>
      </c>
      <c r="C86">
        <v>145075997</v>
      </c>
      <c r="D86">
        <v>140760225</v>
      </c>
      <c r="E86">
        <v>70</v>
      </c>
      <c r="F86">
        <v>1</v>
      </c>
      <c r="G86">
        <v>1</v>
      </c>
      <c r="H86">
        <v>1</v>
      </c>
      <c r="I86" t="s">
        <v>730</v>
      </c>
      <c r="J86" t="s">
        <v>3</v>
      </c>
      <c r="K86" t="s">
        <v>731</v>
      </c>
      <c r="L86">
        <v>1191</v>
      </c>
      <c r="N86">
        <v>1013</v>
      </c>
      <c r="O86" t="s">
        <v>725</v>
      </c>
      <c r="P86" t="s">
        <v>725</v>
      </c>
      <c r="Q86">
        <v>1</v>
      </c>
      <c r="W86">
        <v>0</v>
      </c>
      <c r="X86">
        <v>-1417349443</v>
      </c>
      <c r="Y86">
        <f>(AT86*1.15)</f>
        <v>4.5999999999999999E-2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30.54</v>
      </c>
      <c r="AL86">
        <v>1</v>
      </c>
      <c r="AM86">
        <v>4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0.04</v>
      </c>
      <c r="AU86" t="s">
        <v>21</v>
      </c>
      <c r="AV86">
        <v>2</v>
      </c>
      <c r="AW86">
        <v>2</v>
      </c>
      <c r="AX86">
        <v>145075999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ROUND(Y86*Source!I55,9)</f>
        <v>8.5099999999999995E-2</v>
      </c>
      <c r="CY86">
        <f>AD86</f>
        <v>0</v>
      </c>
      <c r="CZ86">
        <f>AH86</f>
        <v>0</v>
      </c>
      <c r="DA86">
        <f>AL86</f>
        <v>1</v>
      </c>
      <c r="DB86">
        <f>ROUND((ROUND(AT86*CZ86,2)*1.15),2)</f>
        <v>0</v>
      </c>
      <c r="DC86">
        <f>ROUND((ROUND(AT86*AG86,2)*1.15),2)</f>
        <v>0</v>
      </c>
      <c r="DD86" t="s">
        <v>3</v>
      </c>
      <c r="DE86" t="s">
        <v>3</v>
      </c>
      <c r="DF86">
        <f>ROUND(ROUND(AE86,2)*CX86,2)</f>
        <v>0</v>
      </c>
      <c r="DG86">
        <f>ROUND(ROUND(AF86,2)*CX86,2)</f>
        <v>0</v>
      </c>
      <c r="DH86">
        <f>ROUND(ROUND(AG86*AK86,2)*CX86,2)</f>
        <v>0</v>
      </c>
      <c r="DI86">
        <f>ROUND(ROUND(AH86,2)*CX86,2)</f>
        <v>0</v>
      </c>
      <c r="DJ86">
        <f>DI86</f>
        <v>0</v>
      </c>
      <c r="DK86">
        <v>0</v>
      </c>
      <c r="DL86" t="s">
        <v>3</v>
      </c>
      <c r="DM86">
        <v>0</v>
      </c>
      <c r="DN86" t="s">
        <v>3</v>
      </c>
      <c r="DO86">
        <v>0</v>
      </c>
    </row>
    <row r="87" spans="1:119" x14ac:dyDescent="0.2">
      <c r="A87">
        <f>ROW(Source!A55)</f>
        <v>55</v>
      </c>
      <c r="B87">
        <v>145033679</v>
      </c>
      <c r="C87">
        <v>145075997</v>
      </c>
      <c r="D87">
        <v>140923885</v>
      </c>
      <c r="E87">
        <v>1</v>
      </c>
      <c r="F87">
        <v>1</v>
      </c>
      <c r="G87">
        <v>1</v>
      </c>
      <c r="H87">
        <v>2</v>
      </c>
      <c r="I87" t="s">
        <v>732</v>
      </c>
      <c r="J87" t="s">
        <v>733</v>
      </c>
      <c r="K87" t="s">
        <v>734</v>
      </c>
      <c r="L87">
        <v>1367</v>
      </c>
      <c r="N87">
        <v>1011</v>
      </c>
      <c r="O87" t="s">
        <v>79</v>
      </c>
      <c r="P87" t="s">
        <v>79</v>
      </c>
      <c r="Q87">
        <v>1</v>
      </c>
      <c r="W87">
        <v>0</v>
      </c>
      <c r="X87">
        <v>509054691</v>
      </c>
      <c r="Y87">
        <f>(AT87*1.15)</f>
        <v>4.5999999999999999E-2</v>
      </c>
      <c r="AA87">
        <v>0</v>
      </c>
      <c r="AB87">
        <v>797.06</v>
      </c>
      <c r="AC87">
        <v>354.26</v>
      </c>
      <c r="AD87">
        <v>0</v>
      </c>
      <c r="AE87">
        <v>0</v>
      </c>
      <c r="AF87">
        <v>65.709999999999994</v>
      </c>
      <c r="AG87">
        <v>11.6</v>
      </c>
      <c r="AH87">
        <v>0</v>
      </c>
      <c r="AI87">
        <v>1</v>
      </c>
      <c r="AJ87">
        <v>12.13</v>
      </c>
      <c r="AK87">
        <v>30.54</v>
      </c>
      <c r="AL87">
        <v>1</v>
      </c>
      <c r="AM87">
        <v>4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0.04</v>
      </c>
      <c r="AU87" t="s">
        <v>21</v>
      </c>
      <c r="AV87">
        <v>0</v>
      </c>
      <c r="AW87">
        <v>2</v>
      </c>
      <c r="AX87">
        <v>145076000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ROUND(Y87*Source!I55,9)</f>
        <v>8.5099999999999995E-2</v>
      </c>
      <c r="CY87">
        <f>AB87</f>
        <v>797.06</v>
      </c>
      <c r="CZ87">
        <f>AF87</f>
        <v>65.709999999999994</v>
      </c>
      <c r="DA87">
        <f>AJ87</f>
        <v>12.13</v>
      </c>
      <c r="DB87">
        <f>ROUND((ROUND(AT87*CZ87,2)*1.15),2)</f>
        <v>3.02</v>
      </c>
      <c r="DC87">
        <f>ROUND((ROUND(AT87*AG87,2)*1.15),2)</f>
        <v>0.53</v>
      </c>
      <c r="DD87" t="s">
        <v>3</v>
      </c>
      <c r="DE87" t="s">
        <v>3</v>
      </c>
      <c r="DF87">
        <f>ROUND(ROUND(AE87,2)*CX87,2)</f>
        <v>0</v>
      </c>
      <c r="DG87">
        <f>ROUND(ROUND(AF87*AJ87,2)*CX87,2)</f>
        <v>67.83</v>
      </c>
      <c r="DH87">
        <f>ROUND(ROUND(AG87*AK87,2)*CX87,2)</f>
        <v>30.15</v>
      </c>
      <c r="DI87">
        <f>ROUND(ROUND(AH87,2)*CX87,2)</f>
        <v>0</v>
      </c>
      <c r="DJ87">
        <f>DG87</f>
        <v>67.83</v>
      </c>
      <c r="DK87">
        <v>0</v>
      </c>
      <c r="DL87" t="s">
        <v>3</v>
      </c>
      <c r="DM87">
        <v>0</v>
      </c>
      <c r="DN87" t="s">
        <v>3</v>
      </c>
      <c r="DO87">
        <v>0</v>
      </c>
    </row>
    <row r="88" spans="1:119" x14ac:dyDescent="0.2">
      <c r="A88">
        <f>ROW(Source!A55)</f>
        <v>55</v>
      </c>
      <c r="B88">
        <v>145033679</v>
      </c>
      <c r="C88">
        <v>145075997</v>
      </c>
      <c r="D88">
        <v>140924752</v>
      </c>
      <c r="E88">
        <v>1</v>
      </c>
      <c r="F88">
        <v>1</v>
      </c>
      <c r="G88">
        <v>1</v>
      </c>
      <c r="H88">
        <v>2</v>
      </c>
      <c r="I88" t="s">
        <v>861</v>
      </c>
      <c r="J88" t="s">
        <v>862</v>
      </c>
      <c r="K88" t="s">
        <v>863</v>
      </c>
      <c r="L88">
        <v>1367</v>
      </c>
      <c r="N88">
        <v>1011</v>
      </c>
      <c r="O88" t="s">
        <v>79</v>
      </c>
      <c r="P88" t="s">
        <v>79</v>
      </c>
      <c r="Q88">
        <v>1</v>
      </c>
      <c r="W88">
        <v>0</v>
      </c>
      <c r="X88">
        <v>1865246278</v>
      </c>
      <c r="Y88">
        <f>(AT88*1.15)</f>
        <v>2.9899999999999998</v>
      </c>
      <c r="AA88">
        <v>0</v>
      </c>
      <c r="AB88">
        <v>360.26</v>
      </c>
      <c r="AC88">
        <v>0</v>
      </c>
      <c r="AD88">
        <v>0</v>
      </c>
      <c r="AE88">
        <v>0</v>
      </c>
      <c r="AF88">
        <v>29.7</v>
      </c>
      <c r="AG88">
        <v>0</v>
      </c>
      <c r="AH88">
        <v>0</v>
      </c>
      <c r="AI88">
        <v>1</v>
      </c>
      <c r="AJ88">
        <v>12.13</v>
      </c>
      <c r="AK88">
        <v>30.54</v>
      </c>
      <c r="AL88">
        <v>1</v>
      </c>
      <c r="AM88">
        <v>4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2.6</v>
      </c>
      <c r="AU88" t="s">
        <v>21</v>
      </c>
      <c r="AV88">
        <v>0</v>
      </c>
      <c r="AW88">
        <v>2</v>
      </c>
      <c r="AX88">
        <v>145076001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ROUND(Y88*Source!I55,9)</f>
        <v>5.5315000000000003</v>
      </c>
      <c r="CY88">
        <f>AB88</f>
        <v>360.26</v>
      </c>
      <c r="CZ88">
        <f>AF88</f>
        <v>29.7</v>
      </c>
      <c r="DA88">
        <f>AJ88</f>
        <v>12.13</v>
      </c>
      <c r="DB88">
        <f>ROUND((ROUND(AT88*CZ88,2)*1.15),2)</f>
        <v>88.8</v>
      </c>
      <c r="DC88">
        <f>ROUND((ROUND(AT88*AG88,2)*1.15),2)</f>
        <v>0</v>
      </c>
      <c r="DD88" t="s">
        <v>3</v>
      </c>
      <c r="DE88" t="s">
        <v>3</v>
      </c>
      <c r="DF88">
        <f>ROUND(ROUND(AE88,2)*CX88,2)</f>
        <v>0</v>
      </c>
      <c r="DG88">
        <f>ROUND(ROUND(AF88*AJ88,2)*CX88,2)</f>
        <v>1992.78</v>
      </c>
      <c r="DH88">
        <f>ROUND(ROUND(AG88*AK88,2)*CX88,2)</f>
        <v>0</v>
      </c>
      <c r="DI88">
        <f>ROUND(ROUND(AH88,2)*CX88,2)</f>
        <v>0</v>
      </c>
      <c r="DJ88">
        <f>DG88</f>
        <v>1992.78</v>
      </c>
      <c r="DK88">
        <v>0</v>
      </c>
      <c r="DL88" t="s">
        <v>3</v>
      </c>
      <c r="DM88">
        <v>0</v>
      </c>
      <c r="DN88" t="s">
        <v>3</v>
      </c>
      <c r="DO88">
        <v>0</v>
      </c>
    </row>
    <row r="89" spans="1:119" x14ac:dyDescent="0.2">
      <c r="A89">
        <f>ROW(Source!A55)</f>
        <v>55</v>
      </c>
      <c r="B89">
        <v>145033679</v>
      </c>
      <c r="C89">
        <v>145075997</v>
      </c>
      <c r="D89">
        <v>140803620</v>
      </c>
      <c r="E89">
        <v>1</v>
      </c>
      <c r="F89">
        <v>1</v>
      </c>
      <c r="G89">
        <v>1</v>
      </c>
      <c r="H89">
        <v>3</v>
      </c>
      <c r="I89" t="s">
        <v>200</v>
      </c>
      <c r="J89" t="s">
        <v>202</v>
      </c>
      <c r="K89" t="s">
        <v>201</v>
      </c>
      <c r="L89">
        <v>1346</v>
      </c>
      <c r="N89">
        <v>1009</v>
      </c>
      <c r="O89" t="s">
        <v>43</v>
      </c>
      <c r="P89" t="s">
        <v>43</v>
      </c>
      <c r="Q89">
        <v>1</v>
      </c>
      <c r="W89">
        <v>1</v>
      </c>
      <c r="X89">
        <v>1937865604</v>
      </c>
      <c r="Y89">
        <f>AT89</f>
        <v>-115.03400000000001</v>
      </c>
      <c r="AA89">
        <v>442.64</v>
      </c>
      <c r="AB89">
        <v>0</v>
      </c>
      <c r="AC89">
        <v>0</v>
      </c>
      <c r="AD89">
        <v>0</v>
      </c>
      <c r="AE89">
        <v>50.82</v>
      </c>
      <c r="AF89">
        <v>0</v>
      </c>
      <c r="AG89">
        <v>0</v>
      </c>
      <c r="AH89">
        <v>0</v>
      </c>
      <c r="AI89">
        <v>8.7100000000000009</v>
      </c>
      <c r="AJ89">
        <v>1</v>
      </c>
      <c r="AK89">
        <v>1</v>
      </c>
      <c r="AL89">
        <v>1</v>
      </c>
      <c r="AM89">
        <v>4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-115.03400000000001</v>
      </c>
      <c r="AU89" t="s">
        <v>3</v>
      </c>
      <c r="AV89">
        <v>0</v>
      </c>
      <c r="AW89">
        <v>2</v>
      </c>
      <c r="AX89">
        <v>145076002</v>
      </c>
      <c r="AY89">
        <v>1</v>
      </c>
      <c r="AZ89">
        <v>6144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ROUND(Y89*Source!I55,9)</f>
        <v>-212.81290000000001</v>
      </c>
      <c r="CY89">
        <f>AA89</f>
        <v>442.64</v>
      </c>
      <c r="CZ89">
        <f>AE89</f>
        <v>50.82</v>
      </c>
      <c r="DA89">
        <f>AI89</f>
        <v>8.7100000000000009</v>
      </c>
      <c r="DB89">
        <f>ROUND(ROUND(AT89*CZ89,2),2)</f>
        <v>-5846.03</v>
      </c>
      <c r="DC89">
        <f>ROUND(ROUND(AT89*AG89,2),2)</f>
        <v>0</v>
      </c>
      <c r="DD89" t="s">
        <v>3</v>
      </c>
      <c r="DE89" t="s">
        <v>3</v>
      </c>
      <c r="DF89">
        <f>ROUND(ROUND(AE89*AI89,2)*CX89,2)</f>
        <v>-94199.5</v>
      </c>
      <c r="DG89">
        <f>ROUND(ROUND(AF89,2)*CX89,2)</f>
        <v>0</v>
      </c>
      <c r="DH89">
        <f>ROUND(ROUND(AG89,2)*CX89,2)</f>
        <v>0</v>
      </c>
      <c r="DI89">
        <f>ROUND(ROUND(AH89,2)*CX89,2)</f>
        <v>0</v>
      </c>
      <c r="DJ89">
        <f>DF89</f>
        <v>-94199.5</v>
      </c>
      <c r="DK89">
        <v>0</v>
      </c>
      <c r="DL89" t="s">
        <v>3</v>
      </c>
      <c r="DM89">
        <v>0</v>
      </c>
      <c r="DN89" t="s">
        <v>3</v>
      </c>
      <c r="DO89">
        <v>0</v>
      </c>
    </row>
    <row r="90" spans="1:119" x14ac:dyDescent="0.2">
      <c r="A90">
        <f>ROW(Source!A55)</f>
        <v>55</v>
      </c>
      <c r="B90">
        <v>145033679</v>
      </c>
      <c r="C90">
        <v>145075997</v>
      </c>
      <c r="D90">
        <v>140805195</v>
      </c>
      <c r="E90">
        <v>1</v>
      </c>
      <c r="F90">
        <v>1</v>
      </c>
      <c r="G90">
        <v>1</v>
      </c>
      <c r="H90">
        <v>3</v>
      </c>
      <c r="I90" t="s">
        <v>864</v>
      </c>
      <c r="J90" t="s">
        <v>865</v>
      </c>
      <c r="K90" t="s">
        <v>866</v>
      </c>
      <c r="L90">
        <v>1296</v>
      </c>
      <c r="N90">
        <v>1002</v>
      </c>
      <c r="O90" t="s">
        <v>147</v>
      </c>
      <c r="P90" t="s">
        <v>147</v>
      </c>
      <c r="Q90">
        <v>1</v>
      </c>
      <c r="W90">
        <v>0</v>
      </c>
      <c r="X90">
        <v>-288631517</v>
      </c>
      <c r="Y90">
        <f>AT90</f>
        <v>1.018</v>
      </c>
      <c r="AA90">
        <v>624.51</v>
      </c>
      <c r="AB90">
        <v>0</v>
      </c>
      <c r="AC90">
        <v>0</v>
      </c>
      <c r="AD90">
        <v>0</v>
      </c>
      <c r="AE90">
        <v>71.7</v>
      </c>
      <c r="AF90">
        <v>0</v>
      </c>
      <c r="AG90">
        <v>0</v>
      </c>
      <c r="AH90">
        <v>0</v>
      </c>
      <c r="AI90">
        <v>8.7100000000000009</v>
      </c>
      <c r="AJ90">
        <v>1</v>
      </c>
      <c r="AK90">
        <v>1</v>
      </c>
      <c r="AL90">
        <v>1</v>
      </c>
      <c r="AM90">
        <v>4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1.018</v>
      </c>
      <c r="AU90" t="s">
        <v>3</v>
      </c>
      <c r="AV90">
        <v>0</v>
      </c>
      <c r="AW90">
        <v>2</v>
      </c>
      <c r="AX90">
        <v>145076003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ROUND(Y90*Source!I55,9)</f>
        <v>1.8833</v>
      </c>
      <c r="CY90">
        <f>AA90</f>
        <v>624.51</v>
      </c>
      <c r="CZ90">
        <f>AE90</f>
        <v>71.7</v>
      </c>
      <c r="DA90">
        <f>AI90</f>
        <v>8.7100000000000009</v>
      </c>
      <c r="DB90">
        <f>ROUND(ROUND(AT90*CZ90,2),2)</f>
        <v>72.989999999999995</v>
      </c>
      <c r="DC90">
        <f>ROUND(ROUND(AT90*AG90,2),2)</f>
        <v>0</v>
      </c>
      <c r="DD90" t="s">
        <v>3</v>
      </c>
      <c r="DE90" t="s">
        <v>3</v>
      </c>
      <c r="DF90">
        <f>ROUND(ROUND(AE90*AI90,2)*CX90,2)</f>
        <v>1176.1400000000001</v>
      </c>
      <c r="DG90">
        <f>ROUND(ROUND(AF90,2)*CX90,2)</f>
        <v>0</v>
      </c>
      <c r="DH90">
        <f>ROUND(ROUND(AG90,2)*CX90,2)</f>
        <v>0</v>
      </c>
      <c r="DI90">
        <f>ROUND(ROUND(AH90,2)*CX90,2)</f>
        <v>0</v>
      </c>
      <c r="DJ90">
        <f>DF90</f>
        <v>1176.1400000000001</v>
      </c>
      <c r="DK90">
        <v>0</v>
      </c>
      <c r="DL90" t="s">
        <v>3</v>
      </c>
      <c r="DM90">
        <v>0</v>
      </c>
      <c r="DN90" t="s">
        <v>3</v>
      </c>
      <c r="DO90">
        <v>0</v>
      </c>
    </row>
    <row r="91" spans="1:119" x14ac:dyDescent="0.2">
      <c r="A91">
        <f>ROW(Source!A60)</f>
        <v>60</v>
      </c>
      <c r="B91">
        <v>145033679</v>
      </c>
      <c r="C91">
        <v>145034752</v>
      </c>
      <c r="D91">
        <v>140760001</v>
      </c>
      <c r="E91">
        <v>70</v>
      </c>
      <c r="F91">
        <v>1</v>
      </c>
      <c r="G91">
        <v>1</v>
      </c>
      <c r="H91">
        <v>1</v>
      </c>
      <c r="I91" t="s">
        <v>867</v>
      </c>
      <c r="J91" t="s">
        <v>3</v>
      </c>
      <c r="K91" t="s">
        <v>868</v>
      </c>
      <c r="L91">
        <v>1191</v>
      </c>
      <c r="N91">
        <v>1013</v>
      </c>
      <c r="O91" t="s">
        <v>725</v>
      </c>
      <c r="P91" t="s">
        <v>725</v>
      </c>
      <c r="Q91">
        <v>1</v>
      </c>
      <c r="W91">
        <v>0</v>
      </c>
      <c r="X91">
        <v>1893946532</v>
      </c>
      <c r="Y91">
        <f>(AT91*1.15)</f>
        <v>15.524999999999999</v>
      </c>
      <c r="AA91">
        <v>0</v>
      </c>
      <c r="AB91">
        <v>0</v>
      </c>
      <c r="AC91">
        <v>0</v>
      </c>
      <c r="AD91">
        <v>277</v>
      </c>
      <c r="AE91">
        <v>0</v>
      </c>
      <c r="AF91">
        <v>0</v>
      </c>
      <c r="AG91">
        <v>0</v>
      </c>
      <c r="AH91">
        <v>9.07</v>
      </c>
      <c r="AI91">
        <v>1</v>
      </c>
      <c r="AJ91">
        <v>1</v>
      </c>
      <c r="AK91">
        <v>1</v>
      </c>
      <c r="AL91">
        <v>30.54</v>
      </c>
      <c r="AM91">
        <v>4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13.5</v>
      </c>
      <c r="AU91" t="s">
        <v>21</v>
      </c>
      <c r="AV91">
        <v>1</v>
      </c>
      <c r="AW91">
        <v>2</v>
      </c>
      <c r="AX91">
        <v>145034949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ROUND(Y91*Source!I60,9)</f>
        <v>217.35</v>
      </c>
      <c r="CY91">
        <f>AD91</f>
        <v>277</v>
      </c>
      <c r="CZ91">
        <f>AH91</f>
        <v>9.07</v>
      </c>
      <c r="DA91">
        <f>AL91</f>
        <v>30.54</v>
      </c>
      <c r="DB91">
        <f>ROUND((ROUND(AT91*CZ91,2)*1.15),2)</f>
        <v>140.82</v>
      </c>
      <c r="DC91">
        <f>ROUND((ROUND(AT91*AG91,2)*1.15),2)</f>
        <v>0</v>
      </c>
      <c r="DD91" t="s">
        <v>3</v>
      </c>
      <c r="DE91" t="s">
        <v>3</v>
      </c>
      <c r="DF91">
        <f>ROUND(ROUND(AE91,2)*CX91,2)</f>
        <v>0</v>
      </c>
      <c r="DG91">
        <f>ROUND(ROUND(AF91,2)*CX91,2)</f>
        <v>0</v>
      </c>
      <c r="DH91">
        <f>ROUND(ROUND(AG91,2)*CX91,2)</f>
        <v>0</v>
      </c>
      <c r="DI91">
        <f>ROUND(ROUND(AH91*AL91,2)*CX91,2)</f>
        <v>60205.95</v>
      </c>
      <c r="DJ91">
        <f>DI91</f>
        <v>60205.95</v>
      </c>
      <c r="DK91">
        <v>0</v>
      </c>
      <c r="DL91" t="s">
        <v>3</v>
      </c>
      <c r="DM91">
        <v>0</v>
      </c>
      <c r="DN91" t="s">
        <v>3</v>
      </c>
      <c r="DO91">
        <v>0</v>
      </c>
    </row>
    <row r="92" spans="1:119" x14ac:dyDescent="0.2">
      <c r="A92">
        <f>ROW(Source!A60)</f>
        <v>60</v>
      </c>
      <c r="B92">
        <v>145033679</v>
      </c>
      <c r="C92">
        <v>145034752</v>
      </c>
      <c r="D92">
        <v>140924116</v>
      </c>
      <c r="E92">
        <v>1</v>
      </c>
      <c r="F92">
        <v>1</v>
      </c>
      <c r="G92">
        <v>1</v>
      </c>
      <c r="H92">
        <v>2</v>
      </c>
      <c r="I92" t="s">
        <v>850</v>
      </c>
      <c r="J92" t="s">
        <v>851</v>
      </c>
      <c r="K92" t="s">
        <v>852</v>
      </c>
      <c r="L92">
        <v>1367</v>
      </c>
      <c r="N92">
        <v>1011</v>
      </c>
      <c r="O92" t="s">
        <v>79</v>
      </c>
      <c r="P92" t="s">
        <v>79</v>
      </c>
      <c r="Q92">
        <v>1</v>
      </c>
      <c r="W92">
        <v>0</v>
      </c>
      <c r="X92">
        <v>-1328751058</v>
      </c>
      <c r="Y92">
        <f>(AT92*1.15)</f>
        <v>0.74749999999999994</v>
      </c>
      <c r="AA92">
        <v>0</v>
      </c>
      <c r="AB92">
        <v>44.88</v>
      </c>
      <c r="AC92">
        <v>0</v>
      </c>
      <c r="AD92">
        <v>0</v>
      </c>
      <c r="AE92">
        <v>0</v>
      </c>
      <c r="AF92">
        <v>3.7</v>
      </c>
      <c r="AG92">
        <v>0</v>
      </c>
      <c r="AH92">
        <v>0</v>
      </c>
      <c r="AI92">
        <v>1</v>
      </c>
      <c r="AJ92">
        <v>12.13</v>
      </c>
      <c r="AK92">
        <v>30.54</v>
      </c>
      <c r="AL92">
        <v>1</v>
      </c>
      <c r="AM92">
        <v>4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0.65</v>
      </c>
      <c r="AU92" t="s">
        <v>21</v>
      </c>
      <c r="AV92">
        <v>0</v>
      </c>
      <c r="AW92">
        <v>2</v>
      </c>
      <c r="AX92">
        <v>145034950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ROUND(Y92*Source!I60,9)</f>
        <v>10.465</v>
      </c>
      <c r="CY92">
        <f>AB92</f>
        <v>44.88</v>
      </c>
      <c r="CZ92">
        <f>AF92</f>
        <v>3.7</v>
      </c>
      <c r="DA92">
        <f>AJ92</f>
        <v>12.13</v>
      </c>
      <c r="DB92">
        <f>ROUND((ROUND(AT92*CZ92,2)*1.15),2)</f>
        <v>2.77</v>
      </c>
      <c r="DC92">
        <f>ROUND((ROUND(AT92*AG92,2)*1.15),2)</f>
        <v>0</v>
      </c>
      <c r="DD92" t="s">
        <v>3</v>
      </c>
      <c r="DE92" t="s">
        <v>3</v>
      </c>
      <c r="DF92">
        <f>ROUND(ROUND(AE92,2)*CX92,2)</f>
        <v>0</v>
      </c>
      <c r="DG92">
        <f>ROUND(ROUND(AF92*AJ92,2)*CX92,2)</f>
        <v>469.67</v>
      </c>
      <c r="DH92">
        <f>ROUND(ROUND(AG92*AK92,2)*CX92,2)</f>
        <v>0</v>
      </c>
      <c r="DI92">
        <f t="shared" ref="DI92:DI98" si="21">ROUND(ROUND(AH92,2)*CX92,2)</f>
        <v>0</v>
      </c>
      <c r="DJ92">
        <f>DG92</f>
        <v>469.67</v>
      </c>
      <c r="DK92">
        <v>0</v>
      </c>
      <c r="DL92" t="s">
        <v>3</v>
      </c>
      <c r="DM92">
        <v>0</v>
      </c>
      <c r="DN92" t="s">
        <v>3</v>
      </c>
      <c r="DO92">
        <v>0</v>
      </c>
    </row>
    <row r="93" spans="1:119" x14ac:dyDescent="0.2">
      <c r="A93">
        <f>ROW(Source!A60)</f>
        <v>60</v>
      </c>
      <c r="B93">
        <v>145033679</v>
      </c>
      <c r="C93">
        <v>145034752</v>
      </c>
      <c r="D93">
        <v>140772680</v>
      </c>
      <c r="E93">
        <v>1</v>
      </c>
      <c r="F93">
        <v>1</v>
      </c>
      <c r="G93">
        <v>1</v>
      </c>
      <c r="H93">
        <v>3</v>
      </c>
      <c r="I93" t="s">
        <v>735</v>
      </c>
      <c r="J93" t="s">
        <v>736</v>
      </c>
      <c r="K93" t="s">
        <v>737</v>
      </c>
      <c r="L93">
        <v>1339</v>
      </c>
      <c r="N93">
        <v>1007</v>
      </c>
      <c r="O93" t="s">
        <v>66</v>
      </c>
      <c r="P93" t="s">
        <v>66</v>
      </c>
      <c r="Q93">
        <v>1</v>
      </c>
      <c r="W93">
        <v>0</v>
      </c>
      <c r="X93">
        <v>-143474561</v>
      </c>
      <c r="Y93">
        <f t="shared" ref="Y93:Y98" si="22">(AT93*0)</f>
        <v>0</v>
      </c>
      <c r="AA93">
        <v>21.25</v>
      </c>
      <c r="AB93">
        <v>0</v>
      </c>
      <c r="AC93">
        <v>0</v>
      </c>
      <c r="AD93">
        <v>0</v>
      </c>
      <c r="AE93">
        <v>2.44</v>
      </c>
      <c r="AF93">
        <v>0</v>
      </c>
      <c r="AG93">
        <v>0</v>
      </c>
      <c r="AH93">
        <v>0</v>
      </c>
      <c r="AI93">
        <v>8.7100000000000009</v>
      </c>
      <c r="AJ93">
        <v>1</v>
      </c>
      <c r="AK93">
        <v>1</v>
      </c>
      <c r="AL93">
        <v>1</v>
      </c>
      <c r="AM93">
        <v>4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2.4E-2</v>
      </c>
      <c r="AU93" t="s">
        <v>153</v>
      </c>
      <c r="AV93">
        <v>0</v>
      </c>
      <c r="AW93">
        <v>2</v>
      </c>
      <c r="AX93">
        <v>145034951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ROUND(Y93*Source!I60,9)</f>
        <v>0</v>
      </c>
      <c r="CY93">
        <f t="shared" ref="CY93:CY98" si="23">AA93</f>
        <v>21.25</v>
      </c>
      <c r="CZ93">
        <f t="shared" ref="CZ93:CZ98" si="24">AE93</f>
        <v>2.44</v>
      </c>
      <c r="DA93">
        <f t="shared" ref="DA93:DA98" si="25">AI93</f>
        <v>8.7100000000000009</v>
      </c>
      <c r="DB93">
        <f t="shared" ref="DB93:DB98" si="26">ROUND((ROUND(AT93*CZ93,2)*0),2)</f>
        <v>0</v>
      </c>
      <c r="DC93">
        <f t="shared" ref="DC93:DC98" si="27">ROUND((ROUND(AT93*AG93,2)*0),2)</f>
        <v>0</v>
      </c>
      <c r="DD93" t="s">
        <v>3</v>
      </c>
      <c r="DE93" t="s">
        <v>3</v>
      </c>
      <c r="DF93">
        <f t="shared" ref="DF93:DF98" si="28">ROUND(ROUND(AE93*AI93,2)*CX93,2)</f>
        <v>0</v>
      </c>
      <c r="DG93">
        <f t="shared" ref="DG93:DG103" si="29">ROUND(ROUND(AF93,2)*CX93,2)</f>
        <v>0</v>
      </c>
      <c r="DH93">
        <f t="shared" ref="DH93:DH102" si="30">ROUND(ROUND(AG93,2)*CX93,2)</f>
        <v>0</v>
      </c>
      <c r="DI93">
        <f t="shared" si="21"/>
        <v>0</v>
      </c>
      <c r="DJ93">
        <f t="shared" ref="DJ93:DJ98" si="31">DF93</f>
        <v>0</v>
      </c>
      <c r="DK93">
        <v>0</v>
      </c>
      <c r="DL93" t="s">
        <v>3</v>
      </c>
      <c r="DM93">
        <v>0</v>
      </c>
      <c r="DN93" t="s">
        <v>3</v>
      </c>
      <c r="DO93">
        <v>0</v>
      </c>
    </row>
    <row r="94" spans="1:119" x14ac:dyDescent="0.2">
      <c r="A94">
        <f>ROW(Source!A60)</f>
        <v>60</v>
      </c>
      <c r="B94">
        <v>145033679</v>
      </c>
      <c r="C94">
        <v>145034752</v>
      </c>
      <c r="D94">
        <v>140772692</v>
      </c>
      <c r="E94">
        <v>1</v>
      </c>
      <c r="F94">
        <v>1</v>
      </c>
      <c r="G94">
        <v>1</v>
      </c>
      <c r="H94">
        <v>3</v>
      </c>
      <c r="I94" t="s">
        <v>869</v>
      </c>
      <c r="J94" t="s">
        <v>870</v>
      </c>
      <c r="K94" t="s">
        <v>871</v>
      </c>
      <c r="L94">
        <v>1383</v>
      </c>
      <c r="N94">
        <v>1013</v>
      </c>
      <c r="O94" t="s">
        <v>872</v>
      </c>
      <c r="P94" t="s">
        <v>872</v>
      </c>
      <c r="Q94">
        <v>1</v>
      </c>
      <c r="W94">
        <v>0</v>
      </c>
      <c r="X94">
        <v>-180864722</v>
      </c>
      <c r="Y94">
        <f t="shared" si="22"/>
        <v>0</v>
      </c>
      <c r="AA94">
        <v>3.48</v>
      </c>
      <c r="AB94">
        <v>0</v>
      </c>
      <c r="AC94">
        <v>0</v>
      </c>
      <c r="AD94">
        <v>0</v>
      </c>
      <c r="AE94">
        <v>0.4</v>
      </c>
      <c r="AF94">
        <v>0</v>
      </c>
      <c r="AG94">
        <v>0</v>
      </c>
      <c r="AH94">
        <v>0</v>
      </c>
      <c r="AI94">
        <v>8.7100000000000009</v>
      </c>
      <c r="AJ94">
        <v>1</v>
      </c>
      <c r="AK94">
        <v>1</v>
      </c>
      <c r="AL94">
        <v>1</v>
      </c>
      <c r="AM94">
        <v>4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203.74</v>
      </c>
      <c r="AU94" t="s">
        <v>153</v>
      </c>
      <c r="AV94">
        <v>0</v>
      </c>
      <c r="AW94">
        <v>2</v>
      </c>
      <c r="AX94">
        <v>145034952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ROUND(Y94*Source!I60,9)</f>
        <v>0</v>
      </c>
      <c r="CY94">
        <f t="shared" si="23"/>
        <v>3.48</v>
      </c>
      <c r="CZ94">
        <f t="shared" si="24"/>
        <v>0.4</v>
      </c>
      <c r="DA94">
        <f t="shared" si="25"/>
        <v>8.7100000000000009</v>
      </c>
      <c r="DB94">
        <f t="shared" si="26"/>
        <v>0</v>
      </c>
      <c r="DC94">
        <f t="shared" si="27"/>
        <v>0</v>
      </c>
      <c r="DD94" t="s">
        <v>3</v>
      </c>
      <c r="DE94" t="s">
        <v>3</v>
      </c>
      <c r="DF94">
        <f t="shared" si="28"/>
        <v>0</v>
      </c>
      <c r="DG94">
        <f t="shared" si="29"/>
        <v>0</v>
      </c>
      <c r="DH94">
        <f t="shared" si="30"/>
        <v>0</v>
      </c>
      <c r="DI94">
        <f t="shared" si="21"/>
        <v>0</v>
      </c>
      <c r="DJ94">
        <f t="shared" si="31"/>
        <v>0</v>
      </c>
      <c r="DK94">
        <v>0</v>
      </c>
      <c r="DL94" t="s">
        <v>3</v>
      </c>
      <c r="DM94">
        <v>0</v>
      </c>
      <c r="DN94" t="s">
        <v>3</v>
      </c>
      <c r="DO94">
        <v>0</v>
      </c>
    </row>
    <row r="95" spans="1:119" x14ac:dyDescent="0.2">
      <c r="A95">
        <f>ROW(Source!A60)</f>
        <v>60</v>
      </c>
      <c r="B95">
        <v>145033679</v>
      </c>
      <c r="C95">
        <v>145034752</v>
      </c>
      <c r="D95">
        <v>140773336</v>
      </c>
      <c r="E95">
        <v>1</v>
      </c>
      <c r="F95">
        <v>1</v>
      </c>
      <c r="G95">
        <v>1</v>
      </c>
      <c r="H95">
        <v>3</v>
      </c>
      <c r="I95" t="s">
        <v>873</v>
      </c>
      <c r="J95" t="s">
        <v>874</v>
      </c>
      <c r="K95" t="s">
        <v>875</v>
      </c>
      <c r="L95">
        <v>1346</v>
      </c>
      <c r="N95">
        <v>1009</v>
      </c>
      <c r="O95" t="s">
        <v>43</v>
      </c>
      <c r="P95" t="s">
        <v>43</v>
      </c>
      <c r="Q95">
        <v>1</v>
      </c>
      <c r="W95">
        <v>0</v>
      </c>
      <c r="X95">
        <v>-1291279003</v>
      </c>
      <c r="Y95">
        <f t="shared" si="22"/>
        <v>0</v>
      </c>
      <c r="AA95">
        <v>78.739999999999995</v>
      </c>
      <c r="AB95">
        <v>0</v>
      </c>
      <c r="AC95">
        <v>0</v>
      </c>
      <c r="AD95">
        <v>0</v>
      </c>
      <c r="AE95">
        <v>9.0399999999999991</v>
      </c>
      <c r="AF95">
        <v>0</v>
      </c>
      <c r="AG95">
        <v>0</v>
      </c>
      <c r="AH95">
        <v>0</v>
      </c>
      <c r="AI95">
        <v>8.7100000000000009</v>
      </c>
      <c r="AJ95">
        <v>1</v>
      </c>
      <c r="AK95">
        <v>1</v>
      </c>
      <c r="AL95">
        <v>1</v>
      </c>
      <c r="AM95">
        <v>4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0.05</v>
      </c>
      <c r="AU95" t="s">
        <v>153</v>
      </c>
      <c r="AV95">
        <v>0</v>
      </c>
      <c r="AW95">
        <v>2</v>
      </c>
      <c r="AX95">
        <v>145034953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ROUND(Y95*Source!I60,9)</f>
        <v>0</v>
      </c>
      <c r="CY95">
        <f t="shared" si="23"/>
        <v>78.739999999999995</v>
      </c>
      <c r="CZ95">
        <f t="shared" si="24"/>
        <v>9.0399999999999991</v>
      </c>
      <c r="DA95">
        <f t="shared" si="25"/>
        <v>8.7100000000000009</v>
      </c>
      <c r="DB95">
        <f t="shared" si="26"/>
        <v>0</v>
      </c>
      <c r="DC95">
        <f t="shared" si="27"/>
        <v>0</v>
      </c>
      <c r="DD95" t="s">
        <v>3</v>
      </c>
      <c r="DE95" t="s">
        <v>3</v>
      </c>
      <c r="DF95">
        <f t="shared" si="28"/>
        <v>0</v>
      </c>
      <c r="DG95">
        <f t="shared" si="29"/>
        <v>0</v>
      </c>
      <c r="DH95">
        <f t="shared" si="30"/>
        <v>0</v>
      </c>
      <c r="DI95">
        <f t="shared" si="21"/>
        <v>0</v>
      </c>
      <c r="DJ95">
        <f t="shared" si="31"/>
        <v>0</v>
      </c>
      <c r="DK95">
        <v>0</v>
      </c>
      <c r="DL95" t="s">
        <v>3</v>
      </c>
      <c r="DM95">
        <v>0</v>
      </c>
      <c r="DN95" t="s">
        <v>3</v>
      </c>
      <c r="DO95">
        <v>0</v>
      </c>
    </row>
    <row r="96" spans="1:119" x14ac:dyDescent="0.2">
      <c r="A96">
        <f>ROW(Source!A60)</f>
        <v>60</v>
      </c>
      <c r="B96">
        <v>145033679</v>
      </c>
      <c r="C96">
        <v>145034752</v>
      </c>
      <c r="D96">
        <v>140778072</v>
      </c>
      <c r="E96">
        <v>1</v>
      </c>
      <c r="F96">
        <v>1</v>
      </c>
      <c r="G96">
        <v>1</v>
      </c>
      <c r="H96">
        <v>3</v>
      </c>
      <c r="I96" t="s">
        <v>876</v>
      </c>
      <c r="J96" t="s">
        <v>877</v>
      </c>
      <c r="K96" t="s">
        <v>878</v>
      </c>
      <c r="L96">
        <v>1339</v>
      </c>
      <c r="N96">
        <v>1007</v>
      </c>
      <c r="O96" t="s">
        <v>66</v>
      </c>
      <c r="P96" t="s">
        <v>66</v>
      </c>
      <c r="Q96">
        <v>1</v>
      </c>
      <c r="W96">
        <v>0</v>
      </c>
      <c r="X96">
        <v>726502173</v>
      </c>
      <c r="Y96">
        <f t="shared" si="22"/>
        <v>0</v>
      </c>
      <c r="AA96">
        <v>4328.87</v>
      </c>
      <c r="AB96">
        <v>0</v>
      </c>
      <c r="AC96">
        <v>0</v>
      </c>
      <c r="AD96">
        <v>0</v>
      </c>
      <c r="AE96">
        <v>497</v>
      </c>
      <c r="AF96">
        <v>0</v>
      </c>
      <c r="AG96">
        <v>0</v>
      </c>
      <c r="AH96">
        <v>0</v>
      </c>
      <c r="AI96">
        <v>8.7100000000000009</v>
      </c>
      <c r="AJ96">
        <v>1</v>
      </c>
      <c r="AK96">
        <v>1</v>
      </c>
      <c r="AL96">
        <v>1</v>
      </c>
      <c r="AM96">
        <v>4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1E-3</v>
      </c>
      <c r="AU96" t="s">
        <v>153</v>
      </c>
      <c r="AV96">
        <v>0</v>
      </c>
      <c r="AW96">
        <v>2</v>
      </c>
      <c r="AX96">
        <v>145034954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ROUND(Y96*Source!I60,9)</f>
        <v>0</v>
      </c>
      <c r="CY96">
        <f t="shared" si="23"/>
        <v>4328.87</v>
      </c>
      <c r="CZ96">
        <f t="shared" si="24"/>
        <v>497</v>
      </c>
      <c r="DA96">
        <f t="shared" si="25"/>
        <v>8.7100000000000009</v>
      </c>
      <c r="DB96">
        <f t="shared" si="26"/>
        <v>0</v>
      </c>
      <c r="DC96">
        <f t="shared" si="27"/>
        <v>0</v>
      </c>
      <c r="DD96" t="s">
        <v>3</v>
      </c>
      <c r="DE96" t="s">
        <v>3</v>
      </c>
      <c r="DF96">
        <f t="shared" si="28"/>
        <v>0</v>
      </c>
      <c r="DG96">
        <f t="shared" si="29"/>
        <v>0</v>
      </c>
      <c r="DH96">
        <f t="shared" si="30"/>
        <v>0</v>
      </c>
      <c r="DI96">
        <f t="shared" si="21"/>
        <v>0</v>
      </c>
      <c r="DJ96">
        <f t="shared" si="31"/>
        <v>0</v>
      </c>
      <c r="DK96">
        <v>0</v>
      </c>
      <c r="DL96" t="s">
        <v>3</v>
      </c>
      <c r="DM96">
        <v>0</v>
      </c>
      <c r="DN96" t="s">
        <v>3</v>
      </c>
      <c r="DO96">
        <v>0</v>
      </c>
    </row>
    <row r="97" spans="1:119" x14ac:dyDescent="0.2">
      <c r="A97">
        <f>ROW(Source!A60)</f>
        <v>60</v>
      </c>
      <c r="B97">
        <v>145033679</v>
      </c>
      <c r="C97">
        <v>145034752</v>
      </c>
      <c r="D97">
        <v>140803729</v>
      </c>
      <c r="E97">
        <v>1</v>
      </c>
      <c r="F97">
        <v>1</v>
      </c>
      <c r="G97">
        <v>1</v>
      </c>
      <c r="H97">
        <v>3</v>
      </c>
      <c r="I97" t="s">
        <v>879</v>
      </c>
      <c r="J97" t="s">
        <v>880</v>
      </c>
      <c r="K97" t="s">
        <v>881</v>
      </c>
      <c r="L97">
        <v>1348</v>
      </c>
      <c r="N97">
        <v>1009</v>
      </c>
      <c r="O97" t="s">
        <v>105</v>
      </c>
      <c r="P97" t="s">
        <v>105</v>
      </c>
      <c r="Q97">
        <v>1000</v>
      </c>
      <c r="W97">
        <v>0</v>
      </c>
      <c r="X97">
        <v>1219930626</v>
      </c>
      <c r="Y97">
        <f t="shared" si="22"/>
        <v>0</v>
      </c>
      <c r="AA97">
        <v>223411.5</v>
      </c>
      <c r="AB97">
        <v>0</v>
      </c>
      <c r="AC97">
        <v>0</v>
      </c>
      <c r="AD97">
        <v>0</v>
      </c>
      <c r="AE97">
        <v>25650</v>
      </c>
      <c r="AF97">
        <v>0</v>
      </c>
      <c r="AG97">
        <v>0</v>
      </c>
      <c r="AH97">
        <v>0</v>
      </c>
      <c r="AI97">
        <v>8.7100000000000009</v>
      </c>
      <c r="AJ97">
        <v>1</v>
      </c>
      <c r="AK97">
        <v>1</v>
      </c>
      <c r="AL97">
        <v>1</v>
      </c>
      <c r="AM97">
        <v>4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5.0000000000000001E-3</v>
      </c>
      <c r="AU97" t="s">
        <v>153</v>
      </c>
      <c r="AV97">
        <v>0</v>
      </c>
      <c r="AW97">
        <v>2</v>
      </c>
      <c r="AX97">
        <v>145034955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ROUND(Y97*Source!I60,9)</f>
        <v>0</v>
      </c>
      <c r="CY97">
        <f t="shared" si="23"/>
        <v>223411.5</v>
      </c>
      <c r="CZ97">
        <f t="shared" si="24"/>
        <v>25650</v>
      </c>
      <c r="DA97">
        <f t="shared" si="25"/>
        <v>8.7100000000000009</v>
      </c>
      <c r="DB97">
        <f t="shared" si="26"/>
        <v>0</v>
      </c>
      <c r="DC97">
        <f t="shared" si="27"/>
        <v>0</v>
      </c>
      <c r="DD97" t="s">
        <v>3</v>
      </c>
      <c r="DE97" t="s">
        <v>3</v>
      </c>
      <c r="DF97">
        <f t="shared" si="28"/>
        <v>0</v>
      </c>
      <c r="DG97">
        <f t="shared" si="29"/>
        <v>0</v>
      </c>
      <c r="DH97">
        <f t="shared" si="30"/>
        <v>0</v>
      </c>
      <c r="DI97">
        <f t="shared" si="21"/>
        <v>0</v>
      </c>
      <c r="DJ97">
        <f t="shared" si="31"/>
        <v>0</v>
      </c>
      <c r="DK97">
        <v>0</v>
      </c>
      <c r="DL97" t="s">
        <v>3</v>
      </c>
      <c r="DM97">
        <v>0</v>
      </c>
      <c r="DN97" t="s">
        <v>3</v>
      </c>
      <c r="DO97">
        <v>0</v>
      </c>
    </row>
    <row r="98" spans="1:119" x14ac:dyDescent="0.2">
      <c r="A98">
        <f>ROW(Source!A60)</f>
        <v>60</v>
      </c>
      <c r="B98">
        <v>145033679</v>
      </c>
      <c r="C98">
        <v>145034752</v>
      </c>
      <c r="D98">
        <v>140804919</v>
      </c>
      <c r="E98">
        <v>1</v>
      </c>
      <c r="F98">
        <v>1</v>
      </c>
      <c r="G98">
        <v>1</v>
      </c>
      <c r="H98">
        <v>3</v>
      </c>
      <c r="I98" t="s">
        <v>882</v>
      </c>
      <c r="J98" t="s">
        <v>883</v>
      </c>
      <c r="K98" t="s">
        <v>884</v>
      </c>
      <c r="L98">
        <v>1346</v>
      </c>
      <c r="N98">
        <v>1009</v>
      </c>
      <c r="O98" t="s">
        <v>43</v>
      </c>
      <c r="P98" t="s">
        <v>43</v>
      </c>
      <c r="Q98">
        <v>1</v>
      </c>
      <c r="W98">
        <v>0</v>
      </c>
      <c r="X98">
        <v>-652302155</v>
      </c>
      <c r="Y98">
        <f t="shared" si="22"/>
        <v>0</v>
      </c>
      <c r="AA98">
        <v>570.33000000000004</v>
      </c>
      <c r="AB98">
        <v>0</v>
      </c>
      <c r="AC98">
        <v>0</v>
      </c>
      <c r="AD98">
        <v>0</v>
      </c>
      <c r="AE98">
        <v>65.48</v>
      </c>
      <c r="AF98">
        <v>0</v>
      </c>
      <c r="AG98">
        <v>0</v>
      </c>
      <c r="AH98">
        <v>0</v>
      </c>
      <c r="AI98">
        <v>8.7100000000000009</v>
      </c>
      <c r="AJ98">
        <v>1</v>
      </c>
      <c r="AK98">
        <v>1</v>
      </c>
      <c r="AL98">
        <v>1</v>
      </c>
      <c r="AM98">
        <v>4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1.5</v>
      </c>
      <c r="AU98" t="s">
        <v>153</v>
      </c>
      <c r="AV98">
        <v>0</v>
      </c>
      <c r="AW98">
        <v>2</v>
      </c>
      <c r="AX98">
        <v>145034956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ROUND(Y98*Source!I60,9)</f>
        <v>0</v>
      </c>
      <c r="CY98">
        <f t="shared" si="23"/>
        <v>570.33000000000004</v>
      </c>
      <c r="CZ98">
        <f t="shared" si="24"/>
        <v>65.48</v>
      </c>
      <c r="DA98">
        <f t="shared" si="25"/>
        <v>8.7100000000000009</v>
      </c>
      <c r="DB98">
        <f t="shared" si="26"/>
        <v>0</v>
      </c>
      <c r="DC98">
        <f t="shared" si="27"/>
        <v>0</v>
      </c>
      <c r="DD98" t="s">
        <v>3</v>
      </c>
      <c r="DE98" t="s">
        <v>3</v>
      </c>
      <c r="DF98">
        <f t="shared" si="28"/>
        <v>0</v>
      </c>
      <c r="DG98">
        <f t="shared" si="29"/>
        <v>0</v>
      </c>
      <c r="DH98">
        <f t="shared" si="30"/>
        <v>0</v>
      </c>
      <c r="DI98">
        <f t="shared" si="21"/>
        <v>0</v>
      </c>
      <c r="DJ98">
        <f t="shared" si="31"/>
        <v>0</v>
      </c>
      <c r="DK98">
        <v>0</v>
      </c>
      <c r="DL98" t="s">
        <v>3</v>
      </c>
      <c r="DM98">
        <v>0</v>
      </c>
      <c r="DN98" t="s">
        <v>3</v>
      </c>
      <c r="DO98">
        <v>0</v>
      </c>
    </row>
    <row r="99" spans="1:119" x14ac:dyDescent="0.2">
      <c r="A99">
        <f>ROW(Source!A62)</f>
        <v>62</v>
      </c>
      <c r="B99">
        <v>145033679</v>
      </c>
      <c r="C99">
        <v>145034770</v>
      </c>
      <c r="D99">
        <v>140759935</v>
      </c>
      <c r="E99">
        <v>70</v>
      </c>
      <c r="F99">
        <v>1</v>
      </c>
      <c r="G99">
        <v>1</v>
      </c>
      <c r="H99">
        <v>1</v>
      </c>
      <c r="I99" t="s">
        <v>723</v>
      </c>
      <c r="J99" t="s">
        <v>3</v>
      </c>
      <c r="K99" t="s">
        <v>724</v>
      </c>
      <c r="L99">
        <v>1191</v>
      </c>
      <c r="N99">
        <v>1013</v>
      </c>
      <c r="O99" t="s">
        <v>725</v>
      </c>
      <c r="P99" t="s">
        <v>725</v>
      </c>
      <c r="Q99">
        <v>1</v>
      </c>
      <c r="W99">
        <v>0</v>
      </c>
      <c r="X99">
        <v>2031828327</v>
      </c>
      <c r="Y99">
        <f>(AT99*1.15)</f>
        <v>2.9324999999999997</v>
      </c>
      <c r="AA99">
        <v>0</v>
      </c>
      <c r="AB99">
        <v>0</v>
      </c>
      <c r="AC99">
        <v>0</v>
      </c>
      <c r="AD99">
        <v>238.21</v>
      </c>
      <c r="AE99">
        <v>0</v>
      </c>
      <c r="AF99">
        <v>0</v>
      </c>
      <c r="AG99">
        <v>0</v>
      </c>
      <c r="AH99">
        <v>7.8</v>
      </c>
      <c r="AI99">
        <v>1</v>
      </c>
      <c r="AJ99">
        <v>1</v>
      </c>
      <c r="AK99">
        <v>1</v>
      </c>
      <c r="AL99">
        <v>30.54</v>
      </c>
      <c r="AM99">
        <v>4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2.5499999999999998</v>
      </c>
      <c r="AU99" t="s">
        <v>21</v>
      </c>
      <c r="AV99">
        <v>1</v>
      </c>
      <c r="AW99">
        <v>2</v>
      </c>
      <c r="AX99">
        <v>145034984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ROUND(Y99*Source!I62,9)</f>
        <v>4.1055000000000001E-2</v>
      </c>
      <c r="CY99">
        <f>AD99</f>
        <v>238.21</v>
      </c>
      <c r="CZ99">
        <f>AH99</f>
        <v>7.8</v>
      </c>
      <c r="DA99">
        <f>AL99</f>
        <v>30.54</v>
      </c>
      <c r="DB99">
        <f>ROUND((ROUND(AT99*CZ99,2)*1.15),2)</f>
        <v>22.87</v>
      </c>
      <c r="DC99">
        <f>ROUND((ROUND(AT99*AG99,2)*1.15),2)</f>
        <v>0</v>
      </c>
      <c r="DD99" t="s">
        <v>3</v>
      </c>
      <c r="DE99" t="s">
        <v>3</v>
      </c>
      <c r="DF99">
        <f>ROUND(ROUND(AE99,2)*CX99,2)</f>
        <v>0</v>
      </c>
      <c r="DG99">
        <f t="shared" si="29"/>
        <v>0</v>
      </c>
      <c r="DH99">
        <f t="shared" si="30"/>
        <v>0</v>
      </c>
      <c r="DI99">
        <f>ROUND(ROUND(AH99*AL99,2)*CX99,2)</f>
        <v>9.7799999999999994</v>
      </c>
      <c r="DJ99">
        <f>DI99</f>
        <v>9.7799999999999994</v>
      </c>
      <c r="DK99">
        <v>0</v>
      </c>
      <c r="DL99" t="s">
        <v>3</v>
      </c>
      <c r="DM99">
        <v>0</v>
      </c>
      <c r="DN99" t="s">
        <v>3</v>
      </c>
      <c r="DO99">
        <v>0</v>
      </c>
    </row>
    <row r="100" spans="1:119" x14ac:dyDescent="0.2">
      <c r="A100">
        <f>ROW(Source!A66)</f>
        <v>66</v>
      </c>
      <c r="B100">
        <v>145033679</v>
      </c>
      <c r="C100">
        <v>145040099</v>
      </c>
      <c r="D100">
        <v>140759935</v>
      </c>
      <c r="E100">
        <v>70</v>
      </c>
      <c r="F100">
        <v>1</v>
      </c>
      <c r="G100">
        <v>1</v>
      </c>
      <c r="H100">
        <v>1</v>
      </c>
      <c r="I100" t="s">
        <v>723</v>
      </c>
      <c r="J100" t="s">
        <v>3</v>
      </c>
      <c r="K100" t="s">
        <v>724</v>
      </c>
      <c r="L100">
        <v>1191</v>
      </c>
      <c r="N100">
        <v>1013</v>
      </c>
      <c r="O100" t="s">
        <v>725</v>
      </c>
      <c r="P100" t="s">
        <v>725</v>
      </c>
      <c r="Q100">
        <v>1</v>
      </c>
      <c r="W100">
        <v>0</v>
      </c>
      <c r="X100">
        <v>2031828327</v>
      </c>
      <c r="Y100">
        <f>(AT100*1.15)</f>
        <v>26.242999999999999</v>
      </c>
      <c r="AA100">
        <v>0</v>
      </c>
      <c r="AB100">
        <v>0</v>
      </c>
      <c r="AC100">
        <v>0</v>
      </c>
      <c r="AD100">
        <v>238.21</v>
      </c>
      <c r="AE100">
        <v>0</v>
      </c>
      <c r="AF100">
        <v>0</v>
      </c>
      <c r="AG100">
        <v>0</v>
      </c>
      <c r="AH100">
        <v>7.8</v>
      </c>
      <c r="AI100">
        <v>1</v>
      </c>
      <c r="AJ100">
        <v>1</v>
      </c>
      <c r="AK100">
        <v>1</v>
      </c>
      <c r="AL100">
        <v>30.54</v>
      </c>
      <c r="AM100">
        <v>4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22.82</v>
      </c>
      <c r="AU100" t="s">
        <v>21</v>
      </c>
      <c r="AV100">
        <v>1</v>
      </c>
      <c r="AW100">
        <v>2</v>
      </c>
      <c r="AX100">
        <v>145040100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ROUND(Y100*Source!I66,9)</f>
        <v>61.240664799999998</v>
      </c>
      <c r="CY100">
        <f>AD100</f>
        <v>238.21</v>
      </c>
      <c r="CZ100">
        <f>AH100</f>
        <v>7.8</v>
      </c>
      <c r="DA100">
        <f>AL100</f>
        <v>30.54</v>
      </c>
      <c r="DB100">
        <f>ROUND((ROUND(AT100*CZ100,2)*1.15),2)</f>
        <v>204.7</v>
      </c>
      <c r="DC100">
        <f>ROUND((ROUND(AT100*AG100,2)*1.15),2)</f>
        <v>0</v>
      </c>
      <c r="DD100" t="s">
        <v>3</v>
      </c>
      <c r="DE100" t="s">
        <v>3</v>
      </c>
      <c r="DF100">
        <f>ROUND(ROUND(AE100,2)*CX100,2)</f>
        <v>0</v>
      </c>
      <c r="DG100">
        <f t="shared" si="29"/>
        <v>0</v>
      </c>
      <c r="DH100">
        <f t="shared" si="30"/>
        <v>0</v>
      </c>
      <c r="DI100">
        <f>ROUND(ROUND(AH100*AL100,2)*CX100,2)</f>
        <v>14588.14</v>
      </c>
      <c r="DJ100">
        <f>DI100</f>
        <v>14588.14</v>
      </c>
      <c r="DK100">
        <v>0</v>
      </c>
      <c r="DL100" t="s">
        <v>3</v>
      </c>
      <c r="DM100">
        <v>0</v>
      </c>
      <c r="DN100" t="s">
        <v>3</v>
      </c>
      <c r="DO100">
        <v>0</v>
      </c>
    </row>
    <row r="101" spans="1:119" x14ac:dyDescent="0.2">
      <c r="A101">
        <f>ROW(Source!A66)</f>
        <v>66</v>
      </c>
      <c r="B101">
        <v>145033679</v>
      </c>
      <c r="C101">
        <v>145040099</v>
      </c>
      <c r="D101">
        <v>140765020</v>
      </c>
      <c r="E101">
        <v>70</v>
      </c>
      <c r="F101">
        <v>1</v>
      </c>
      <c r="G101">
        <v>1</v>
      </c>
      <c r="H101">
        <v>3</v>
      </c>
      <c r="I101" t="s">
        <v>726</v>
      </c>
      <c r="J101" t="s">
        <v>3</v>
      </c>
      <c r="K101" t="s">
        <v>727</v>
      </c>
      <c r="L101">
        <v>1348</v>
      </c>
      <c r="N101">
        <v>1009</v>
      </c>
      <c r="O101" t="s">
        <v>105</v>
      </c>
      <c r="P101" t="s">
        <v>105</v>
      </c>
      <c r="Q101">
        <v>1000</v>
      </c>
      <c r="W101">
        <v>0</v>
      </c>
      <c r="X101">
        <v>2102561428</v>
      </c>
      <c r="Y101">
        <f>AT101</f>
        <v>4.5999999999999996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8.7100000000000009</v>
      </c>
      <c r="AJ101">
        <v>1</v>
      </c>
      <c r="AK101">
        <v>1</v>
      </c>
      <c r="AL101">
        <v>1</v>
      </c>
      <c r="AM101">
        <v>4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3</v>
      </c>
      <c r="AT101">
        <v>4.5999999999999996</v>
      </c>
      <c r="AU101" t="s">
        <v>3</v>
      </c>
      <c r="AV101">
        <v>0</v>
      </c>
      <c r="AW101">
        <v>2</v>
      </c>
      <c r="AX101">
        <v>145040101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ROUND(Y101*Source!I66,9)</f>
        <v>10.73456</v>
      </c>
      <c r="CY101">
        <f>AA101</f>
        <v>0</v>
      </c>
      <c r="CZ101">
        <f>AE101</f>
        <v>0</v>
      </c>
      <c r="DA101">
        <f>AI101</f>
        <v>8.7100000000000009</v>
      </c>
      <c r="DB101">
        <f>ROUND(ROUND(AT101*CZ101,2),2)</f>
        <v>0</v>
      </c>
      <c r="DC101">
        <f>ROUND(ROUND(AT101*AG101,2),2)</f>
        <v>0</v>
      </c>
      <c r="DD101" t="s">
        <v>3</v>
      </c>
      <c r="DE101" t="s">
        <v>3</v>
      </c>
      <c r="DF101">
        <f>ROUND(ROUND(AE101*AI101,2)*CX101,2)</f>
        <v>0</v>
      </c>
      <c r="DG101">
        <f t="shared" si="29"/>
        <v>0</v>
      </c>
      <c r="DH101">
        <f t="shared" si="30"/>
        <v>0</v>
      </c>
      <c r="DI101">
        <f>ROUND(ROUND(AH101,2)*CX101,2)</f>
        <v>0</v>
      </c>
      <c r="DJ101">
        <f>DF101</f>
        <v>0</v>
      </c>
      <c r="DK101">
        <v>0</v>
      </c>
      <c r="DL101" t="s">
        <v>3</v>
      </c>
      <c r="DM101">
        <v>0</v>
      </c>
      <c r="DN101" t="s">
        <v>3</v>
      </c>
      <c r="DO101">
        <v>0</v>
      </c>
    </row>
    <row r="102" spans="1:119" x14ac:dyDescent="0.2">
      <c r="A102">
        <f>ROW(Source!A67)</f>
        <v>67</v>
      </c>
      <c r="B102">
        <v>145033679</v>
      </c>
      <c r="C102">
        <v>145040111</v>
      </c>
      <c r="D102">
        <v>140760001</v>
      </c>
      <c r="E102">
        <v>70</v>
      </c>
      <c r="F102">
        <v>1</v>
      </c>
      <c r="G102">
        <v>1</v>
      </c>
      <c r="H102">
        <v>1</v>
      </c>
      <c r="I102" t="s">
        <v>867</v>
      </c>
      <c r="J102" t="s">
        <v>3</v>
      </c>
      <c r="K102" t="s">
        <v>868</v>
      </c>
      <c r="L102">
        <v>1191</v>
      </c>
      <c r="N102">
        <v>1013</v>
      </c>
      <c r="O102" t="s">
        <v>725</v>
      </c>
      <c r="P102" t="s">
        <v>725</v>
      </c>
      <c r="Q102">
        <v>1</v>
      </c>
      <c r="W102">
        <v>0</v>
      </c>
      <c r="X102">
        <v>1893946532</v>
      </c>
      <c r="Y102">
        <f>(AT102*1.15)</f>
        <v>5.5545</v>
      </c>
      <c r="AA102">
        <v>0</v>
      </c>
      <c r="AB102">
        <v>0</v>
      </c>
      <c r="AC102">
        <v>0</v>
      </c>
      <c r="AD102">
        <v>277</v>
      </c>
      <c r="AE102">
        <v>0</v>
      </c>
      <c r="AF102">
        <v>0</v>
      </c>
      <c r="AG102">
        <v>0</v>
      </c>
      <c r="AH102">
        <v>9.07</v>
      </c>
      <c r="AI102">
        <v>1</v>
      </c>
      <c r="AJ102">
        <v>1</v>
      </c>
      <c r="AK102">
        <v>1</v>
      </c>
      <c r="AL102">
        <v>30.54</v>
      </c>
      <c r="AM102">
        <v>4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4.83</v>
      </c>
      <c r="AU102" t="s">
        <v>21</v>
      </c>
      <c r="AV102">
        <v>1</v>
      </c>
      <c r="AW102">
        <v>2</v>
      </c>
      <c r="AX102">
        <v>145040112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ROUND(Y102*Source!I67,9)</f>
        <v>25.923962400000001</v>
      </c>
      <c r="CY102">
        <f>AD102</f>
        <v>277</v>
      </c>
      <c r="CZ102">
        <f>AH102</f>
        <v>9.07</v>
      </c>
      <c r="DA102">
        <f>AL102</f>
        <v>30.54</v>
      </c>
      <c r="DB102">
        <f>ROUND((ROUND(AT102*CZ102,2)*1.15),2)</f>
        <v>50.38</v>
      </c>
      <c r="DC102">
        <f>ROUND((ROUND(AT102*AG102,2)*1.15),2)</f>
        <v>0</v>
      </c>
      <c r="DD102" t="s">
        <v>3</v>
      </c>
      <c r="DE102" t="s">
        <v>3</v>
      </c>
      <c r="DF102">
        <f>ROUND(ROUND(AE102,2)*CX102,2)</f>
        <v>0</v>
      </c>
      <c r="DG102">
        <f t="shared" si="29"/>
        <v>0</v>
      </c>
      <c r="DH102">
        <f t="shared" si="30"/>
        <v>0</v>
      </c>
      <c r="DI102">
        <f>ROUND(ROUND(AH102*AL102,2)*CX102,2)</f>
        <v>7180.94</v>
      </c>
      <c r="DJ102">
        <f>DI102</f>
        <v>7180.94</v>
      </c>
      <c r="DK102">
        <v>0</v>
      </c>
      <c r="DL102" t="s">
        <v>3</v>
      </c>
      <c r="DM102">
        <v>0</v>
      </c>
      <c r="DN102" t="s">
        <v>3</v>
      </c>
      <c r="DO102">
        <v>0</v>
      </c>
    </row>
    <row r="103" spans="1:119" x14ac:dyDescent="0.2">
      <c r="A103">
        <f>ROW(Source!A67)</f>
        <v>67</v>
      </c>
      <c r="B103">
        <v>145033679</v>
      </c>
      <c r="C103">
        <v>145040111</v>
      </c>
      <c r="D103">
        <v>140760225</v>
      </c>
      <c r="E103">
        <v>70</v>
      </c>
      <c r="F103">
        <v>1</v>
      </c>
      <c r="G103">
        <v>1</v>
      </c>
      <c r="H103">
        <v>1</v>
      </c>
      <c r="I103" t="s">
        <v>730</v>
      </c>
      <c r="J103" t="s">
        <v>3</v>
      </c>
      <c r="K103" t="s">
        <v>731</v>
      </c>
      <c r="L103">
        <v>1191</v>
      </c>
      <c r="N103">
        <v>1013</v>
      </c>
      <c r="O103" t="s">
        <v>725</v>
      </c>
      <c r="P103" t="s">
        <v>725</v>
      </c>
      <c r="Q103">
        <v>1</v>
      </c>
      <c r="W103">
        <v>0</v>
      </c>
      <c r="X103">
        <v>-1417349443</v>
      </c>
      <c r="Y103">
        <f>(AT103*1.15)</f>
        <v>3.4499999999999996E-2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30.54</v>
      </c>
      <c r="AL103">
        <v>1</v>
      </c>
      <c r="AM103">
        <v>4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0.03</v>
      </c>
      <c r="AU103" t="s">
        <v>21</v>
      </c>
      <c r="AV103">
        <v>2</v>
      </c>
      <c r="AW103">
        <v>2</v>
      </c>
      <c r="AX103">
        <v>145040113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ROUND(Y103*Source!I67,9)</f>
        <v>0.16101840000000001</v>
      </c>
      <c r="CY103">
        <f>AD103</f>
        <v>0</v>
      </c>
      <c r="CZ103">
        <f>AH103</f>
        <v>0</v>
      </c>
      <c r="DA103">
        <f>AL103</f>
        <v>1</v>
      </c>
      <c r="DB103">
        <f>ROUND((ROUND(AT103*CZ103,2)*1.15),2)</f>
        <v>0</v>
      </c>
      <c r="DC103">
        <f>ROUND((ROUND(AT103*AG103,2)*1.15),2)</f>
        <v>0</v>
      </c>
      <c r="DD103" t="s">
        <v>3</v>
      </c>
      <c r="DE103" t="s">
        <v>3</v>
      </c>
      <c r="DF103">
        <f>ROUND(ROUND(AE103,2)*CX103,2)</f>
        <v>0</v>
      </c>
      <c r="DG103">
        <f t="shared" si="29"/>
        <v>0</v>
      </c>
      <c r="DH103">
        <f>ROUND(ROUND(AG103*AK103,2)*CX103,2)</f>
        <v>0</v>
      </c>
      <c r="DI103">
        <f>ROUND(ROUND(AH103,2)*CX103,2)</f>
        <v>0</v>
      </c>
      <c r="DJ103">
        <f>DI103</f>
        <v>0</v>
      </c>
      <c r="DK103">
        <v>0</v>
      </c>
      <c r="DL103" t="s">
        <v>3</v>
      </c>
      <c r="DM103">
        <v>0</v>
      </c>
      <c r="DN103" t="s">
        <v>3</v>
      </c>
      <c r="DO103">
        <v>0</v>
      </c>
    </row>
    <row r="104" spans="1:119" x14ac:dyDescent="0.2">
      <c r="A104">
        <f>ROW(Source!A67)</f>
        <v>67</v>
      </c>
      <c r="B104">
        <v>145033679</v>
      </c>
      <c r="C104">
        <v>145040111</v>
      </c>
      <c r="D104">
        <v>140923885</v>
      </c>
      <c r="E104">
        <v>1</v>
      </c>
      <c r="F104">
        <v>1</v>
      </c>
      <c r="G104">
        <v>1</v>
      </c>
      <c r="H104">
        <v>2</v>
      </c>
      <c r="I104" t="s">
        <v>732</v>
      </c>
      <c r="J104" t="s">
        <v>733</v>
      </c>
      <c r="K104" t="s">
        <v>734</v>
      </c>
      <c r="L104">
        <v>1367</v>
      </c>
      <c r="N104">
        <v>1011</v>
      </c>
      <c r="O104" t="s">
        <v>79</v>
      </c>
      <c r="P104" t="s">
        <v>79</v>
      </c>
      <c r="Q104">
        <v>1</v>
      </c>
      <c r="W104">
        <v>0</v>
      </c>
      <c r="X104">
        <v>509054691</v>
      </c>
      <c r="Y104">
        <f>(AT104*1.15)</f>
        <v>3.4499999999999996E-2</v>
      </c>
      <c r="AA104">
        <v>0</v>
      </c>
      <c r="AB104">
        <v>797.06</v>
      </c>
      <c r="AC104">
        <v>354.26</v>
      </c>
      <c r="AD104">
        <v>0</v>
      </c>
      <c r="AE104">
        <v>0</v>
      </c>
      <c r="AF104">
        <v>65.709999999999994</v>
      </c>
      <c r="AG104">
        <v>11.6</v>
      </c>
      <c r="AH104">
        <v>0</v>
      </c>
      <c r="AI104">
        <v>1</v>
      </c>
      <c r="AJ104">
        <v>12.13</v>
      </c>
      <c r="AK104">
        <v>30.54</v>
      </c>
      <c r="AL104">
        <v>1</v>
      </c>
      <c r="AM104">
        <v>4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0.03</v>
      </c>
      <c r="AU104" t="s">
        <v>21</v>
      </c>
      <c r="AV104">
        <v>0</v>
      </c>
      <c r="AW104">
        <v>2</v>
      </c>
      <c r="AX104">
        <v>145040114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ROUND(Y104*Source!I67,9)</f>
        <v>0.16101840000000001</v>
      </c>
      <c r="CY104">
        <f>AB104</f>
        <v>797.06</v>
      </c>
      <c r="CZ104">
        <f>AF104</f>
        <v>65.709999999999994</v>
      </c>
      <c r="DA104">
        <f>AJ104</f>
        <v>12.13</v>
      </c>
      <c r="DB104">
        <f>ROUND((ROUND(AT104*CZ104,2)*1.15),2)</f>
        <v>2.27</v>
      </c>
      <c r="DC104">
        <f>ROUND((ROUND(AT104*AG104,2)*1.15),2)</f>
        <v>0.4</v>
      </c>
      <c r="DD104" t="s">
        <v>3</v>
      </c>
      <c r="DE104" t="s">
        <v>3</v>
      </c>
      <c r="DF104">
        <f>ROUND(ROUND(AE104,2)*CX104,2)</f>
        <v>0</v>
      </c>
      <c r="DG104">
        <f>ROUND(ROUND(AF104*AJ104,2)*CX104,2)</f>
        <v>128.34</v>
      </c>
      <c r="DH104">
        <f>ROUND(ROUND(AG104*AK104,2)*CX104,2)</f>
        <v>57.04</v>
      </c>
      <c r="DI104">
        <f>ROUND(ROUND(AH104,2)*CX104,2)</f>
        <v>0</v>
      </c>
      <c r="DJ104">
        <f>DG104</f>
        <v>128.34</v>
      </c>
      <c r="DK104">
        <v>0</v>
      </c>
      <c r="DL104" t="s">
        <v>3</v>
      </c>
      <c r="DM104">
        <v>0</v>
      </c>
      <c r="DN104" t="s">
        <v>3</v>
      </c>
      <c r="DO104">
        <v>0</v>
      </c>
    </row>
    <row r="105" spans="1:119" x14ac:dyDescent="0.2">
      <c r="A105">
        <f>ROW(Source!A67)</f>
        <v>67</v>
      </c>
      <c r="B105">
        <v>145033679</v>
      </c>
      <c r="C105">
        <v>145040111</v>
      </c>
      <c r="D105">
        <v>140772680</v>
      </c>
      <c r="E105">
        <v>1</v>
      </c>
      <c r="F105">
        <v>1</v>
      </c>
      <c r="G105">
        <v>1</v>
      </c>
      <c r="H105">
        <v>3</v>
      </c>
      <c r="I105" t="s">
        <v>735</v>
      </c>
      <c r="J105" t="s">
        <v>736</v>
      </c>
      <c r="K105" t="s">
        <v>737</v>
      </c>
      <c r="L105">
        <v>1339</v>
      </c>
      <c r="N105">
        <v>1007</v>
      </c>
      <c r="O105" t="s">
        <v>66</v>
      </c>
      <c r="P105" t="s">
        <v>66</v>
      </c>
      <c r="Q105">
        <v>1</v>
      </c>
      <c r="W105">
        <v>0</v>
      </c>
      <c r="X105">
        <v>-143474561</v>
      </c>
      <c r="Y105">
        <f>AT105</f>
        <v>8.0000000000000002E-3</v>
      </c>
      <c r="AA105">
        <v>21.25</v>
      </c>
      <c r="AB105">
        <v>0</v>
      </c>
      <c r="AC105">
        <v>0</v>
      </c>
      <c r="AD105">
        <v>0</v>
      </c>
      <c r="AE105">
        <v>2.44</v>
      </c>
      <c r="AF105">
        <v>0</v>
      </c>
      <c r="AG105">
        <v>0</v>
      </c>
      <c r="AH105">
        <v>0</v>
      </c>
      <c r="AI105">
        <v>8.7100000000000009</v>
      </c>
      <c r="AJ105">
        <v>1</v>
      </c>
      <c r="AK105">
        <v>1</v>
      </c>
      <c r="AL105">
        <v>1</v>
      </c>
      <c r="AM105">
        <v>4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8.0000000000000002E-3</v>
      </c>
      <c r="AU105" t="s">
        <v>3</v>
      </c>
      <c r="AV105">
        <v>0</v>
      </c>
      <c r="AW105">
        <v>2</v>
      </c>
      <c r="AX105">
        <v>145040115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ROUND(Y105*Source!I67,9)</f>
        <v>3.7337599999999999E-2</v>
      </c>
      <c r="CY105">
        <f>AA105</f>
        <v>21.25</v>
      </c>
      <c r="CZ105">
        <f>AE105</f>
        <v>2.44</v>
      </c>
      <c r="DA105">
        <f>AI105</f>
        <v>8.7100000000000009</v>
      </c>
      <c r="DB105">
        <f>ROUND(ROUND(AT105*CZ105,2),2)</f>
        <v>0.02</v>
      </c>
      <c r="DC105">
        <f>ROUND(ROUND(AT105*AG105,2),2)</f>
        <v>0</v>
      </c>
      <c r="DD105" t="s">
        <v>3</v>
      </c>
      <c r="DE105" t="s">
        <v>3</v>
      </c>
      <c r="DF105">
        <f>ROUND(ROUND(AE105*AI105,2)*CX105,2)</f>
        <v>0.79</v>
      </c>
      <c r="DG105">
        <f>ROUND(ROUND(AF105,2)*CX105,2)</f>
        <v>0</v>
      </c>
      <c r="DH105">
        <f>ROUND(ROUND(AG105,2)*CX105,2)</f>
        <v>0</v>
      </c>
      <c r="DI105">
        <f>ROUND(ROUND(AH105,2)*CX105,2)</f>
        <v>0</v>
      </c>
      <c r="DJ105">
        <f>DF105</f>
        <v>0.79</v>
      </c>
      <c r="DK105">
        <v>0</v>
      </c>
      <c r="DL105" t="s">
        <v>3</v>
      </c>
      <c r="DM105">
        <v>0</v>
      </c>
      <c r="DN105" t="s">
        <v>3</v>
      </c>
      <c r="DO105">
        <v>0</v>
      </c>
    </row>
    <row r="106" spans="1:119" x14ac:dyDescent="0.2">
      <c r="A106">
        <f>ROW(Source!A67)</f>
        <v>67</v>
      </c>
      <c r="B106">
        <v>145033679</v>
      </c>
      <c r="C106">
        <v>145040111</v>
      </c>
      <c r="D106">
        <v>140778438</v>
      </c>
      <c r="E106">
        <v>1</v>
      </c>
      <c r="F106">
        <v>1</v>
      </c>
      <c r="G106">
        <v>1</v>
      </c>
      <c r="H106">
        <v>3</v>
      </c>
      <c r="I106" t="s">
        <v>41</v>
      </c>
      <c r="J106" t="s">
        <v>44</v>
      </c>
      <c r="K106" t="s">
        <v>42</v>
      </c>
      <c r="L106">
        <v>1346</v>
      </c>
      <c r="N106">
        <v>1009</v>
      </c>
      <c r="O106" t="s">
        <v>43</v>
      </c>
      <c r="P106" t="s">
        <v>43</v>
      </c>
      <c r="Q106">
        <v>1</v>
      </c>
      <c r="W106">
        <v>1</v>
      </c>
      <c r="X106">
        <v>1351658750</v>
      </c>
      <c r="Y106">
        <f>AT106</f>
        <v>-27.75</v>
      </c>
      <c r="AA106">
        <v>525.74</v>
      </c>
      <c r="AB106">
        <v>0</v>
      </c>
      <c r="AC106">
        <v>0</v>
      </c>
      <c r="AD106">
        <v>0</v>
      </c>
      <c r="AE106">
        <v>60.36</v>
      </c>
      <c r="AF106">
        <v>0</v>
      </c>
      <c r="AG106">
        <v>0</v>
      </c>
      <c r="AH106">
        <v>0</v>
      </c>
      <c r="AI106">
        <v>8.7100000000000009</v>
      </c>
      <c r="AJ106">
        <v>1</v>
      </c>
      <c r="AK106">
        <v>1</v>
      </c>
      <c r="AL106">
        <v>1</v>
      </c>
      <c r="AM106">
        <v>4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-27.75</v>
      </c>
      <c r="AU106" t="s">
        <v>3</v>
      </c>
      <c r="AV106">
        <v>0</v>
      </c>
      <c r="AW106">
        <v>2</v>
      </c>
      <c r="AX106">
        <v>145040116</v>
      </c>
      <c r="AY106">
        <v>1</v>
      </c>
      <c r="AZ106">
        <v>6144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ROUND(Y106*Source!I67,9)</f>
        <v>-129.51480000000001</v>
      </c>
      <c r="CY106">
        <f>AA106</f>
        <v>525.74</v>
      </c>
      <c r="CZ106">
        <f>AE106</f>
        <v>60.36</v>
      </c>
      <c r="DA106">
        <f>AI106</f>
        <v>8.7100000000000009</v>
      </c>
      <c r="DB106">
        <f>ROUND(ROUND(AT106*CZ106,2),2)</f>
        <v>-1674.99</v>
      </c>
      <c r="DC106">
        <f>ROUND(ROUND(AT106*AG106,2),2)</f>
        <v>0</v>
      </c>
      <c r="DD106" t="s">
        <v>3</v>
      </c>
      <c r="DE106" t="s">
        <v>3</v>
      </c>
      <c r="DF106">
        <f>ROUND(ROUND(AE106*AI106,2)*CX106,2)</f>
        <v>-68091.11</v>
      </c>
      <c r="DG106">
        <f>ROUND(ROUND(AF106,2)*CX106,2)</f>
        <v>0</v>
      </c>
      <c r="DH106">
        <f>ROUND(ROUND(AG106,2)*CX106,2)</f>
        <v>0</v>
      </c>
      <c r="DI106">
        <f>ROUND(ROUND(AH106,2)*CX106,2)</f>
        <v>0</v>
      </c>
      <c r="DJ106">
        <f>DF106</f>
        <v>-68091.11</v>
      </c>
      <c r="DK106">
        <v>0</v>
      </c>
      <c r="DL106" t="s">
        <v>3</v>
      </c>
      <c r="DM106">
        <v>0</v>
      </c>
      <c r="DN106" t="s">
        <v>3</v>
      </c>
      <c r="DO106">
        <v>0</v>
      </c>
    </row>
    <row r="107" spans="1:119" x14ac:dyDescent="0.2">
      <c r="A107">
        <f>ROW(Source!A70)</f>
        <v>70</v>
      </c>
      <c r="B107">
        <v>145033679</v>
      </c>
      <c r="C107">
        <v>145040021</v>
      </c>
      <c r="D107">
        <v>140759991</v>
      </c>
      <c r="E107">
        <v>70</v>
      </c>
      <c r="F107">
        <v>1</v>
      </c>
      <c r="G107">
        <v>1</v>
      </c>
      <c r="H107">
        <v>1</v>
      </c>
      <c r="I107" t="s">
        <v>738</v>
      </c>
      <c r="J107" t="s">
        <v>3</v>
      </c>
      <c r="K107" t="s">
        <v>739</v>
      </c>
      <c r="L107">
        <v>1191</v>
      </c>
      <c r="N107">
        <v>1013</v>
      </c>
      <c r="O107" t="s">
        <v>725</v>
      </c>
      <c r="P107" t="s">
        <v>725</v>
      </c>
      <c r="Q107">
        <v>1</v>
      </c>
      <c r="W107">
        <v>0</v>
      </c>
      <c r="X107">
        <v>-112797078</v>
      </c>
      <c r="Y107">
        <f>(AT107*1.15)</f>
        <v>50.898999999999994</v>
      </c>
      <c r="AA107">
        <v>0</v>
      </c>
      <c r="AB107">
        <v>0</v>
      </c>
      <c r="AC107">
        <v>0</v>
      </c>
      <c r="AD107">
        <v>273.94</v>
      </c>
      <c r="AE107">
        <v>0</v>
      </c>
      <c r="AF107">
        <v>0</v>
      </c>
      <c r="AG107">
        <v>0</v>
      </c>
      <c r="AH107">
        <v>8.9700000000000006</v>
      </c>
      <c r="AI107">
        <v>1</v>
      </c>
      <c r="AJ107">
        <v>1</v>
      </c>
      <c r="AK107">
        <v>1</v>
      </c>
      <c r="AL107">
        <v>30.54</v>
      </c>
      <c r="AM107">
        <v>4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44.26</v>
      </c>
      <c r="AU107" t="s">
        <v>21</v>
      </c>
      <c r="AV107">
        <v>1</v>
      </c>
      <c r="AW107">
        <v>2</v>
      </c>
      <c r="AX107">
        <v>145040022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ROUND(Y107*Source!I70,9)</f>
        <v>118.77790640000001</v>
      </c>
      <c r="CY107">
        <f>AD107</f>
        <v>273.94</v>
      </c>
      <c r="CZ107">
        <f>AH107</f>
        <v>8.9700000000000006</v>
      </c>
      <c r="DA107">
        <f>AL107</f>
        <v>30.54</v>
      </c>
      <c r="DB107">
        <f>ROUND((ROUND(AT107*CZ107,2)*1.15),2)</f>
        <v>456.56</v>
      </c>
      <c r="DC107">
        <f>ROUND((ROUND(AT107*AG107,2)*1.15),2)</f>
        <v>0</v>
      </c>
      <c r="DD107" t="s">
        <v>3</v>
      </c>
      <c r="DE107" t="s">
        <v>3</v>
      </c>
      <c r="DF107">
        <f>ROUND(ROUND(AE107,2)*CX107,2)</f>
        <v>0</v>
      </c>
      <c r="DG107">
        <f>ROUND(ROUND(AF107,2)*CX107,2)</f>
        <v>0</v>
      </c>
      <c r="DH107">
        <f>ROUND(ROUND(AG107,2)*CX107,2)</f>
        <v>0</v>
      </c>
      <c r="DI107">
        <f>ROUND(ROUND(AH107*AL107,2)*CX107,2)</f>
        <v>32538.02</v>
      </c>
      <c r="DJ107">
        <f>DI107</f>
        <v>32538.02</v>
      </c>
      <c r="DK107">
        <v>0</v>
      </c>
      <c r="DL107" t="s">
        <v>3</v>
      </c>
      <c r="DM107">
        <v>0</v>
      </c>
      <c r="DN107" t="s">
        <v>3</v>
      </c>
      <c r="DO107">
        <v>0</v>
      </c>
    </row>
    <row r="108" spans="1:119" x14ac:dyDescent="0.2">
      <c r="A108">
        <f>ROW(Source!A70)</f>
        <v>70</v>
      </c>
      <c r="B108">
        <v>145033679</v>
      </c>
      <c r="C108">
        <v>145040021</v>
      </c>
      <c r="D108">
        <v>140760225</v>
      </c>
      <c r="E108">
        <v>70</v>
      </c>
      <c r="F108">
        <v>1</v>
      </c>
      <c r="G108">
        <v>1</v>
      </c>
      <c r="H108">
        <v>1</v>
      </c>
      <c r="I108" t="s">
        <v>730</v>
      </c>
      <c r="J108" t="s">
        <v>3</v>
      </c>
      <c r="K108" t="s">
        <v>731</v>
      </c>
      <c r="L108">
        <v>1191</v>
      </c>
      <c r="N108">
        <v>1013</v>
      </c>
      <c r="O108" t="s">
        <v>725</v>
      </c>
      <c r="P108" t="s">
        <v>725</v>
      </c>
      <c r="Q108">
        <v>1</v>
      </c>
      <c r="W108">
        <v>0</v>
      </c>
      <c r="X108">
        <v>-1417349443</v>
      </c>
      <c r="Y108">
        <f>(AT108*1.15)</f>
        <v>1.7479999999999998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30.54</v>
      </c>
      <c r="AL108">
        <v>1</v>
      </c>
      <c r="AM108">
        <v>4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1.52</v>
      </c>
      <c r="AU108" t="s">
        <v>21</v>
      </c>
      <c r="AV108">
        <v>2</v>
      </c>
      <c r="AW108">
        <v>2</v>
      </c>
      <c r="AX108">
        <v>145040023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ROUND(Y108*Source!I70,9)</f>
        <v>4.0791328</v>
      </c>
      <c r="CY108">
        <f>AD108</f>
        <v>0</v>
      </c>
      <c r="CZ108">
        <f>AH108</f>
        <v>0</v>
      </c>
      <c r="DA108">
        <f>AL108</f>
        <v>1</v>
      </c>
      <c r="DB108">
        <f>ROUND((ROUND(AT108*CZ108,2)*1.15),2)</f>
        <v>0</v>
      </c>
      <c r="DC108">
        <f>ROUND((ROUND(AT108*AG108,2)*1.15),2)</f>
        <v>0</v>
      </c>
      <c r="DD108" t="s">
        <v>3</v>
      </c>
      <c r="DE108" t="s">
        <v>3</v>
      </c>
      <c r="DF108">
        <f>ROUND(ROUND(AE108,2)*CX108,2)</f>
        <v>0</v>
      </c>
      <c r="DG108">
        <f>ROUND(ROUND(AF108,2)*CX108,2)</f>
        <v>0</v>
      </c>
      <c r="DH108">
        <f>ROUND(ROUND(AG108*AK108,2)*CX108,2)</f>
        <v>0</v>
      </c>
      <c r="DI108">
        <f>ROUND(ROUND(AH108,2)*CX108,2)</f>
        <v>0</v>
      </c>
      <c r="DJ108">
        <f>DI108</f>
        <v>0</v>
      </c>
      <c r="DK108">
        <v>0</v>
      </c>
      <c r="DL108" t="s">
        <v>3</v>
      </c>
      <c r="DM108">
        <v>0</v>
      </c>
      <c r="DN108" t="s">
        <v>3</v>
      </c>
      <c r="DO108">
        <v>0</v>
      </c>
    </row>
    <row r="109" spans="1:119" x14ac:dyDescent="0.2">
      <c r="A109">
        <f>ROW(Source!A70)</f>
        <v>70</v>
      </c>
      <c r="B109">
        <v>145033679</v>
      </c>
      <c r="C109">
        <v>145040021</v>
      </c>
      <c r="D109">
        <v>140923885</v>
      </c>
      <c r="E109">
        <v>1</v>
      </c>
      <c r="F109">
        <v>1</v>
      </c>
      <c r="G109">
        <v>1</v>
      </c>
      <c r="H109">
        <v>2</v>
      </c>
      <c r="I109" t="s">
        <v>732</v>
      </c>
      <c r="J109" t="s">
        <v>733</v>
      </c>
      <c r="K109" t="s">
        <v>734</v>
      </c>
      <c r="L109">
        <v>1367</v>
      </c>
      <c r="N109">
        <v>1011</v>
      </c>
      <c r="O109" t="s">
        <v>79</v>
      </c>
      <c r="P109" t="s">
        <v>79</v>
      </c>
      <c r="Q109">
        <v>1</v>
      </c>
      <c r="W109">
        <v>0</v>
      </c>
      <c r="X109">
        <v>509054691</v>
      </c>
      <c r="Y109">
        <f>(AT109*1.15)</f>
        <v>1.7479999999999998</v>
      </c>
      <c r="AA109">
        <v>0</v>
      </c>
      <c r="AB109">
        <v>797.06</v>
      </c>
      <c r="AC109">
        <v>354.26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12.13</v>
      </c>
      <c r="AK109">
        <v>30.54</v>
      </c>
      <c r="AL109">
        <v>1</v>
      </c>
      <c r="AM109">
        <v>4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1.52</v>
      </c>
      <c r="AU109" t="s">
        <v>21</v>
      </c>
      <c r="AV109">
        <v>0</v>
      </c>
      <c r="AW109">
        <v>2</v>
      </c>
      <c r="AX109">
        <v>145040024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ROUND(Y109*Source!I70,9)</f>
        <v>4.0791328</v>
      </c>
      <c r="CY109">
        <f>AB109</f>
        <v>797.06</v>
      </c>
      <c r="CZ109">
        <f>AF109</f>
        <v>65.709999999999994</v>
      </c>
      <c r="DA109">
        <f>AJ109</f>
        <v>12.13</v>
      </c>
      <c r="DB109">
        <f>ROUND((ROUND(AT109*CZ109,2)*1.15),2)</f>
        <v>114.86</v>
      </c>
      <c r="DC109">
        <f>ROUND((ROUND(AT109*AG109,2)*1.15),2)</f>
        <v>20.27</v>
      </c>
      <c r="DD109" t="s">
        <v>3</v>
      </c>
      <c r="DE109" t="s">
        <v>3</v>
      </c>
      <c r="DF109">
        <f>ROUND(ROUND(AE109,2)*CX109,2)</f>
        <v>0</v>
      </c>
      <c r="DG109">
        <f>ROUND(ROUND(AF109*AJ109,2)*CX109,2)</f>
        <v>3251.31</v>
      </c>
      <c r="DH109">
        <f>ROUND(ROUND(AG109*AK109,2)*CX109,2)</f>
        <v>1445.07</v>
      </c>
      <c r="DI109">
        <f>ROUND(ROUND(AH109,2)*CX109,2)</f>
        <v>0</v>
      </c>
      <c r="DJ109">
        <f>DG109</f>
        <v>3251.31</v>
      </c>
      <c r="DK109">
        <v>0</v>
      </c>
      <c r="DL109" t="s">
        <v>3</v>
      </c>
      <c r="DM109">
        <v>0</v>
      </c>
      <c r="DN109" t="s">
        <v>3</v>
      </c>
      <c r="DO109">
        <v>0</v>
      </c>
    </row>
    <row r="110" spans="1:119" x14ac:dyDescent="0.2">
      <c r="A110">
        <f>ROW(Source!A70)</f>
        <v>70</v>
      </c>
      <c r="B110">
        <v>145033679</v>
      </c>
      <c r="C110">
        <v>145040021</v>
      </c>
      <c r="D110">
        <v>140772680</v>
      </c>
      <c r="E110">
        <v>1</v>
      </c>
      <c r="F110">
        <v>1</v>
      </c>
      <c r="G110">
        <v>1</v>
      </c>
      <c r="H110">
        <v>3</v>
      </c>
      <c r="I110" t="s">
        <v>735</v>
      </c>
      <c r="J110" t="s">
        <v>736</v>
      </c>
      <c r="K110" t="s">
        <v>737</v>
      </c>
      <c r="L110">
        <v>1339</v>
      </c>
      <c r="N110">
        <v>1007</v>
      </c>
      <c r="O110" t="s">
        <v>66</v>
      </c>
      <c r="P110" t="s">
        <v>66</v>
      </c>
      <c r="Q110">
        <v>1</v>
      </c>
      <c r="W110">
        <v>0</v>
      </c>
      <c r="X110">
        <v>-143474561</v>
      </c>
      <c r="Y110">
        <f>AT110</f>
        <v>0</v>
      </c>
      <c r="AA110">
        <v>21.25</v>
      </c>
      <c r="AB110">
        <v>0</v>
      </c>
      <c r="AC110">
        <v>0</v>
      </c>
      <c r="AD110">
        <v>0</v>
      </c>
      <c r="AE110">
        <v>2.44</v>
      </c>
      <c r="AF110">
        <v>0</v>
      </c>
      <c r="AG110">
        <v>0</v>
      </c>
      <c r="AH110">
        <v>0</v>
      </c>
      <c r="AI110">
        <v>8.7100000000000009</v>
      </c>
      <c r="AJ110">
        <v>1</v>
      </c>
      <c r="AK110">
        <v>1</v>
      </c>
      <c r="AL110">
        <v>1</v>
      </c>
      <c r="AM110">
        <v>4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3</v>
      </c>
      <c r="AT110">
        <v>0</v>
      </c>
      <c r="AU110" t="s">
        <v>3</v>
      </c>
      <c r="AV110">
        <v>0</v>
      </c>
      <c r="AW110">
        <v>2</v>
      </c>
      <c r="AX110">
        <v>145040025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ROUND(Y110*Source!I70,9)</f>
        <v>0</v>
      </c>
      <c r="CY110">
        <f>AA110</f>
        <v>21.25</v>
      </c>
      <c r="CZ110">
        <f>AE110</f>
        <v>2.44</v>
      </c>
      <c r="DA110">
        <f>AI110</f>
        <v>8.7100000000000009</v>
      </c>
      <c r="DB110">
        <f>ROUND(ROUND(AT110*CZ110,2),2)</f>
        <v>0</v>
      </c>
      <c r="DC110">
        <f>ROUND(ROUND(AT110*AG110,2),2)</f>
        <v>0</v>
      </c>
      <c r="DD110" t="s">
        <v>3</v>
      </c>
      <c r="DE110" t="s">
        <v>3</v>
      </c>
      <c r="DF110">
        <f>ROUND(ROUND(AE110*AI110,2)*CX110,2)</f>
        <v>0</v>
      </c>
      <c r="DG110">
        <f>ROUND(ROUND(AF110,2)*CX110,2)</f>
        <v>0</v>
      </c>
      <c r="DH110">
        <f>ROUND(ROUND(AG110,2)*CX110,2)</f>
        <v>0</v>
      </c>
      <c r="DI110">
        <f>ROUND(ROUND(AH110,2)*CX110,2)</f>
        <v>0</v>
      </c>
      <c r="DJ110">
        <f>DF110</f>
        <v>0</v>
      </c>
      <c r="DK110">
        <v>0</v>
      </c>
      <c r="DL110" t="s">
        <v>3</v>
      </c>
      <c r="DM110">
        <v>0</v>
      </c>
      <c r="DN110" t="s">
        <v>3</v>
      </c>
      <c r="DO110">
        <v>0</v>
      </c>
    </row>
    <row r="111" spans="1:119" x14ac:dyDescent="0.2">
      <c r="A111">
        <f>ROW(Source!A70)</f>
        <v>70</v>
      </c>
      <c r="B111">
        <v>145033679</v>
      </c>
      <c r="C111">
        <v>145040021</v>
      </c>
      <c r="D111">
        <v>140761147</v>
      </c>
      <c r="E111">
        <v>70</v>
      </c>
      <c r="F111">
        <v>1</v>
      </c>
      <c r="G111">
        <v>1</v>
      </c>
      <c r="H111">
        <v>3</v>
      </c>
      <c r="I111" t="s">
        <v>740</v>
      </c>
      <c r="J111" t="s">
        <v>3</v>
      </c>
      <c r="K111" t="s">
        <v>741</v>
      </c>
      <c r="L111">
        <v>1346</v>
      </c>
      <c r="N111">
        <v>1009</v>
      </c>
      <c r="O111" t="s">
        <v>43</v>
      </c>
      <c r="P111" t="s">
        <v>43</v>
      </c>
      <c r="Q111">
        <v>1</v>
      </c>
      <c r="W111">
        <v>0</v>
      </c>
      <c r="X111">
        <v>-1123584527</v>
      </c>
      <c r="Y111">
        <f>AT111</f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8.7100000000000009</v>
      </c>
      <c r="AJ111">
        <v>1</v>
      </c>
      <c r="AK111">
        <v>1</v>
      </c>
      <c r="AL111">
        <v>1</v>
      </c>
      <c r="AM111">
        <v>4</v>
      </c>
      <c r="AN111">
        <v>1</v>
      </c>
      <c r="AO111">
        <v>0</v>
      </c>
      <c r="AP111">
        <v>0</v>
      </c>
      <c r="AQ111">
        <v>0</v>
      </c>
      <c r="AR111">
        <v>0</v>
      </c>
      <c r="AS111" t="s">
        <v>3</v>
      </c>
      <c r="AT111">
        <v>0</v>
      </c>
      <c r="AU111" t="s">
        <v>3</v>
      </c>
      <c r="AV111">
        <v>0</v>
      </c>
      <c r="AW111">
        <v>2</v>
      </c>
      <c r="AX111">
        <v>145040026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ROUND(Y111*Source!I70,9)</f>
        <v>0</v>
      </c>
      <c r="CY111">
        <f>AA111</f>
        <v>0</v>
      </c>
      <c r="CZ111">
        <f>AE111</f>
        <v>0</v>
      </c>
      <c r="DA111">
        <f>AI111</f>
        <v>8.7100000000000009</v>
      </c>
      <c r="DB111">
        <f>ROUND(ROUND(AT111*CZ111,2),2)</f>
        <v>0</v>
      </c>
      <c r="DC111">
        <f>ROUND(ROUND(AT111*AG111,2),2)</f>
        <v>0</v>
      </c>
      <c r="DD111" t="s">
        <v>3</v>
      </c>
      <c r="DE111" t="s">
        <v>3</v>
      </c>
      <c r="DF111">
        <f>ROUND(ROUND(AE111*AI111,2)*CX111,2)</f>
        <v>0</v>
      </c>
      <c r="DG111">
        <f>ROUND(ROUND(AF111,2)*CX111,2)</f>
        <v>0</v>
      </c>
      <c r="DH111">
        <f>ROUND(ROUND(AG111,2)*CX111,2)</f>
        <v>0</v>
      </c>
      <c r="DI111">
        <f>ROUND(ROUND(AH111,2)*CX111,2)</f>
        <v>0</v>
      </c>
      <c r="DJ111">
        <f>DF111</f>
        <v>0</v>
      </c>
      <c r="DK111">
        <v>0</v>
      </c>
      <c r="DL111" t="s">
        <v>3</v>
      </c>
      <c r="DM111">
        <v>0</v>
      </c>
      <c r="DN111" t="s">
        <v>3</v>
      </c>
      <c r="DO111">
        <v>0</v>
      </c>
    </row>
    <row r="112" spans="1:119" x14ac:dyDescent="0.2">
      <c r="A112">
        <f>ROW(Source!A70)</f>
        <v>70</v>
      </c>
      <c r="B112">
        <v>145033679</v>
      </c>
      <c r="C112">
        <v>145040021</v>
      </c>
      <c r="D112">
        <v>140803795</v>
      </c>
      <c r="E112">
        <v>1</v>
      </c>
      <c r="F112">
        <v>1</v>
      </c>
      <c r="G112">
        <v>1</v>
      </c>
      <c r="H112">
        <v>3</v>
      </c>
      <c r="I112" t="s">
        <v>742</v>
      </c>
      <c r="J112" t="s">
        <v>743</v>
      </c>
      <c r="K112" t="s">
        <v>744</v>
      </c>
      <c r="L112">
        <v>1296</v>
      </c>
      <c r="N112">
        <v>1002</v>
      </c>
      <c r="O112" t="s">
        <v>147</v>
      </c>
      <c r="P112" t="s">
        <v>147</v>
      </c>
      <c r="Q112">
        <v>1</v>
      </c>
      <c r="W112">
        <v>0</v>
      </c>
      <c r="X112">
        <v>-344767669</v>
      </c>
      <c r="Y112">
        <f>AT112</f>
        <v>0</v>
      </c>
      <c r="AA112">
        <v>408.15</v>
      </c>
      <c r="AB112">
        <v>0</v>
      </c>
      <c r="AC112">
        <v>0</v>
      </c>
      <c r="AD112">
        <v>0</v>
      </c>
      <c r="AE112">
        <v>46.86</v>
      </c>
      <c r="AF112">
        <v>0</v>
      </c>
      <c r="AG112">
        <v>0</v>
      </c>
      <c r="AH112">
        <v>0</v>
      </c>
      <c r="AI112">
        <v>8.7100000000000009</v>
      </c>
      <c r="AJ112">
        <v>1</v>
      </c>
      <c r="AK112">
        <v>1</v>
      </c>
      <c r="AL112">
        <v>1</v>
      </c>
      <c r="AM112">
        <v>4</v>
      </c>
      <c r="AN112">
        <v>1</v>
      </c>
      <c r="AO112">
        <v>0</v>
      </c>
      <c r="AP112">
        <v>0</v>
      </c>
      <c r="AQ112">
        <v>0</v>
      </c>
      <c r="AR112">
        <v>0</v>
      </c>
      <c r="AS112" t="s">
        <v>3</v>
      </c>
      <c r="AT112">
        <v>0</v>
      </c>
      <c r="AU112" t="s">
        <v>3</v>
      </c>
      <c r="AV112">
        <v>0</v>
      </c>
      <c r="AW112">
        <v>2</v>
      </c>
      <c r="AX112">
        <v>145040027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ROUND(Y112*Source!I70,9)</f>
        <v>0</v>
      </c>
      <c r="CY112">
        <f>AA112</f>
        <v>408.15</v>
      </c>
      <c r="CZ112">
        <f>AE112</f>
        <v>46.86</v>
      </c>
      <c r="DA112">
        <f>AI112</f>
        <v>8.7100000000000009</v>
      </c>
      <c r="DB112">
        <f>ROUND(ROUND(AT112*CZ112,2),2)</f>
        <v>0</v>
      </c>
      <c r="DC112">
        <f>ROUND(ROUND(AT112*AG112,2),2)</f>
        <v>0</v>
      </c>
      <c r="DD112" t="s">
        <v>3</v>
      </c>
      <c r="DE112" t="s">
        <v>3</v>
      </c>
      <c r="DF112">
        <f>ROUND(ROUND(AE112*AI112,2)*CX112,2)</f>
        <v>0</v>
      </c>
      <c r="DG112">
        <f>ROUND(ROUND(AF112,2)*CX112,2)</f>
        <v>0</v>
      </c>
      <c r="DH112">
        <f>ROUND(ROUND(AG112,2)*CX112,2)</f>
        <v>0</v>
      </c>
      <c r="DI112">
        <f>ROUND(ROUND(AH112,2)*CX112,2)</f>
        <v>0</v>
      </c>
      <c r="DJ112">
        <f>DF112</f>
        <v>0</v>
      </c>
      <c r="DK112">
        <v>0</v>
      </c>
      <c r="DL112" t="s">
        <v>3</v>
      </c>
      <c r="DM112">
        <v>0</v>
      </c>
      <c r="DN112" t="s">
        <v>3</v>
      </c>
      <c r="DO112">
        <v>0</v>
      </c>
    </row>
    <row r="113" spans="1:119" x14ac:dyDescent="0.2">
      <c r="A113">
        <f>ROW(Source!A71)</f>
        <v>71</v>
      </c>
      <c r="B113">
        <v>145033679</v>
      </c>
      <c r="C113">
        <v>145040146</v>
      </c>
      <c r="D113">
        <v>140759991</v>
      </c>
      <c r="E113">
        <v>70</v>
      </c>
      <c r="F113">
        <v>1</v>
      </c>
      <c r="G113">
        <v>1</v>
      </c>
      <c r="H113">
        <v>1</v>
      </c>
      <c r="I113" t="s">
        <v>738</v>
      </c>
      <c r="J113" t="s">
        <v>3</v>
      </c>
      <c r="K113" t="s">
        <v>739</v>
      </c>
      <c r="L113">
        <v>1191</v>
      </c>
      <c r="N113">
        <v>1013</v>
      </c>
      <c r="O113" t="s">
        <v>725</v>
      </c>
      <c r="P113" t="s">
        <v>725</v>
      </c>
      <c r="Q113">
        <v>1</v>
      </c>
      <c r="W113">
        <v>0</v>
      </c>
      <c r="X113">
        <v>-112797078</v>
      </c>
      <c r="Y113">
        <f>(AT113*1.15)</f>
        <v>4.6229999999999993</v>
      </c>
      <c r="AA113">
        <v>0</v>
      </c>
      <c r="AB113">
        <v>0</v>
      </c>
      <c r="AC113">
        <v>0</v>
      </c>
      <c r="AD113">
        <v>273.94</v>
      </c>
      <c r="AE113">
        <v>0</v>
      </c>
      <c r="AF113">
        <v>0</v>
      </c>
      <c r="AG113">
        <v>0</v>
      </c>
      <c r="AH113">
        <v>8.9700000000000006</v>
      </c>
      <c r="AI113">
        <v>1</v>
      </c>
      <c r="AJ113">
        <v>1</v>
      </c>
      <c r="AK113">
        <v>1</v>
      </c>
      <c r="AL113">
        <v>30.54</v>
      </c>
      <c r="AM113">
        <v>4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4.0199999999999996</v>
      </c>
      <c r="AU113" t="s">
        <v>21</v>
      </c>
      <c r="AV113">
        <v>1</v>
      </c>
      <c r="AW113">
        <v>2</v>
      </c>
      <c r="AX113">
        <v>145040147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ROUND(Y113*Source!I71,9)</f>
        <v>-10.788232799999999</v>
      </c>
      <c r="CY113">
        <f>AD113</f>
        <v>273.94</v>
      </c>
      <c r="CZ113">
        <f>AH113</f>
        <v>8.9700000000000006</v>
      </c>
      <c r="DA113">
        <f>AL113</f>
        <v>30.54</v>
      </c>
      <c r="DB113">
        <f>ROUND((ROUND(AT113*CZ113,2)*1.15),2)</f>
        <v>41.47</v>
      </c>
      <c r="DC113">
        <f>ROUND((ROUND(AT113*AG113,2)*1.15),2)</f>
        <v>0</v>
      </c>
      <c r="DD113" t="s">
        <v>3</v>
      </c>
      <c r="DE113" t="s">
        <v>3</v>
      </c>
      <c r="DF113">
        <f>ROUND(ROUND(AE113,2)*CX113,2)</f>
        <v>0</v>
      </c>
      <c r="DG113">
        <f>ROUND(ROUND(AF113,2)*CX113,2)</f>
        <v>0</v>
      </c>
      <c r="DH113">
        <f>ROUND(ROUND(AG113,2)*CX113,2)</f>
        <v>0</v>
      </c>
      <c r="DI113">
        <f>ROUND(ROUND(AH113*AL113,2)*CX113,2)</f>
        <v>-2955.33</v>
      </c>
      <c r="DJ113">
        <f>DI113</f>
        <v>-2955.33</v>
      </c>
      <c r="DK113">
        <v>0</v>
      </c>
      <c r="DL113" t="s">
        <v>3</v>
      </c>
      <c r="DM113">
        <v>0</v>
      </c>
      <c r="DN113" t="s">
        <v>3</v>
      </c>
      <c r="DO113">
        <v>0</v>
      </c>
    </row>
    <row r="114" spans="1:119" x14ac:dyDescent="0.2">
      <c r="A114">
        <f>ROW(Source!A71)</f>
        <v>71</v>
      </c>
      <c r="B114">
        <v>145033679</v>
      </c>
      <c r="C114">
        <v>145040146</v>
      </c>
      <c r="D114">
        <v>140760225</v>
      </c>
      <c r="E114">
        <v>70</v>
      </c>
      <c r="F114">
        <v>1</v>
      </c>
      <c r="G114">
        <v>1</v>
      </c>
      <c r="H114">
        <v>1</v>
      </c>
      <c r="I114" t="s">
        <v>730</v>
      </c>
      <c r="J114" t="s">
        <v>3</v>
      </c>
      <c r="K114" t="s">
        <v>731</v>
      </c>
      <c r="L114">
        <v>1191</v>
      </c>
      <c r="N114">
        <v>1013</v>
      </c>
      <c r="O114" t="s">
        <v>725</v>
      </c>
      <c r="P114" t="s">
        <v>725</v>
      </c>
      <c r="Q114">
        <v>1</v>
      </c>
      <c r="W114">
        <v>0</v>
      </c>
      <c r="X114">
        <v>-1417349443</v>
      </c>
      <c r="Y114">
        <f>(AT114*1.15)</f>
        <v>0.43699999999999994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30.54</v>
      </c>
      <c r="AL114">
        <v>1</v>
      </c>
      <c r="AM114">
        <v>4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0.38</v>
      </c>
      <c r="AU114" t="s">
        <v>21</v>
      </c>
      <c r="AV114">
        <v>2</v>
      </c>
      <c r="AW114">
        <v>2</v>
      </c>
      <c r="AX114">
        <v>145040148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ROUND(Y114*Source!I71,9)</f>
        <v>-1.0197832</v>
      </c>
      <c r="CY114">
        <f>AD114</f>
        <v>0</v>
      </c>
      <c r="CZ114">
        <f>AH114</f>
        <v>0</v>
      </c>
      <c r="DA114">
        <f>AL114</f>
        <v>1</v>
      </c>
      <c r="DB114">
        <f>ROUND((ROUND(AT114*CZ114,2)*1.15),2)</f>
        <v>0</v>
      </c>
      <c r="DC114">
        <f>ROUND((ROUND(AT114*AG114,2)*1.15),2)</f>
        <v>0</v>
      </c>
      <c r="DD114" t="s">
        <v>3</v>
      </c>
      <c r="DE114" t="s">
        <v>3</v>
      </c>
      <c r="DF114">
        <f>ROUND(ROUND(AE114,2)*CX114,2)</f>
        <v>0</v>
      </c>
      <c r="DG114">
        <f>ROUND(ROUND(AF114,2)*CX114,2)</f>
        <v>0</v>
      </c>
      <c r="DH114">
        <f>ROUND(ROUND(AG114*AK114,2)*CX114,2)</f>
        <v>0</v>
      </c>
      <c r="DI114">
        <f>ROUND(ROUND(AH114,2)*CX114,2)</f>
        <v>0</v>
      </c>
      <c r="DJ114">
        <f>DI114</f>
        <v>0</v>
      </c>
      <c r="DK114">
        <v>0</v>
      </c>
      <c r="DL114" t="s">
        <v>3</v>
      </c>
      <c r="DM114">
        <v>0</v>
      </c>
      <c r="DN114" t="s">
        <v>3</v>
      </c>
      <c r="DO114">
        <v>0</v>
      </c>
    </row>
    <row r="115" spans="1:119" x14ac:dyDescent="0.2">
      <c r="A115">
        <f>ROW(Source!A71)</f>
        <v>71</v>
      </c>
      <c r="B115">
        <v>145033679</v>
      </c>
      <c r="C115">
        <v>145040146</v>
      </c>
      <c r="D115">
        <v>140923885</v>
      </c>
      <c r="E115">
        <v>1</v>
      </c>
      <c r="F115">
        <v>1</v>
      </c>
      <c r="G115">
        <v>1</v>
      </c>
      <c r="H115">
        <v>2</v>
      </c>
      <c r="I115" t="s">
        <v>732</v>
      </c>
      <c r="J115" t="s">
        <v>733</v>
      </c>
      <c r="K115" t="s">
        <v>734</v>
      </c>
      <c r="L115">
        <v>1367</v>
      </c>
      <c r="N115">
        <v>1011</v>
      </c>
      <c r="O115" t="s">
        <v>79</v>
      </c>
      <c r="P115" t="s">
        <v>79</v>
      </c>
      <c r="Q115">
        <v>1</v>
      </c>
      <c r="W115">
        <v>0</v>
      </c>
      <c r="X115">
        <v>509054691</v>
      </c>
      <c r="Y115">
        <f>(AT115*1.15)</f>
        <v>0.43699999999999994</v>
      </c>
      <c r="AA115">
        <v>0</v>
      </c>
      <c r="AB115">
        <v>797.06</v>
      </c>
      <c r="AC115">
        <v>354.26</v>
      </c>
      <c r="AD115">
        <v>0</v>
      </c>
      <c r="AE115">
        <v>0</v>
      </c>
      <c r="AF115">
        <v>65.709999999999994</v>
      </c>
      <c r="AG115">
        <v>11.6</v>
      </c>
      <c r="AH115">
        <v>0</v>
      </c>
      <c r="AI115">
        <v>1</v>
      </c>
      <c r="AJ115">
        <v>12.13</v>
      </c>
      <c r="AK115">
        <v>30.54</v>
      </c>
      <c r="AL115">
        <v>1</v>
      </c>
      <c r="AM115">
        <v>4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0.38</v>
      </c>
      <c r="AU115" t="s">
        <v>21</v>
      </c>
      <c r="AV115">
        <v>0</v>
      </c>
      <c r="AW115">
        <v>2</v>
      </c>
      <c r="AX115">
        <v>145040149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ROUND(Y115*Source!I71,9)</f>
        <v>-1.0197832</v>
      </c>
      <c r="CY115">
        <f>AB115</f>
        <v>797.06</v>
      </c>
      <c r="CZ115">
        <f>AF115</f>
        <v>65.709999999999994</v>
      </c>
      <c r="DA115">
        <f>AJ115</f>
        <v>12.13</v>
      </c>
      <c r="DB115">
        <f>ROUND((ROUND(AT115*CZ115,2)*1.15),2)</f>
        <v>28.72</v>
      </c>
      <c r="DC115">
        <f>ROUND((ROUND(AT115*AG115,2)*1.15),2)</f>
        <v>5.07</v>
      </c>
      <c r="DD115" t="s">
        <v>3</v>
      </c>
      <c r="DE115" t="s">
        <v>3</v>
      </c>
      <c r="DF115">
        <f>ROUND(ROUND(AE115,2)*CX115,2)</f>
        <v>0</v>
      </c>
      <c r="DG115">
        <f>ROUND(ROUND(AF115*AJ115,2)*CX115,2)</f>
        <v>-812.83</v>
      </c>
      <c r="DH115">
        <f>ROUND(ROUND(AG115*AK115,2)*CX115,2)</f>
        <v>-361.27</v>
      </c>
      <c r="DI115">
        <f>ROUND(ROUND(AH115,2)*CX115,2)</f>
        <v>0</v>
      </c>
      <c r="DJ115">
        <f>DG115</f>
        <v>-812.83</v>
      </c>
      <c r="DK115">
        <v>0</v>
      </c>
      <c r="DL115" t="s">
        <v>3</v>
      </c>
      <c r="DM115">
        <v>0</v>
      </c>
      <c r="DN115" t="s">
        <v>3</v>
      </c>
      <c r="DO115">
        <v>0</v>
      </c>
    </row>
    <row r="116" spans="1:119" x14ac:dyDescent="0.2">
      <c r="A116">
        <f>ROW(Source!A71)</f>
        <v>71</v>
      </c>
      <c r="B116">
        <v>145033679</v>
      </c>
      <c r="C116">
        <v>145040146</v>
      </c>
      <c r="D116">
        <v>140772680</v>
      </c>
      <c r="E116">
        <v>1</v>
      </c>
      <c r="F116">
        <v>1</v>
      </c>
      <c r="G116">
        <v>1</v>
      </c>
      <c r="H116">
        <v>3</v>
      </c>
      <c r="I116" t="s">
        <v>735</v>
      </c>
      <c r="J116" t="s">
        <v>736</v>
      </c>
      <c r="K116" t="s">
        <v>737</v>
      </c>
      <c r="L116">
        <v>1339</v>
      </c>
      <c r="N116">
        <v>1007</v>
      </c>
      <c r="O116" t="s">
        <v>66</v>
      </c>
      <c r="P116" t="s">
        <v>66</v>
      </c>
      <c r="Q116">
        <v>1</v>
      </c>
      <c r="W116">
        <v>0</v>
      </c>
      <c r="X116">
        <v>-143474561</v>
      </c>
      <c r="Y116">
        <f>AT116</f>
        <v>0</v>
      </c>
      <c r="AA116">
        <v>21.25</v>
      </c>
      <c r="AB116">
        <v>0</v>
      </c>
      <c r="AC116">
        <v>0</v>
      </c>
      <c r="AD116">
        <v>0</v>
      </c>
      <c r="AE116">
        <v>2.44</v>
      </c>
      <c r="AF116">
        <v>0</v>
      </c>
      <c r="AG116">
        <v>0</v>
      </c>
      <c r="AH116">
        <v>0</v>
      </c>
      <c r="AI116">
        <v>8.7100000000000009</v>
      </c>
      <c r="AJ116">
        <v>1</v>
      </c>
      <c r="AK116">
        <v>1</v>
      </c>
      <c r="AL116">
        <v>1</v>
      </c>
      <c r="AM116">
        <v>4</v>
      </c>
      <c r="AN116">
        <v>1</v>
      </c>
      <c r="AO116">
        <v>0</v>
      </c>
      <c r="AP116">
        <v>0</v>
      </c>
      <c r="AQ116">
        <v>0</v>
      </c>
      <c r="AR116">
        <v>0</v>
      </c>
      <c r="AS116" t="s">
        <v>3</v>
      </c>
      <c r="AT116">
        <v>0</v>
      </c>
      <c r="AU116" t="s">
        <v>3</v>
      </c>
      <c r="AV116">
        <v>0</v>
      </c>
      <c r="AW116">
        <v>2</v>
      </c>
      <c r="AX116">
        <v>145040150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ROUND(Y116*Source!I71,9)</f>
        <v>0</v>
      </c>
      <c r="CY116">
        <f>AA116</f>
        <v>21.25</v>
      </c>
      <c r="CZ116">
        <f>AE116</f>
        <v>2.44</v>
      </c>
      <c r="DA116">
        <f>AI116</f>
        <v>8.7100000000000009</v>
      </c>
      <c r="DB116">
        <f>ROUND(ROUND(AT116*CZ116,2),2)</f>
        <v>0</v>
      </c>
      <c r="DC116">
        <f>ROUND(ROUND(AT116*AG116,2),2)</f>
        <v>0</v>
      </c>
      <c r="DD116" t="s">
        <v>3</v>
      </c>
      <c r="DE116" t="s">
        <v>3</v>
      </c>
      <c r="DF116">
        <f>ROUND(ROUND(AE116*AI116,2)*CX116,2)</f>
        <v>0</v>
      </c>
      <c r="DG116">
        <f>ROUND(ROUND(AF116,2)*CX116,2)</f>
        <v>0</v>
      </c>
      <c r="DH116">
        <f>ROUND(ROUND(AG116,2)*CX116,2)</f>
        <v>0</v>
      </c>
      <c r="DI116">
        <f>ROUND(ROUND(AH116,2)*CX116,2)</f>
        <v>0</v>
      </c>
      <c r="DJ116">
        <f>DF116</f>
        <v>0</v>
      </c>
      <c r="DK116">
        <v>0</v>
      </c>
      <c r="DL116" t="s">
        <v>3</v>
      </c>
      <c r="DM116">
        <v>0</v>
      </c>
      <c r="DN116" t="s">
        <v>3</v>
      </c>
      <c r="DO116">
        <v>0</v>
      </c>
    </row>
    <row r="117" spans="1:119" x14ac:dyDescent="0.2">
      <c r="A117">
        <f>ROW(Source!A71)</f>
        <v>71</v>
      </c>
      <c r="B117">
        <v>145033679</v>
      </c>
      <c r="C117">
        <v>145040146</v>
      </c>
      <c r="D117">
        <v>140761147</v>
      </c>
      <c r="E117">
        <v>70</v>
      </c>
      <c r="F117">
        <v>1</v>
      </c>
      <c r="G117">
        <v>1</v>
      </c>
      <c r="H117">
        <v>3</v>
      </c>
      <c r="I117" t="s">
        <v>740</v>
      </c>
      <c r="J117" t="s">
        <v>3</v>
      </c>
      <c r="K117" t="s">
        <v>741</v>
      </c>
      <c r="L117">
        <v>1346</v>
      </c>
      <c r="N117">
        <v>1009</v>
      </c>
      <c r="O117" t="s">
        <v>43</v>
      </c>
      <c r="P117" t="s">
        <v>43</v>
      </c>
      <c r="Q117">
        <v>1</v>
      </c>
      <c r="W117">
        <v>0</v>
      </c>
      <c r="X117">
        <v>-1123584527</v>
      </c>
      <c r="Y117">
        <f>AT117</f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8.7100000000000009</v>
      </c>
      <c r="AJ117">
        <v>1</v>
      </c>
      <c r="AK117">
        <v>1</v>
      </c>
      <c r="AL117">
        <v>1</v>
      </c>
      <c r="AM117">
        <v>4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3</v>
      </c>
      <c r="AT117">
        <v>0</v>
      </c>
      <c r="AU117" t="s">
        <v>3</v>
      </c>
      <c r="AV117">
        <v>0</v>
      </c>
      <c r="AW117">
        <v>2</v>
      </c>
      <c r="AX117">
        <v>145040151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ROUND(Y117*Source!I71,9)</f>
        <v>0</v>
      </c>
      <c r="CY117">
        <f>AA117</f>
        <v>0</v>
      </c>
      <c r="CZ117">
        <f>AE117</f>
        <v>0</v>
      </c>
      <c r="DA117">
        <f>AI117</f>
        <v>8.7100000000000009</v>
      </c>
      <c r="DB117">
        <f>ROUND(ROUND(AT117*CZ117,2),2)</f>
        <v>0</v>
      </c>
      <c r="DC117">
        <f>ROUND(ROUND(AT117*AG117,2),2)</f>
        <v>0</v>
      </c>
      <c r="DD117" t="s">
        <v>3</v>
      </c>
      <c r="DE117" t="s">
        <v>3</v>
      </c>
      <c r="DF117">
        <f>ROUND(ROUND(AE117*AI117,2)*CX117,2)</f>
        <v>0</v>
      </c>
      <c r="DG117">
        <f>ROUND(ROUND(AF117,2)*CX117,2)</f>
        <v>0</v>
      </c>
      <c r="DH117">
        <f>ROUND(ROUND(AG117,2)*CX117,2)</f>
        <v>0</v>
      </c>
      <c r="DI117">
        <f>ROUND(ROUND(AH117,2)*CX117,2)</f>
        <v>0</v>
      </c>
      <c r="DJ117">
        <f>DF117</f>
        <v>0</v>
      </c>
      <c r="DK117">
        <v>0</v>
      </c>
      <c r="DL117" t="s">
        <v>3</v>
      </c>
      <c r="DM117">
        <v>0</v>
      </c>
      <c r="DN117" t="s">
        <v>3</v>
      </c>
      <c r="DO117">
        <v>0</v>
      </c>
    </row>
    <row r="118" spans="1:119" x14ac:dyDescent="0.2">
      <c r="A118">
        <f>ROW(Source!A72)</f>
        <v>72</v>
      </c>
      <c r="B118">
        <v>145033679</v>
      </c>
      <c r="C118">
        <v>145040052</v>
      </c>
      <c r="D118">
        <v>140759979</v>
      </c>
      <c r="E118">
        <v>70</v>
      </c>
      <c r="F118">
        <v>1</v>
      </c>
      <c r="G118">
        <v>1</v>
      </c>
      <c r="H118">
        <v>1</v>
      </c>
      <c r="I118" t="s">
        <v>745</v>
      </c>
      <c r="J118" t="s">
        <v>3</v>
      </c>
      <c r="K118" t="s">
        <v>746</v>
      </c>
      <c r="L118">
        <v>1191</v>
      </c>
      <c r="N118">
        <v>1013</v>
      </c>
      <c r="O118" t="s">
        <v>725</v>
      </c>
      <c r="P118" t="s">
        <v>725</v>
      </c>
      <c r="Q118">
        <v>1</v>
      </c>
      <c r="W118">
        <v>0</v>
      </c>
      <c r="X118">
        <v>1049124552</v>
      </c>
      <c r="Y118">
        <f t="shared" ref="Y118:Y125" si="32">(AT118*1.15)</f>
        <v>6.1294999999999993</v>
      </c>
      <c r="AA118">
        <v>0</v>
      </c>
      <c r="AB118">
        <v>0</v>
      </c>
      <c r="AC118">
        <v>0</v>
      </c>
      <c r="AD118">
        <v>260.51</v>
      </c>
      <c r="AE118">
        <v>0</v>
      </c>
      <c r="AF118">
        <v>0</v>
      </c>
      <c r="AG118">
        <v>0</v>
      </c>
      <c r="AH118">
        <v>8.5299999999999994</v>
      </c>
      <c r="AI118">
        <v>1</v>
      </c>
      <c r="AJ118">
        <v>1</v>
      </c>
      <c r="AK118">
        <v>1</v>
      </c>
      <c r="AL118">
        <v>30.54</v>
      </c>
      <c r="AM118">
        <v>4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5.33</v>
      </c>
      <c r="AU118" t="s">
        <v>21</v>
      </c>
      <c r="AV118">
        <v>1</v>
      </c>
      <c r="AW118">
        <v>2</v>
      </c>
      <c r="AX118">
        <v>145040053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ROUND(Y118*Source!I72,9)</f>
        <v>21.4557018</v>
      </c>
      <c r="CY118">
        <f>AD118</f>
        <v>260.51</v>
      </c>
      <c r="CZ118">
        <f>AH118</f>
        <v>8.5299999999999994</v>
      </c>
      <c r="DA118">
        <f>AL118</f>
        <v>30.54</v>
      </c>
      <c r="DB118">
        <f t="shared" ref="DB118:DB125" si="33">ROUND((ROUND(AT118*CZ118,2)*1.15),2)</f>
        <v>52.28</v>
      </c>
      <c r="DC118">
        <f t="shared" ref="DC118:DC125" si="34">ROUND((ROUND(AT118*AG118,2)*1.15),2)</f>
        <v>0</v>
      </c>
      <c r="DD118" t="s">
        <v>3</v>
      </c>
      <c r="DE118" t="s">
        <v>3</v>
      </c>
      <c r="DF118">
        <f t="shared" ref="DF118:DF125" si="35">ROUND(ROUND(AE118,2)*CX118,2)</f>
        <v>0</v>
      </c>
      <c r="DG118">
        <f>ROUND(ROUND(AF118,2)*CX118,2)</f>
        <v>0</v>
      </c>
      <c r="DH118">
        <f>ROUND(ROUND(AG118,2)*CX118,2)</f>
        <v>0</v>
      </c>
      <c r="DI118">
        <f>ROUND(ROUND(AH118*AL118,2)*CX118,2)</f>
        <v>5589.42</v>
      </c>
      <c r="DJ118">
        <f>DI118</f>
        <v>5589.42</v>
      </c>
      <c r="DK118">
        <v>0</v>
      </c>
      <c r="DL118" t="s">
        <v>3</v>
      </c>
      <c r="DM118">
        <v>0</v>
      </c>
      <c r="DN118" t="s">
        <v>3</v>
      </c>
      <c r="DO118">
        <v>0</v>
      </c>
    </row>
    <row r="119" spans="1:119" x14ac:dyDescent="0.2">
      <c r="A119">
        <f>ROW(Source!A72)</f>
        <v>72</v>
      </c>
      <c r="B119">
        <v>145033679</v>
      </c>
      <c r="C119">
        <v>145040052</v>
      </c>
      <c r="D119">
        <v>140760225</v>
      </c>
      <c r="E119">
        <v>70</v>
      </c>
      <c r="F119">
        <v>1</v>
      </c>
      <c r="G119">
        <v>1</v>
      </c>
      <c r="H119">
        <v>1</v>
      </c>
      <c r="I119" t="s">
        <v>730</v>
      </c>
      <c r="J119" t="s">
        <v>3</v>
      </c>
      <c r="K119" t="s">
        <v>731</v>
      </c>
      <c r="L119">
        <v>1191</v>
      </c>
      <c r="N119">
        <v>1013</v>
      </c>
      <c r="O119" t="s">
        <v>725</v>
      </c>
      <c r="P119" t="s">
        <v>725</v>
      </c>
      <c r="Q119">
        <v>1</v>
      </c>
      <c r="W119">
        <v>0</v>
      </c>
      <c r="X119">
        <v>-1417349443</v>
      </c>
      <c r="Y119">
        <f t="shared" si="32"/>
        <v>4.0939999999999994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30.54</v>
      </c>
      <c r="AL119">
        <v>1</v>
      </c>
      <c r="AM119">
        <v>4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3.56</v>
      </c>
      <c r="AU119" t="s">
        <v>21</v>
      </c>
      <c r="AV119">
        <v>2</v>
      </c>
      <c r="AW119">
        <v>2</v>
      </c>
      <c r="AX119">
        <v>145040054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ROUND(Y119*Source!I72,9)</f>
        <v>14.330637599999999</v>
      </c>
      <c r="CY119">
        <f>AD119</f>
        <v>0</v>
      </c>
      <c r="CZ119">
        <f>AH119</f>
        <v>0</v>
      </c>
      <c r="DA119">
        <f>AL119</f>
        <v>1</v>
      </c>
      <c r="DB119">
        <f t="shared" si="33"/>
        <v>0</v>
      </c>
      <c r="DC119">
        <f t="shared" si="34"/>
        <v>0</v>
      </c>
      <c r="DD119" t="s">
        <v>3</v>
      </c>
      <c r="DE119" t="s">
        <v>3</v>
      </c>
      <c r="DF119">
        <f t="shared" si="35"/>
        <v>0</v>
      </c>
      <c r="DG119">
        <f>ROUND(ROUND(AF119,2)*CX119,2)</f>
        <v>0</v>
      </c>
      <c r="DH119">
        <f>ROUND(ROUND(AG119*AK119,2)*CX119,2)</f>
        <v>0</v>
      </c>
      <c r="DI119">
        <f>ROUND(ROUND(AH119,2)*CX119,2)</f>
        <v>0</v>
      </c>
      <c r="DJ119">
        <f>DI119</f>
        <v>0</v>
      </c>
      <c r="DK119">
        <v>0</v>
      </c>
      <c r="DL119" t="s">
        <v>3</v>
      </c>
      <c r="DM119">
        <v>0</v>
      </c>
      <c r="DN119" t="s">
        <v>3</v>
      </c>
      <c r="DO119">
        <v>0</v>
      </c>
    </row>
    <row r="120" spans="1:119" x14ac:dyDescent="0.2">
      <c r="A120">
        <f>ROW(Source!A72)</f>
        <v>72</v>
      </c>
      <c r="B120">
        <v>145033679</v>
      </c>
      <c r="C120">
        <v>145040052</v>
      </c>
      <c r="D120">
        <v>140923268</v>
      </c>
      <c r="E120">
        <v>1</v>
      </c>
      <c r="F120">
        <v>1</v>
      </c>
      <c r="G120">
        <v>1</v>
      </c>
      <c r="H120">
        <v>2</v>
      </c>
      <c r="I120" t="s">
        <v>837</v>
      </c>
      <c r="J120" t="s">
        <v>838</v>
      </c>
      <c r="K120" t="s">
        <v>839</v>
      </c>
      <c r="L120">
        <v>1367</v>
      </c>
      <c r="N120">
        <v>1011</v>
      </c>
      <c r="O120" t="s">
        <v>79</v>
      </c>
      <c r="P120" t="s">
        <v>79</v>
      </c>
      <c r="Q120">
        <v>1</v>
      </c>
      <c r="W120">
        <v>0</v>
      </c>
      <c r="X120">
        <v>1385328552</v>
      </c>
      <c r="Y120">
        <f t="shared" si="32"/>
        <v>4.0939999999999994</v>
      </c>
      <c r="AA120">
        <v>0</v>
      </c>
      <c r="AB120">
        <v>150.29</v>
      </c>
      <c r="AC120">
        <v>307.23</v>
      </c>
      <c r="AD120">
        <v>0</v>
      </c>
      <c r="AE120">
        <v>0</v>
      </c>
      <c r="AF120">
        <v>12.39</v>
      </c>
      <c r="AG120">
        <v>10.06</v>
      </c>
      <c r="AH120">
        <v>0</v>
      </c>
      <c r="AI120">
        <v>1</v>
      </c>
      <c r="AJ120">
        <v>12.13</v>
      </c>
      <c r="AK120">
        <v>30.54</v>
      </c>
      <c r="AL120">
        <v>1</v>
      </c>
      <c r="AM120">
        <v>4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3.56</v>
      </c>
      <c r="AU120" t="s">
        <v>21</v>
      </c>
      <c r="AV120">
        <v>0</v>
      </c>
      <c r="AW120">
        <v>2</v>
      </c>
      <c r="AX120">
        <v>145040055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ROUND(Y120*Source!I72,9)</f>
        <v>14.330637599999999</v>
      </c>
      <c r="CY120">
        <f>AB120</f>
        <v>150.29</v>
      </c>
      <c r="CZ120">
        <f>AF120</f>
        <v>12.39</v>
      </c>
      <c r="DA120">
        <f>AJ120</f>
        <v>12.13</v>
      </c>
      <c r="DB120">
        <f t="shared" si="33"/>
        <v>50.73</v>
      </c>
      <c r="DC120">
        <f t="shared" si="34"/>
        <v>41.18</v>
      </c>
      <c r="DD120" t="s">
        <v>3</v>
      </c>
      <c r="DE120" t="s">
        <v>3</v>
      </c>
      <c r="DF120">
        <f t="shared" si="35"/>
        <v>0</v>
      </c>
      <c r="DG120">
        <f>ROUND(ROUND(AF120*AJ120,2)*CX120,2)</f>
        <v>2153.75</v>
      </c>
      <c r="DH120">
        <f>ROUND(ROUND(AG120*AK120,2)*CX120,2)</f>
        <v>4402.8</v>
      </c>
      <c r="DI120">
        <f>ROUND(ROUND(AH120,2)*CX120,2)</f>
        <v>0</v>
      </c>
      <c r="DJ120">
        <f>DG120</f>
        <v>2153.75</v>
      </c>
      <c r="DK120">
        <v>0</v>
      </c>
      <c r="DL120" t="s">
        <v>3</v>
      </c>
      <c r="DM120">
        <v>0</v>
      </c>
      <c r="DN120" t="s">
        <v>3</v>
      </c>
      <c r="DO120">
        <v>0</v>
      </c>
    </row>
    <row r="121" spans="1:119" x14ac:dyDescent="0.2">
      <c r="A121">
        <f>ROW(Source!A74)</f>
        <v>74</v>
      </c>
      <c r="B121">
        <v>145033679</v>
      </c>
      <c r="C121">
        <v>145040427</v>
      </c>
      <c r="D121">
        <v>140760031</v>
      </c>
      <c r="E121">
        <v>70</v>
      </c>
      <c r="F121">
        <v>1</v>
      </c>
      <c r="G121">
        <v>1</v>
      </c>
      <c r="H121">
        <v>1</v>
      </c>
      <c r="I121" t="s">
        <v>885</v>
      </c>
      <c r="J121" t="s">
        <v>3</v>
      </c>
      <c r="K121" t="s">
        <v>886</v>
      </c>
      <c r="L121">
        <v>1191</v>
      </c>
      <c r="N121">
        <v>1013</v>
      </c>
      <c r="O121" t="s">
        <v>725</v>
      </c>
      <c r="P121" t="s">
        <v>725</v>
      </c>
      <c r="Q121">
        <v>1</v>
      </c>
      <c r="W121">
        <v>0</v>
      </c>
      <c r="X121">
        <v>-1111239348</v>
      </c>
      <c r="Y121">
        <f t="shared" si="32"/>
        <v>36.018000000000001</v>
      </c>
      <c r="AA121">
        <v>0</v>
      </c>
      <c r="AB121">
        <v>0</v>
      </c>
      <c r="AC121">
        <v>0</v>
      </c>
      <c r="AD121">
        <v>293.79000000000002</v>
      </c>
      <c r="AE121">
        <v>0</v>
      </c>
      <c r="AF121">
        <v>0</v>
      </c>
      <c r="AG121">
        <v>0</v>
      </c>
      <c r="AH121">
        <v>9.6199999999999992</v>
      </c>
      <c r="AI121">
        <v>1</v>
      </c>
      <c r="AJ121">
        <v>1</v>
      </c>
      <c r="AK121">
        <v>1</v>
      </c>
      <c r="AL121">
        <v>30.54</v>
      </c>
      <c r="AM121">
        <v>4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31.32</v>
      </c>
      <c r="AU121" t="s">
        <v>21</v>
      </c>
      <c r="AV121">
        <v>1</v>
      </c>
      <c r="AW121">
        <v>2</v>
      </c>
      <c r="AX121">
        <v>145040428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ROUND(Y121*Source!I74,9)</f>
        <v>5.7628799999999997E-3</v>
      </c>
      <c r="CY121">
        <f>AD121</f>
        <v>293.79000000000002</v>
      </c>
      <c r="CZ121">
        <f>AH121</f>
        <v>9.6199999999999992</v>
      </c>
      <c r="DA121">
        <f>AL121</f>
        <v>30.54</v>
      </c>
      <c r="DB121">
        <f t="shared" si="33"/>
        <v>346.5</v>
      </c>
      <c r="DC121">
        <f t="shared" si="34"/>
        <v>0</v>
      </c>
      <c r="DD121" t="s">
        <v>3</v>
      </c>
      <c r="DE121" t="s">
        <v>3</v>
      </c>
      <c r="DF121">
        <f t="shared" si="35"/>
        <v>0</v>
      </c>
      <c r="DG121">
        <f>ROUND(ROUND(AF121,2)*CX121,2)</f>
        <v>0</v>
      </c>
      <c r="DH121">
        <f>ROUND(ROUND(AG121,2)*CX121,2)</f>
        <v>0</v>
      </c>
      <c r="DI121">
        <f>ROUND(ROUND(AH121*AL121,2)*CX121,2)</f>
        <v>1.69</v>
      </c>
      <c r="DJ121">
        <f>DI121</f>
        <v>1.69</v>
      </c>
      <c r="DK121">
        <v>0</v>
      </c>
      <c r="DL121" t="s">
        <v>3</v>
      </c>
      <c r="DM121">
        <v>0</v>
      </c>
      <c r="DN121" t="s">
        <v>3</v>
      </c>
      <c r="DO121">
        <v>0</v>
      </c>
    </row>
    <row r="122" spans="1:119" x14ac:dyDescent="0.2">
      <c r="A122">
        <f>ROW(Source!A74)</f>
        <v>74</v>
      </c>
      <c r="B122">
        <v>145033679</v>
      </c>
      <c r="C122">
        <v>145040427</v>
      </c>
      <c r="D122">
        <v>140760225</v>
      </c>
      <c r="E122">
        <v>70</v>
      </c>
      <c r="F122">
        <v>1</v>
      </c>
      <c r="G122">
        <v>1</v>
      </c>
      <c r="H122">
        <v>1</v>
      </c>
      <c r="I122" t="s">
        <v>730</v>
      </c>
      <c r="J122" t="s">
        <v>3</v>
      </c>
      <c r="K122" t="s">
        <v>731</v>
      </c>
      <c r="L122">
        <v>1191</v>
      </c>
      <c r="N122">
        <v>1013</v>
      </c>
      <c r="O122" t="s">
        <v>725</v>
      </c>
      <c r="P122" t="s">
        <v>725</v>
      </c>
      <c r="Q122">
        <v>1</v>
      </c>
      <c r="W122">
        <v>0</v>
      </c>
      <c r="X122">
        <v>-1417349443</v>
      </c>
      <c r="Y122">
        <f t="shared" si="32"/>
        <v>1.15E-2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30.54</v>
      </c>
      <c r="AL122">
        <v>1</v>
      </c>
      <c r="AM122">
        <v>4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0.01</v>
      </c>
      <c r="AU122" t="s">
        <v>21</v>
      </c>
      <c r="AV122">
        <v>2</v>
      </c>
      <c r="AW122">
        <v>2</v>
      </c>
      <c r="AX122">
        <v>145040429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ROUND(Y122*Source!I74,9)</f>
        <v>1.84E-6</v>
      </c>
      <c r="CY122">
        <f>AD122</f>
        <v>0</v>
      </c>
      <c r="CZ122">
        <f>AH122</f>
        <v>0</v>
      </c>
      <c r="DA122">
        <f>AL122</f>
        <v>1</v>
      </c>
      <c r="DB122">
        <f t="shared" si="33"/>
        <v>0</v>
      </c>
      <c r="DC122">
        <f t="shared" si="34"/>
        <v>0</v>
      </c>
      <c r="DD122" t="s">
        <v>3</v>
      </c>
      <c r="DE122" t="s">
        <v>3</v>
      </c>
      <c r="DF122">
        <f t="shared" si="35"/>
        <v>0</v>
      </c>
      <c r="DG122">
        <f>ROUND(ROUND(AF122,2)*CX122,2)</f>
        <v>0</v>
      </c>
      <c r="DH122">
        <f>ROUND(ROUND(AG122*AK122,2)*CX122,2)</f>
        <v>0</v>
      </c>
      <c r="DI122">
        <f t="shared" ref="DI122:DI127" si="36">ROUND(ROUND(AH122,2)*CX122,2)</f>
        <v>0</v>
      </c>
      <c r="DJ122">
        <f>DI122</f>
        <v>0</v>
      </c>
      <c r="DK122">
        <v>0</v>
      </c>
      <c r="DL122" t="s">
        <v>3</v>
      </c>
      <c r="DM122">
        <v>0</v>
      </c>
      <c r="DN122" t="s">
        <v>3</v>
      </c>
      <c r="DO122">
        <v>0</v>
      </c>
    </row>
    <row r="123" spans="1:119" x14ac:dyDescent="0.2">
      <c r="A123">
        <f>ROW(Source!A74)</f>
        <v>74</v>
      </c>
      <c r="B123">
        <v>145033679</v>
      </c>
      <c r="C123">
        <v>145040427</v>
      </c>
      <c r="D123">
        <v>140922951</v>
      </c>
      <c r="E123">
        <v>1</v>
      </c>
      <c r="F123">
        <v>1</v>
      </c>
      <c r="G123">
        <v>1</v>
      </c>
      <c r="H123">
        <v>2</v>
      </c>
      <c r="I123" t="s">
        <v>752</v>
      </c>
      <c r="J123" t="s">
        <v>753</v>
      </c>
      <c r="K123" t="s">
        <v>754</v>
      </c>
      <c r="L123">
        <v>1367</v>
      </c>
      <c r="N123">
        <v>1011</v>
      </c>
      <c r="O123" t="s">
        <v>79</v>
      </c>
      <c r="P123" t="s">
        <v>79</v>
      </c>
      <c r="Q123">
        <v>1</v>
      </c>
      <c r="W123">
        <v>0</v>
      </c>
      <c r="X123">
        <v>-430484415</v>
      </c>
      <c r="Y123">
        <f t="shared" si="32"/>
        <v>4.5999999999999999E-3</v>
      </c>
      <c r="AA123">
        <v>0</v>
      </c>
      <c r="AB123">
        <v>1399.8</v>
      </c>
      <c r="AC123">
        <v>412.29</v>
      </c>
      <c r="AD123">
        <v>0</v>
      </c>
      <c r="AE123">
        <v>0</v>
      </c>
      <c r="AF123">
        <v>115.4</v>
      </c>
      <c r="AG123">
        <v>13.5</v>
      </c>
      <c r="AH123">
        <v>0</v>
      </c>
      <c r="AI123">
        <v>1</v>
      </c>
      <c r="AJ123">
        <v>12.13</v>
      </c>
      <c r="AK123">
        <v>30.54</v>
      </c>
      <c r="AL123">
        <v>1</v>
      </c>
      <c r="AM123">
        <v>4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4.0000000000000001E-3</v>
      </c>
      <c r="AU123" t="s">
        <v>21</v>
      </c>
      <c r="AV123">
        <v>0</v>
      </c>
      <c r="AW123">
        <v>2</v>
      </c>
      <c r="AX123">
        <v>145040430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ROUND(Y123*Source!I74,9)</f>
        <v>7.3600000000000003E-7</v>
      </c>
      <c r="CY123">
        <f>AB123</f>
        <v>1399.8</v>
      </c>
      <c r="CZ123">
        <f>AF123</f>
        <v>115.4</v>
      </c>
      <c r="DA123">
        <f>AJ123</f>
        <v>12.13</v>
      </c>
      <c r="DB123">
        <f t="shared" si="33"/>
        <v>0.53</v>
      </c>
      <c r="DC123">
        <f t="shared" si="34"/>
        <v>0.06</v>
      </c>
      <c r="DD123" t="s">
        <v>3</v>
      </c>
      <c r="DE123" t="s">
        <v>3</v>
      </c>
      <c r="DF123">
        <f t="shared" si="35"/>
        <v>0</v>
      </c>
      <c r="DG123">
        <f>ROUND(ROUND(AF123*AJ123,2)*CX123,2)</f>
        <v>0</v>
      </c>
      <c r="DH123">
        <f>ROUND(ROUND(AG123*AK123,2)*CX123,2)</f>
        <v>0</v>
      </c>
      <c r="DI123">
        <f t="shared" si="36"/>
        <v>0</v>
      </c>
      <c r="DJ123">
        <f>DG123</f>
        <v>0</v>
      </c>
      <c r="DK123">
        <v>0</v>
      </c>
      <c r="DL123" t="s">
        <v>3</v>
      </c>
      <c r="DM123">
        <v>0</v>
      </c>
      <c r="DN123" t="s">
        <v>3</v>
      </c>
      <c r="DO123">
        <v>0</v>
      </c>
    </row>
    <row r="124" spans="1:119" x14ac:dyDescent="0.2">
      <c r="A124">
        <f>ROW(Source!A74)</f>
        <v>74</v>
      </c>
      <c r="B124">
        <v>145033679</v>
      </c>
      <c r="C124">
        <v>145040427</v>
      </c>
      <c r="D124">
        <v>140923885</v>
      </c>
      <c r="E124">
        <v>1</v>
      </c>
      <c r="F124">
        <v>1</v>
      </c>
      <c r="G124">
        <v>1</v>
      </c>
      <c r="H124">
        <v>2</v>
      </c>
      <c r="I124" t="s">
        <v>732</v>
      </c>
      <c r="J124" t="s">
        <v>733</v>
      </c>
      <c r="K124" t="s">
        <v>734</v>
      </c>
      <c r="L124">
        <v>1367</v>
      </c>
      <c r="N124">
        <v>1011</v>
      </c>
      <c r="O124" t="s">
        <v>79</v>
      </c>
      <c r="P124" t="s">
        <v>79</v>
      </c>
      <c r="Q124">
        <v>1</v>
      </c>
      <c r="W124">
        <v>0</v>
      </c>
      <c r="X124">
        <v>509054691</v>
      </c>
      <c r="Y124">
        <f t="shared" si="32"/>
        <v>3.2199999999999998E-3</v>
      </c>
      <c r="AA124">
        <v>0</v>
      </c>
      <c r="AB124">
        <v>797.06</v>
      </c>
      <c r="AC124">
        <v>354.26</v>
      </c>
      <c r="AD124">
        <v>0</v>
      </c>
      <c r="AE124">
        <v>0</v>
      </c>
      <c r="AF124">
        <v>65.709999999999994</v>
      </c>
      <c r="AG124">
        <v>11.6</v>
      </c>
      <c r="AH124">
        <v>0</v>
      </c>
      <c r="AI124">
        <v>1</v>
      </c>
      <c r="AJ124">
        <v>12.13</v>
      </c>
      <c r="AK124">
        <v>30.54</v>
      </c>
      <c r="AL124">
        <v>1</v>
      </c>
      <c r="AM124">
        <v>4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2.8E-3</v>
      </c>
      <c r="AU124" t="s">
        <v>21</v>
      </c>
      <c r="AV124">
        <v>0</v>
      </c>
      <c r="AW124">
        <v>2</v>
      </c>
      <c r="AX124">
        <v>145040431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ROUND(Y124*Source!I74,9)</f>
        <v>5.1500000000000005E-7</v>
      </c>
      <c r="CY124">
        <f>AB124</f>
        <v>797.06</v>
      </c>
      <c r="CZ124">
        <f>AF124</f>
        <v>65.709999999999994</v>
      </c>
      <c r="DA124">
        <f>AJ124</f>
        <v>12.13</v>
      </c>
      <c r="DB124">
        <f t="shared" si="33"/>
        <v>0.21</v>
      </c>
      <c r="DC124">
        <f t="shared" si="34"/>
        <v>0.03</v>
      </c>
      <c r="DD124" t="s">
        <v>3</v>
      </c>
      <c r="DE124" t="s">
        <v>3</v>
      </c>
      <c r="DF124">
        <f t="shared" si="35"/>
        <v>0</v>
      </c>
      <c r="DG124">
        <f>ROUND(ROUND(AF124*AJ124,2)*CX124,2)</f>
        <v>0</v>
      </c>
      <c r="DH124">
        <f>ROUND(ROUND(AG124*AK124,2)*CX124,2)</f>
        <v>0</v>
      </c>
      <c r="DI124">
        <f t="shared" si="36"/>
        <v>0</v>
      </c>
      <c r="DJ124">
        <f>DG124</f>
        <v>0</v>
      </c>
      <c r="DK124">
        <v>0</v>
      </c>
      <c r="DL124" t="s">
        <v>3</v>
      </c>
      <c r="DM124">
        <v>0</v>
      </c>
      <c r="DN124" t="s">
        <v>3</v>
      </c>
      <c r="DO124">
        <v>0</v>
      </c>
    </row>
    <row r="125" spans="1:119" x14ac:dyDescent="0.2">
      <c r="A125">
        <f>ROW(Source!A74)</f>
        <v>74</v>
      </c>
      <c r="B125">
        <v>145033679</v>
      </c>
      <c r="C125">
        <v>145040427</v>
      </c>
      <c r="D125">
        <v>140924041</v>
      </c>
      <c r="E125">
        <v>1</v>
      </c>
      <c r="F125">
        <v>1</v>
      </c>
      <c r="G125">
        <v>1</v>
      </c>
      <c r="H125">
        <v>2</v>
      </c>
      <c r="I125" t="s">
        <v>777</v>
      </c>
      <c r="J125" t="s">
        <v>778</v>
      </c>
      <c r="K125" t="s">
        <v>779</v>
      </c>
      <c r="L125">
        <v>1367</v>
      </c>
      <c r="N125">
        <v>1011</v>
      </c>
      <c r="O125" t="s">
        <v>79</v>
      </c>
      <c r="P125" t="s">
        <v>79</v>
      </c>
      <c r="Q125">
        <v>1</v>
      </c>
      <c r="W125">
        <v>0</v>
      </c>
      <c r="X125">
        <v>2077867240</v>
      </c>
      <c r="Y125">
        <f t="shared" si="32"/>
        <v>6.21</v>
      </c>
      <c r="AA125">
        <v>0</v>
      </c>
      <c r="AB125">
        <v>14.56</v>
      </c>
      <c r="AC125">
        <v>0</v>
      </c>
      <c r="AD125">
        <v>0</v>
      </c>
      <c r="AE125">
        <v>0</v>
      </c>
      <c r="AF125">
        <v>1.2</v>
      </c>
      <c r="AG125">
        <v>0</v>
      </c>
      <c r="AH125">
        <v>0</v>
      </c>
      <c r="AI125">
        <v>1</v>
      </c>
      <c r="AJ125">
        <v>12.13</v>
      </c>
      <c r="AK125">
        <v>30.54</v>
      </c>
      <c r="AL125">
        <v>1</v>
      </c>
      <c r="AM125">
        <v>4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5.4</v>
      </c>
      <c r="AU125" t="s">
        <v>21</v>
      </c>
      <c r="AV125">
        <v>0</v>
      </c>
      <c r="AW125">
        <v>2</v>
      </c>
      <c r="AX125">
        <v>145040432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ROUND(Y125*Source!I74,9)</f>
        <v>9.9360000000000008E-4</v>
      </c>
      <c r="CY125">
        <f>AB125</f>
        <v>14.56</v>
      </c>
      <c r="CZ125">
        <f>AF125</f>
        <v>1.2</v>
      </c>
      <c r="DA125">
        <f>AJ125</f>
        <v>12.13</v>
      </c>
      <c r="DB125">
        <f t="shared" si="33"/>
        <v>7.45</v>
      </c>
      <c r="DC125">
        <f t="shared" si="34"/>
        <v>0</v>
      </c>
      <c r="DD125" t="s">
        <v>3</v>
      </c>
      <c r="DE125" t="s">
        <v>3</v>
      </c>
      <c r="DF125">
        <f t="shared" si="35"/>
        <v>0</v>
      </c>
      <c r="DG125">
        <f>ROUND(ROUND(AF125*AJ125,2)*CX125,2)</f>
        <v>0.01</v>
      </c>
      <c r="DH125">
        <f>ROUND(ROUND(AG125*AK125,2)*CX125,2)</f>
        <v>0</v>
      </c>
      <c r="DI125">
        <f t="shared" si="36"/>
        <v>0</v>
      </c>
      <c r="DJ125">
        <f>DG125</f>
        <v>0.01</v>
      </c>
      <c r="DK125">
        <v>0</v>
      </c>
      <c r="DL125" t="s">
        <v>3</v>
      </c>
      <c r="DM125">
        <v>0</v>
      </c>
      <c r="DN125" t="s">
        <v>3</v>
      </c>
      <c r="DO125">
        <v>0</v>
      </c>
    </row>
    <row r="126" spans="1:119" x14ac:dyDescent="0.2">
      <c r="A126">
        <f>ROW(Source!A74)</f>
        <v>74</v>
      </c>
      <c r="B126">
        <v>145033679</v>
      </c>
      <c r="C126">
        <v>145040427</v>
      </c>
      <c r="D126">
        <v>140770987</v>
      </c>
      <c r="E126">
        <v>1</v>
      </c>
      <c r="F126">
        <v>1</v>
      </c>
      <c r="G126">
        <v>1</v>
      </c>
      <c r="H126">
        <v>3</v>
      </c>
      <c r="I126" t="s">
        <v>887</v>
      </c>
      <c r="J126" t="s">
        <v>888</v>
      </c>
      <c r="K126" t="s">
        <v>889</v>
      </c>
      <c r="L126">
        <v>1339</v>
      </c>
      <c r="N126">
        <v>1007</v>
      </c>
      <c r="O126" t="s">
        <v>66</v>
      </c>
      <c r="P126" t="s">
        <v>66</v>
      </c>
      <c r="Q126">
        <v>1</v>
      </c>
      <c r="W126">
        <v>0</v>
      </c>
      <c r="X126">
        <v>-888710213</v>
      </c>
      <c r="Y126">
        <f>AT126</f>
        <v>3.36</v>
      </c>
      <c r="AA126">
        <v>335.42</v>
      </c>
      <c r="AB126">
        <v>0</v>
      </c>
      <c r="AC126">
        <v>0</v>
      </c>
      <c r="AD126">
        <v>0</v>
      </c>
      <c r="AE126">
        <v>38.51</v>
      </c>
      <c r="AF126">
        <v>0</v>
      </c>
      <c r="AG126">
        <v>0</v>
      </c>
      <c r="AH126">
        <v>0</v>
      </c>
      <c r="AI126">
        <v>8.7100000000000009</v>
      </c>
      <c r="AJ126">
        <v>1</v>
      </c>
      <c r="AK126">
        <v>1</v>
      </c>
      <c r="AL126">
        <v>1</v>
      </c>
      <c r="AM126">
        <v>4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3.36</v>
      </c>
      <c r="AU126" t="s">
        <v>3</v>
      </c>
      <c r="AV126">
        <v>0</v>
      </c>
      <c r="AW126">
        <v>2</v>
      </c>
      <c r="AX126">
        <v>145040433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ROUND(Y126*Source!I74,9)</f>
        <v>5.3759999999999995E-4</v>
      </c>
      <c r="CY126">
        <f>AA126</f>
        <v>335.42</v>
      </c>
      <c r="CZ126">
        <f>AE126</f>
        <v>38.51</v>
      </c>
      <c r="DA126">
        <f>AI126</f>
        <v>8.7100000000000009</v>
      </c>
      <c r="DB126">
        <f>ROUND(ROUND(AT126*CZ126,2),2)</f>
        <v>129.38999999999999</v>
      </c>
      <c r="DC126">
        <f>ROUND(ROUND(AT126*AG126,2),2)</f>
        <v>0</v>
      </c>
      <c r="DD126" t="s">
        <v>3</v>
      </c>
      <c r="DE126" t="s">
        <v>3</v>
      </c>
      <c r="DF126">
        <f>ROUND(ROUND(AE126*AI126,2)*CX126,2)</f>
        <v>0.18</v>
      </c>
      <c r="DG126">
        <f>ROUND(ROUND(AF126,2)*CX126,2)</f>
        <v>0</v>
      </c>
      <c r="DH126">
        <f>ROUND(ROUND(AG126,2)*CX126,2)</f>
        <v>0</v>
      </c>
      <c r="DI126">
        <f t="shared" si="36"/>
        <v>0</v>
      </c>
      <c r="DJ126">
        <f>DF126</f>
        <v>0.18</v>
      </c>
      <c r="DK126">
        <v>0</v>
      </c>
      <c r="DL126" t="s">
        <v>3</v>
      </c>
      <c r="DM126">
        <v>0</v>
      </c>
      <c r="DN126" t="s">
        <v>3</v>
      </c>
      <c r="DO126">
        <v>0</v>
      </c>
    </row>
    <row r="127" spans="1:119" x14ac:dyDescent="0.2">
      <c r="A127">
        <f>ROW(Source!A74)</f>
        <v>74</v>
      </c>
      <c r="B127">
        <v>145033679</v>
      </c>
      <c r="C127">
        <v>145040427</v>
      </c>
      <c r="D127">
        <v>140771005</v>
      </c>
      <c r="E127">
        <v>1</v>
      </c>
      <c r="F127">
        <v>1</v>
      </c>
      <c r="G127">
        <v>1</v>
      </c>
      <c r="H127">
        <v>3</v>
      </c>
      <c r="I127" t="s">
        <v>786</v>
      </c>
      <c r="J127" t="s">
        <v>787</v>
      </c>
      <c r="K127" t="s">
        <v>788</v>
      </c>
      <c r="L127">
        <v>1339</v>
      </c>
      <c r="N127">
        <v>1007</v>
      </c>
      <c r="O127" t="s">
        <v>66</v>
      </c>
      <c r="P127" t="s">
        <v>66</v>
      </c>
      <c r="Q127">
        <v>1</v>
      </c>
      <c r="W127">
        <v>0</v>
      </c>
      <c r="X127">
        <v>-1761807714</v>
      </c>
      <c r="Y127">
        <f>AT127</f>
        <v>24.3</v>
      </c>
      <c r="AA127">
        <v>54.18</v>
      </c>
      <c r="AB127">
        <v>0</v>
      </c>
      <c r="AC127">
        <v>0</v>
      </c>
      <c r="AD127">
        <v>0</v>
      </c>
      <c r="AE127">
        <v>6.22</v>
      </c>
      <c r="AF127">
        <v>0</v>
      </c>
      <c r="AG127">
        <v>0</v>
      </c>
      <c r="AH127">
        <v>0</v>
      </c>
      <c r="AI127">
        <v>8.7100000000000009</v>
      </c>
      <c r="AJ127">
        <v>1</v>
      </c>
      <c r="AK127">
        <v>1</v>
      </c>
      <c r="AL127">
        <v>1</v>
      </c>
      <c r="AM127">
        <v>4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24.3</v>
      </c>
      <c r="AU127" t="s">
        <v>3</v>
      </c>
      <c r="AV127">
        <v>0</v>
      </c>
      <c r="AW127">
        <v>2</v>
      </c>
      <c r="AX127">
        <v>145040434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ROUND(Y127*Source!I74,9)</f>
        <v>3.888E-3</v>
      </c>
      <c r="CY127">
        <f>AA127</f>
        <v>54.18</v>
      </c>
      <c r="CZ127">
        <f>AE127</f>
        <v>6.22</v>
      </c>
      <c r="DA127">
        <f>AI127</f>
        <v>8.7100000000000009</v>
      </c>
      <c r="DB127">
        <f>ROUND(ROUND(AT127*CZ127,2),2)</f>
        <v>151.15</v>
      </c>
      <c r="DC127">
        <f>ROUND(ROUND(AT127*AG127,2),2)</f>
        <v>0</v>
      </c>
      <c r="DD127" t="s">
        <v>3</v>
      </c>
      <c r="DE127" t="s">
        <v>3</v>
      </c>
      <c r="DF127">
        <f>ROUND(ROUND(AE127*AI127,2)*CX127,2)</f>
        <v>0.21</v>
      </c>
      <c r="DG127">
        <f>ROUND(ROUND(AF127,2)*CX127,2)</f>
        <v>0</v>
      </c>
      <c r="DH127">
        <f>ROUND(ROUND(AG127,2)*CX127,2)</f>
        <v>0</v>
      </c>
      <c r="DI127">
        <f t="shared" si="36"/>
        <v>0</v>
      </c>
      <c r="DJ127">
        <f>DF127</f>
        <v>0.21</v>
      </c>
      <c r="DK127">
        <v>0</v>
      </c>
      <c r="DL127" t="s">
        <v>3</v>
      </c>
      <c r="DM127">
        <v>0</v>
      </c>
      <c r="DN127" t="s">
        <v>3</v>
      </c>
      <c r="DO127">
        <v>0</v>
      </c>
    </row>
    <row r="128" spans="1:119" x14ac:dyDescent="0.2">
      <c r="A128">
        <f>ROW(Source!A75)</f>
        <v>75</v>
      </c>
      <c r="B128">
        <v>145033679</v>
      </c>
      <c r="C128">
        <v>145040460</v>
      </c>
      <c r="D128">
        <v>140759979</v>
      </c>
      <c r="E128">
        <v>70</v>
      </c>
      <c r="F128">
        <v>1</v>
      </c>
      <c r="G128">
        <v>1</v>
      </c>
      <c r="H128">
        <v>1</v>
      </c>
      <c r="I128" t="s">
        <v>745</v>
      </c>
      <c r="J128" t="s">
        <v>3</v>
      </c>
      <c r="K128" t="s">
        <v>746</v>
      </c>
      <c r="L128">
        <v>1191</v>
      </c>
      <c r="N128">
        <v>1013</v>
      </c>
      <c r="O128" t="s">
        <v>725</v>
      </c>
      <c r="P128" t="s">
        <v>725</v>
      </c>
      <c r="Q128">
        <v>1</v>
      </c>
      <c r="W128">
        <v>0</v>
      </c>
      <c r="X128">
        <v>1049124552</v>
      </c>
      <c r="Y128">
        <f>(AT128*1.15)</f>
        <v>12.948999999999998</v>
      </c>
      <c r="AA128">
        <v>0</v>
      </c>
      <c r="AB128">
        <v>0</v>
      </c>
      <c r="AC128">
        <v>0</v>
      </c>
      <c r="AD128">
        <v>260.51</v>
      </c>
      <c r="AE128">
        <v>0</v>
      </c>
      <c r="AF128">
        <v>0</v>
      </c>
      <c r="AG128">
        <v>0</v>
      </c>
      <c r="AH128">
        <v>8.5299999999999994</v>
      </c>
      <c r="AI128">
        <v>1</v>
      </c>
      <c r="AJ128">
        <v>1</v>
      </c>
      <c r="AK128">
        <v>1</v>
      </c>
      <c r="AL128">
        <v>30.54</v>
      </c>
      <c r="AM128">
        <v>4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11.26</v>
      </c>
      <c r="AU128" t="s">
        <v>21</v>
      </c>
      <c r="AV128">
        <v>1</v>
      </c>
      <c r="AW128">
        <v>2</v>
      </c>
      <c r="AX128">
        <v>145040461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ROUND(Y128*Source!I75,9)</f>
        <v>0.25897999999999999</v>
      </c>
      <c r="CY128">
        <f>AD128</f>
        <v>260.51</v>
      </c>
      <c r="CZ128">
        <f>AH128</f>
        <v>8.5299999999999994</v>
      </c>
      <c r="DA128">
        <f>AL128</f>
        <v>30.54</v>
      </c>
      <c r="DB128">
        <f>ROUND((ROUND(AT128*CZ128,2)*1.15),2)</f>
        <v>110.46</v>
      </c>
      <c r="DC128">
        <f>ROUND((ROUND(AT128*AG128,2)*1.15),2)</f>
        <v>0</v>
      </c>
      <c r="DD128" t="s">
        <v>3</v>
      </c>
      <c r="DE128" t="s">
        <v>3</v>
      </c>
      <c r="DF128">
        <f>ROUND(ROUND(AE128,2)*CX128,2)</f>
        <v>0</v>
      </c>
      <c r="DG128">
        <f>ROUND(ROUND(AF128,2)*CX128,2)</f>
        <v>0</v>
      </c>
      <c r="DH128">
        <f>ROUND(ROUND(AG128,2)*CX128,2)</f>
        <v>0</v>
      </c>
      <c r="DI128">
        <f>ROUND(ROUND(AH128*AL128,2)*CX128,2)</f>
        <v>67.47</v>
      </c>
      <c r="DJ128">
        <f>DI128</f>
        <v>67.47</v>
      </c>
      <c r="DK128">
        <v>0</v>
      </c>
      <c r="DL128" t="s">
        <v>3</v>
      </c>
      <c r="DM128">
        <v>0</v>
      </c>
      <c r="DN128" t="s">
        <v>3</v>
      </c>
      <c r="DO128">
        <v>0</v>
      </c>
    </row>
    <row r="129" spans="1:119" x14ac:dyDescent="0.2">
      <c r="A129">
        <f>ROW(Source!A75)</f>
        <v>75</v>
      </c>
      <c r="B129">
        <v>145033679</v>
      </c>
      <c r="C129">
        <v>145040460</v>
      </c>
      <c r="D129">
        <v>140924117</v>
      </c>
      <c r="E129">
        <v>1</v>
      </c>
      <c r="F129">
        <v>1</v>
      </c>
      <c r="G129">
        <v>1</v>
      </c>
      <c r="H129">
        <v>2</v>
      </c>
      <c r="I129" t="s">
        <v>890</v>
      </c>
      <c r="J129" t="s">
        <v>891</v>
      </c>
      <c r="K129" t="s">
        <v>892</v>
      </c>
      <c r="L129">
        <v>1367</v>
      </c>
      <c r="N129">
        <v>1011</v>
      </c>
      <c r="O129" t="s">
        <v>79</v>
      </c>
      <c r="P129" t="s">
        <v>79</v>
      </c>
      <c r="Q129">
        <v>1</v>
      </c>
      <c r="W129">
        <v>0</v>
      </c>
      <c r="X129">
        <v>-727905792</v>
      </c>
      <c r="Y129">
        <f>(AT129*1.15)</f>
        <v>0.47149999999999992</v>
      </c>
      <c r="AA129">
        <v>0</v>
      </c>
      <c r="AB129">
        <v>394.23</v>
      </c>
      <c r="AC129">
        <v>0</v>
      </c>
      <c r="AD129">
        <v>0</v>
      </c>
      <c r="AE129">
        <v>0</v>
      </c>
      <c r="AF129">
        <v>32.5</v>
      </c>
      <c r="AG129">
        <v>0</v>
      </c>
      <c r="AH129">
        <v>0</v>
      </c>
      <c r="AI129">
        <v>1</v>
      </c>
      <c r="AJ129">
        <v>12.13</v>
      </c>
      <c r="AK129">
        <v>30.54</v>
      </c>
      <c r="AL129">
        <v>1</v>
      </c>
      <c r="AM129">
        <v>4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0.41</v>
      </c>
      <c r="AU129" t="s">
        <v>21</v>
      </c>
      <c r="AV129">
        <v>0</v>
      </c>
      <c r="AW129">
        <v>2</v>
      </c>
      <c r="AX129">
        <v>145040462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ROUND(Y129*Source!I75,9)</f>
        <v>9.4299999999999991E-3</v>
      </c>
      <c r="CY129">
        <f>AB129</f>
        <v>394.23</v>
      </c>
      <c r="CZ129">
        <f>AF129</f>
        <v>32.5</v>
      </c>
      <c r="DA129">
        <f>AJ129</f>
        <v>12.13</v>
      </c>
      <c r="DB129">
        <f>ROUND((ROUND(AT129*CZ129,2)*1.15),2)</f>
        <v>15.33</v>
      </c>
      <c r="DC129">
        <f>ROUND((ROUND(AT129*AG129,2)*1.15),2)</f>
        <v>0</v>
      </c>
      <c r="DD129" t="s">
        <v>3</v>
      </c>
      <c r="DE129" t="s">
        <v>3</v>
      </c>
      <c r="DF129">
        <f>ROUND(ROUND(AE129,2)*CX129,2)</f>
        <v>0</v>
      </c>
      <c r="DG129">
        <f>ROUND(ROUND(AF129*AJ129,2)*CX129,2)</f>
        <v>3.72</v>
      </c>
      <c r="DH129">
        <f>ROUND(ROUND(AG129*AK129,2)*CX129,2)</f>
        <v>0</v>
      </c>
      <c r="DI129">
        <f>ROUND(ROUND(AH129,2)*CX129,2)</f>
        <v>0</v>
      </c>
      <c r="DJ129">
        <f>DG129</f>
        <v>3.72</v>
      </c>
      <c r="DK129">
        <v>0</v>
      </c>
      <c r="DL129" t="s">
        <v>3</v>
      </c>
      <c r="DM129">
        <v>0</v>
      </c>
      <c r="DN129" t="s">
        <v>3</v>
      </c>
      <c r="DO129">
        <v>0</v>
      </c>
    </row>
    <row r="130" spans="1:119" x14ac:dyDescent="0.2">
      <c r="A130">
        <f>ROW(Source!A75)</f>
        <v>75</v>
      </c>
      <c r="B130">
        <v>145033679</v>
      </c>
      <c r="C130">
        <v>145040460</v>
      </c>
      <c r="D130">
        <v>140772696</v>
      </c>
      <c r="E130">
        <v>1</v>
      </c>
      <c r="F130">
        <v>1</v>
      </c>
      <c r="G130">
        <v>1</v>
      </c>
      <c r="H130">
        <v>3</v>
      </c>
      <c r="I130" t="s">
        <v>273</v>
      </c>
      <c r="J130" t="s">
        <v>276</v>
      </c>
      <c r="K130" t="s">
        <v>274</v>
      </c>
      <c r="L130">
        <v>1374</v>
      </c>
      <c r="N130">
        <v>1013</v>
      </c>
      <c r="O130" t="s">
        <v>275</v>
      </c>
      <c r="P130" t="s">
        <v>275</v>
      </c>
      <c r="Q130">
        <v>1</v>
      </c>
      <c r="W130">
        <v>0</v>
      </c>
      <c r="X130">
        <v>933151182</v>
      </c>
      <c r="Y130">
        <f>AT130</f>
        <v>1.92</v>
      </c>
      <c r="AA130">
        <v>8.7100000000000009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8.7100000000000009</v>
      </c>
      <c r="AJ130">
        <v>1</v>
      </c>
      <c r="AK130">
        <v>1</v>
      </c>
      <c r="AL130">
        <v>1</v>
      </c>
      <c r="AM130">
        <v>4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3</v>
      </c>
      <c r="AT130">
        <v>1.92</v>
      </c>
      <c r="AU130" t="s">
        <v>3</v>
      </c>
      <c r="AV130">
        <v>0</v>
      </c>
      <c r="AW130">
        <v>2</v>
      </c>
      <c r="AX130">
        <v>145040463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ROUND(Y130*Source!I75,9)</f>
        <v>3.8399999999999997E-2</v>
      </c>
      <c r="CY130">
        <f>AA130</f>
        <v>8.7100000000000009</v>
      </c>
      <c r="CZ130">
        <f>AE130</f>
        <v>1</v>
      </c>
      <c r="DA130">
        <f>AI130</f>
        <v>8.7100000000000009</v>
      </c>
      <c r="DB130">
        <f>ROUND(ROUND(AT130*CZ130,2),2)</f>
        <v>1.92</v>
      </c>
      <c r="DC130">
        <f>ROUND(ROUND(AT130*AG130,2),2)</f>
        <v>0</v>
      </c>
      <c r="DD130" t="s">
        <v>3</v>
      </c>
      <c r="DE130" t="s">
        <v>3</v>
      </c>
      <c r="DF130">
        <f>ROUND(ROUND(AE130*AI130,2)*CX130,2)</f>
        <v>0.33</v>
      </c>
      <c r="DG130">
        <f t="shared" ref="DG130:DG136" si="37">ROUND(ROUND(AF130,2)*CX130,2)</f>
        <v>0</v>
      </c>
      <c r="DH130">
        <f t="shared" ref="DH130:DH135" si="38">ROUND(ROUND(AG130,2)*CX130,2)</f>
        <v>0</v>
      </c>
      <c r="DI130">
        <f>ROUND(ROUND(AH130,2)*CX130,2)</f>
        <v>0</v>
      </c>
      <c r="DJ130">
        <f>DF130</f>
        <v>0.33</v>
      </c>
      <c r="DK130">
        <v>0</v>
      </c>
      <c r="DL130" t="s">
        <v>3</v>
      </c>
      <c r="DM130">
        <v>0</v>
      </c>
      <c r="DN130" t="s">
        <v>3</v>
      </c>
      <c r="DO130">
        <v>0</v>
      </c>
    </row>
    <row r="131" spans="1:119" x14ac:dyDescent="0.2">
      <c r="A131">
        <f>ROW(Source!A75)</f>
        <v>75</v>
      </c>
      <c r="B131">
        <v>145033679</v>
      </c>
      <c r="C131">
        <v>145040460</v>
      </c>
      <c r="D131">
        <v>140760621</v>
      </c>
      <c r="E131">
        <v>70</v>
      </c>
      <c r="F131">
        <v>1</v>
      </c>
      <c r="G131">
        <v>1</v>
      </c>
      <c r="H131">
        <v>3</v>
      </c>
      <c r="I131" t="s">
        <v>893</v>
      </c>
      <c r="J131" t="s">
        <v>3</v>
      </c>
      <c r="K131" t="s">
        <v>894</v>
      </c>
      <c r="L131">
        <v>1348</v>
      </c>
      <c r="N131">
        <v>1009</v>
      </c>
      <c r="O131" t="s">
        <v>105</v>
      </c>
      <c r="P131" t="s">
        <v>105</v>
      </c>
      <c r="Q131">
        <v>1000</v>
      </c>
      <c r="W131">
        <v>0</v>
      </c>
      <c r="X131">
        <v>1360257570</v>
      </c>
      <c r="Y131">
        <f>AT131</f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8.7100000000000009</v>
      </c>
      <c r="AJ131">
        <v>1</v>
      </c>
      <c r="AK131">
        <v>1</v>
      </c>
      <c r="AL131">
        <v>1</v>
      </c>
      <c r="AM131">
        <v>4</v>
      </c>
      <c r="AN131">
        <v>1</v>
      </c>
      <c r="AO131">
        <v>0</v>
      </c>
      <c r="AP131">
        <v>0</v>
      </c>
      <c r="AQ131">
        <v>0</v>
      </c>
      <c r="AR131">
        <v>0</v>
      </c>
      <c r="AS131" t="s">
        <v>3</v>
      </c>
      <c r="AT131">
        <v>0</v>
      </c>
      <c r="AU131" t="s">
        <v>3</v>
      </c>
      <c r="AV131">
        <v>0</v>
      </c>
      <c r="AW131">
        <v>2</v>
      </c>
      <c r="AX131">
        <v>145040464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ROUND(Y131*Source!I75,9)</f>
        <v>0</v>
      </c>
      <c r="CY131">
        <f>AA131</f>
        <v>0</v>
      </c>
      <c r="CZ131">
        <f>AE131</f>
        <v>0</v>
      </c>
      <c r="DA131">
        <f>AI131</f>
        <v>8.7100000000000009</v>
      </c>
      <c r="DB131">
        <f>ROUND(ROUND(AT131*CZ131,2),2)</f>
        <v>0</v>
      </c>
      <c r="DC131">
        <f>ROUND(ROUND(AT131*AG131,2),2)</f>
        <v>0</v>
      </c>
      <c r="DD131" t="s">
        <v>3</v>
      </c>
      <c r="DE131" t="s">
        <v>3</v>
      </c>
      <c r="DF131">
        <f>ROUND(ROUND(AE131*AI131,2)*CX131,2)</f>
        <v>0</v>
      </c>
      <c r="DG131">
        <f t="shared" si="37"/>
        <v>0</v>
      </c>
      <c r="DH131">
        <f t="shared" si="38"/>
        <v>0</v>
      </c>
      <c r="DI131">
        <f>ROUND(ROUND(AH131,2)*CX131,2)</f>
        <v>0</v>
      </c>
      <c r="DJ131">
        <f>DF131</f>
        <v>0</v>
      </c>
      <c r="DK131">
        <v>0</v>
      </c>
      <c r="DL131" t="s">
        <v>3</v>
      </c>
      <c r="DM131">
        <v>0</v>
      </c>
      <c r="DN131" t="s">
        <v>3</v>
      </c>
      <c r="DO131">
        <v>0</v>
      </c>
    </row>
    <row r="132" spans="1:119" x14ac:dyDescent="0.2">
      <c r="A132">
        <f>ROW(Source!A75)</f>
        <v>75</v>
      </c>
      <c r="B132">
        <v>145033679</v>
      </c>
      <c r="C132">
        <v>145040460</v>
      </c>
      <c r="D132">
        <v>140763232</v>
      </c>
      <c r="E132">
        <v>70</v>
      </c>
      <c r="F132">
        <v>1</v>
      </c>
      <c r="G132">
        <v>1</v>
      </c>
      <c r="H132">
        <v>3</v>
      </c>
      <c r="I132" t="s">
        <v>895</v>
      </c>
      <c r="J132" t="s">
        <v>3</v>
      </c>
      <c r="K132" t="s">
        <v>896</v>
      </c>
      <c r="L132">
        <v>1346</v>
      </c>
      <c r="N132">
        <v>1009</v>
      </c>
      <c r="O132" t="s">
        <v>43</v>
      </c>
      <c r="P132" t="s">
        <v>43</v>
      </c>
      <c r="Q132">
        <v>1</v>
      </c>
      <c r="W132">
        <v>0</v>
      </c>
      <c r="X132">
        <v>1642877118</v>
      </c>
      <c r="Y132">
        <f>AT132</f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8.7100000000000009</v>
      </c>
      <c r="AJ132">
        <v>1</v>
      </c>
      <c r="AK132">
        <v>1</v>
      </c>
      <c r="AL132">
        <v>1</v>
      </c>
      <c r="AM132">
        <v>4</v>
      </c>
      <c r="AN132">
        <v>1</v>
      </c>
      <c r="AO132">
        <v>0</v>
      </c>
      <c r="AP132">
        <v>0</v>
      </c>
      <c r="AQ132">
        <v>0</v>
      </c>
      <c r="AR132">
        <v>0</v>
      </c>
      <c r="AS132" t="s">
        <v>3</v>
      </c>
      <c r="AT132">
        <v>0</v>
      </c>
      <c r="AU132" t="s">
        <v>3</v>
      </c>
      <c r="AV132">
        <v>0</v>
      </c>
      <c r="AW132">
        <v>2</v>
      </c>
      <c r="AX132">
        <v>145040465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ROUND(Y132*Source!I75,9)</f>
        <v>0</v>
      </c>
      <c r="CY132">
        <f>AA132</f>
        <v>0</v>
      </c>
      <c r="CZ132">
        <f>AE132</f>
        <v>0</v>
      </c>
      <c r="DA132">
        <f>AI132</f>
        <v>8.7100000000000009</v>
      </c>
      <c r="DB132">
        <f>ROUND(ROUND(AT132*CZ132,2),2)</f>
        <v>0</v>
      </c>
      <c r="DC132">
        <f>ROUND(ROUND(AT132*AG132,2),2)</f>
        <v>0</v>
      </c>
      <c r="DD132" t="s">
        <v>3</v>
      </c>
      <c r="DE132" t="s">
        <v>3</v>
      </c>
      <c r="DF132">
        <f>ROUND(ROUND(AE132*AI132,2)*CX132,2)</f>
        <v>0</v>
      </c>
      <c r="DG132">
        <f t="shared" si="37"/>
        <v>0</v>
      </c>
      <c r="DH132">
        <f t="shared" si="38"/>
        <v>0</v>
      </c>
      <c r="DI132">
        <f>ROUND(ROUND(AH132,2)*CX132,2)</f>
        <v>0</v>
      </c>
      <c r="DJ132">
        <f>DF132</f>
        <v>0</v>
      </c>
      <c r="DK132">
        <v>0</v>
      </c>
      <c r="DL132" t="s">
        <v>3</v>
      </c>
      <c r="DM132">
        <v>0</v>
      </c>
      <c r="DN132" t="s">
        <v>3</v>
      </c>
      <c r="DO132">
        <v>0</v>
      </c>
    </row>
    <row r="133" spans="1:119" x14ac:dyDescent="0.2">
      <c r="A133">
        <f>ROW(Source!A80)</f>
        <v>80</v>
      </c>
      <c r="B133">
        <v>145033679</v>
      </c>
      <c r="C133">
        <v>145040279</v>
      </c>
      <c r="D133">
        <v>140755423</v>
      </c>
      <c r="E133">
        <v>70</v>
      </c>
      <c r="F133">
        <v>1</v>
      </c>
      <c r="G133">
        <v>1</v>
      </c>
      <c r="H133">
        <v>1</v>
      </c>
      <c r="I133" t="s">
        <v>723</v>
      </c>
      <c r="J133" t="s">
        <v>3</v>
      </c>
      <c r="K133" t="s">
        <v>724</v>
      </c>
      <c r="L133">
        <v>1191</v>
      </c>
      <c r="N133">
        <v>1013</v>
      </c>
      <c r="O133" t="s">
        <v>725</v>
      </c>
      <c r="P133" t="s">
        <v>725</v>
      </c>
      <c r="Q133">
        <v>1</v>
      </c>
      <c r="W133">
        <v>0</v>
      </c>
      <c r="X133">
        <v>2031828327</v>
      </c>
      <c r="Y133">
        <f>(AT133*1.15)</f>
        <v>26.242999999999999</v>
      </c>
      <c r="AA133">
        <v>0</v>
      </c>
      <c r="AB133">
        <v>0</v>
      </c>
      <c r="AC133">
        <v>0</v>
      </c>
      <c r="AD133">
        <v>238.21</v>
      </c>
      <c r="AE133">
        <v>0</v>
      </c>
      <c r="AF133">
        <v>0</v>
      </c>
      <c r="AG133">
        <v>0</v>
      </c>
      <c r="AH133">
        <v>7.8</v>
      </c>
      <c r="AI133">
        <v>1</v>
      </c>
      <c r="AJ133">
        <v>1</v>
      </c>
      <c r="AK133">
        <v>1</v>
      </c>
      <c r="AL133">
        <v>30.54</v>
      </c>
      <c r="AM133">
        <v>4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22.82</v>
      </c>
      <c r="AU133" t="s">
        <v>21</v>
      </c>
      <c r="AV133">
        <v>1</v>
      </c>
      <c r="AW133">
        <v>2</v>
      </c>
      <c r="AX133">
        <v>145040282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ROUND(Y133*Source!I80,9)</f>
        <v>58.852551800000001</v>
      </c>
      <c r="CY133">
        <f>AD133</f>
        <v>238.21</v>
      </c>
      <c r="CZ133">
        <f>AH133</f>
        <v>7.8</v>
      </c>
      <c r="DA133">
        <f>AL133</f>
        <v>30.54</v>
      </c>
      <c r="DB133">
        <f>ROUND((ROUND(AT133*CZ133,2)*1.15),2)</f>
        <v>204.7</v>
      </c>
      <c r="DC133">
        <f>ROUND((ROUND(AT133*AG133,2)*1.15),2)</f>
        <v>0</v>
      </c>
      <c r="DD133" t="s">
        <v>3</v>
      </c>
      <c r="DE133" t="s">
        <v>3</v>
      </c>
      <c r="DF133">
        <f>ROUND(ROUND(AE133,2)*CX133,2)</f>
        <v>0</v>
      </c>
      <c r="DG133">
        <f t="shared" si="37"/>
        <v>0</v>
      </c>
      <c r="DH133">
        <f t="shared" si="38"/>
        <v>0</v>
      </c>
      <c r="DI133">
        <f>ROUND(ROUND(AH133*AL133,2)*CX133,2)</f>
        <v>14019.27</v>
      </c>
      <c r="DJ133">
        <f>DI133</f>
        <v>14019.27</v>
      </c>
      <c r="DK133">
        <v>0</v>
      </c>
      <c r="DL133" t="s">
        <v>3</v>
      </c>
      <c r="DM133">
        <v>0</v>
      </c>
      <c r="DN133" t="s">
        <v>3</v>
      </c>
      <c r="DO133">
        <v>0</v>
      </c>
    </row>
    <row r="134" spans="1:119" x14ac:dyDescent="0.2">
      <c r="A134">
        <f>ROW(Source!A80)</f>
        <v>80</v>
      </c>
      <c r="B134">
        <v>145033679</v>
      </c>
      <c r="C134">
        <v>145040279</v>
      </c>
      <c r="D134">
        <v>140765020</v>
      </c>
      <c r="E134">
        <v>70</v>
      </c>
      <c r="F134">
        <v>1</v>
      </c>
      <c r="G134">
        <v>1</v>
      </c>
      <c r="H134">
        <v>3</v>
      </c>
      <c r="I134" t="s">
        <v>726</v>
      </c>
      <c r="J134" t="s">
        <v>3</v>
      </c>
      <c r="K134" t="s">
        <v>727</v>
      </c>
      <c r="L134">
        <v>1348</v>
      </c>
      <c r="N134">
        <v>1009</v>
      </c>
      <c r="O134" t="s">
        <v>105</v>
      </c>
      <c r="P134" t="s">
        <v>105</v>
      </c>
      <c r="Q134">
        <v>1000</v>
      </c>
      <c r="W134">
        <v>0</v>
      </c>
      <c r="X134">
        <v>2102561428</v>
      </c>
      <c r="Y134">
        <f>AT134</f>
        <v>4.5999999999999996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8.7100000000000009</v>
      </c>
      <c r="AJ134">
        <v>1</v>
      </c>
      <c r="AK134">
        <v>1</v>
      </c>
      <c r="AL134">
        <v>1</v>
      </c>
      <c r="AM134">
        <v>4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4.5999999999999996</v>
      </c>
      <c r="AU134" t="s">
        <v>3</v>
      </c>
      <c r="AV134">
        <v>0</v>
      </c>
      <c r="AW134">
        <v>2</v>
      </c>
      <c r="AX134">
        <v>145040283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ROUND(Y134*Source!I80,9)</f>
        <v>10.31596</v>
      </c>
      <c r="CY134">
        <f>AA134</f>
        <v>0</v>
      </c>
      <c r="CZ134">
        <f>AE134</f>
        <v>0</v>
      </c>
      <c r="DA134">
        <f>AI134</f>
        <v>8.7100000000000009</v>
      </c>
      <c r="DB134">
        <f>ROUND(ROUND(AT134*CZ134,2),2)</f>
        <v>0</v>
      </c>
      <c r="DC134">
        <f>ROUND(ROUND(AT134*AG134,2),2)</f>
        <v>0</v>
      </c>
      <c r="DD134" t="s">
        <v>3</v>
      </c>
      <c r="DE134" t="s">
        <v>3</v>
      </c>
      <c r="DF134">
        <f>ROUND(ROUND(AE134*AI134,2)*CX134,2)</f>
        <v>0</v>
      </c>
      <c r="DG134">
        <f t="shared" si="37"/>
        <v>0</v>
      </c>
      <c r="DH134">
        <f t="shared" si="38"/>
        <v>0</v>
      </c>
      <c r="DI134">
        <f>ROUND(ROUND(AH134,2)*CX134,2)</f>
        <v>0</v>
      </c>
      <c r="DJ134">
        <f>DF134</f>
        <v>0</v>
      </c>
      <c r="DK134">
        <v>0</v>
      </c>
      <c r="DL134" t="s">
        <v>3</v>
      </c>
      <c r="DM134">
        <v>0</v>
      </c>
      <c r="DN134" t="s">
        <v>3</v>
      </c>
      <c r="DO134">
        <v>0</v>
      </c>
    </row>
    <row r="135" spans="1:119" x14ac:dyDescent="0.2">
      <c r="A135">
        <f>ROW(Source!A81)</f>
        <v>81</v>
      </c>
      <c r="B135">
        <v>145033679</v>
      </c>
      <c r="C135">
        <v>145040329</v>
      </c>
      <c r="D135">
        <v>140760027</v>
      </c>
      <c r="E135">
        <v>70</v>
      </c>
      <c r="F135">
        <v>1</v>
      </c>
      <c r="G135">
        <v>1</v>
      </c>
      <c r="H135">
        <v>1</v>
      </c>
      <c r="I135" t="s">
        <v>728</v>
      </c>
      <c r="J135" t="s">
        <v>3</v>
      </c>
      <c r="K135" t="s">
        <v>729</v>
      </c>
      <c r="L135">
        <v>1191</v>
      </c>
      <c r="N135">
        <v>1013</v>
      </c>
      <c r="O135" t="s">
        <v>725</v>
      </c>
      <c r="P135" t="s">
        <v>725</v>
      </c>
      <c r="Q135">
        <v>1</v>
      </c>
      <c r="W135">
        <v>0</v>
      </c>
      <c r="X135">
        <v>1608048003</v>
      </c>
      <c r="Y135">
        <f>(AT135*1.15)</f>
        <v>6.8999999999999995</v>
      </c>
      <c r="AA135">
        <v>0</v>
      </c>
      <c r="AB135">
        <v>0</v>
      </c>
      <c r="AC135">
        <v>0</v>
      </c>
      <c r="AD135">
        <v>290.44</v>
      </c>
      <c r="AE135">
        <v>0</v>
      </c>
      <c r="AF135">
        <v>0</v>
      </c>
      <c r="AG135">
        <v>0</v>
      </c>
      <c r="AH135">
        <v>9.51</v>
      </c>
      <c r="AI135">
        <v>1</v>
      </c>
      <c r="AJ135">
        <v>1</v>
      </c>
      <c r="AK135">
        <v>1</v>
      </c>
      <c r="AL135">
        <v>30.54</v>
      </c>
      <c r="AM135">
        <v>4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6</v>
      </c>
      <c r="AU135" t="s">
        <v>21</v>
      </c>
      <c r="AV135">
        <v>1</v>
      </c>
      <c r="AW135">
        <v>2</v>
      </c>
      <c r="AX135">
        <v>145040330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ROUND(Y135*Source!I81,9)</f>
        <v>30.947880000000001</v>
      </c>
      <c r="CY135">
        <f>AD135</f>
        <v>290.44</v>
      </c>
      <c r="CZ135">
        <f>AH135</f>
        <v>9.51</v>
      </c>
      <c r="DA135">
        <f>AL135</f>
        <v>30.54</v>
      </c>
      <c r="DB135">
        <f>ROUND((ROUND(AT135*CZ135,2)*1.15),2)</f>
        <v>65.62</v>
      </c>
      <c r="DC135">
        <f>ROUND((ROUND(AT135*AG135,2)*1.15),2)</f>
        <v>0</v>
      </c>
      <c r="DD135" t="s">
        <v>3</v>
      </c>
      <c r="DE135" t="s">
        <v>3</v>
      </c>
      <c r="DF135">
        <f>ROUND(ROUND(AE135,2)*CX135,2)</f>
        <v>0</v>
      </c>
      <c r="DG135">
        <f t="shared" si="37"/>
        <v>0</v>
      </c>
      <c r="DH135">
        <f t="shared" si="38"/>
        <v>0</v>
      </c>
      <c r="DI135">
        <f>ROUND(ROUND(AH135*AL135,2)*CX135,2)</f>
        <v>8988.5</v>
      </c>
      <c r="DJ135">
        <f>DI135</f>
        <v>8988.5</v>
      </c>
      <c r="DK135">
        <v>0</v>
      </c>
      <c r="DL135" t="s">
        <v>3</v>
      </c>
      <c r="DM135">
        <v>0</v>
      </c>
      <c r="DN135" t="s">
        <v>3</v>
      </c>
      <c r="DO135">
        <v>0</v>
      </c>
    </row>
    <row r="136" spans="1:119" x14ac:dyDescent="0.2">
      <c r="A136">
        <f>ROW(Source!A81)</f>
        <v>81</v>
      </c>
      <c r="B136">
        <v>145033679</v>
      </c>
      <c r="C136">
        <v>145040329</v>
      </c>
      <c r="D136">
        <v>140760225</v>
      </c>
      <c r="E136">
        <v>70</v>
      </c>
      <c r="F136">
        <v>1</v>
      </c>
      <c r="G136">
        <v>1</v>
      </c>
      <c r="H136">
        <v>1</v>
      </c>
      <c r="I136" t="s">
        <v>730</v>
      </c>
      <c r="J136" t="s">
        <v>3</v>
      </c>
      <c r="K136" t="s">
        <v>731</v>
      </c>
      <c r="L136">
        <v>1191</v>
      </c>
      <c r="N136">
        <v>1013</v>
      </c>
      <c r="O136" t="s">
        <v>725</v>
      </c>
      <c r="P136" t="s">
        <v>725</v>
      </c>
      <c r="Q136">
        <v>1</v>
      </c>
      <c r="W136">
        <v>0</v>
      </c>
      <c r="X136">
        <v>-1417349443</v>
      </c>
      <c r="Y136">
        <f>(AT136*1.15)</f>
        <v>3.4499999999999996E-2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30.54</v>
      </c>
      <c r="AL136">
        <v>1</v>
      </c>
      <c r="AM136">
        <v>4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0.03</v>
      </c>
      <c r="AU136" t="s">
        <v>21</v>
      </c>
      <c r="AV136">
        <v>2</v>
      </c>
      <c r="AW136">
        <v>2</v>
      </c>
      <c r="AX136">
        <v>145040331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ROUND(Y136*Source!I81,9)</f>
        <v>0.1547394</v>
      </c>
      <c r="CY136">
        <f>AD136</f>
        <v>0</v>
      </c>
      <c r="CZ136">
        <f>AH136</f>
        <v>0</v>
      </c>
      <c r="DA136">
        <f>AL136</f>
        <v>1</v>
      </c>
      <c r="DB136">
        <f>ROUND((ROUND(AT136*CZ136,2)*1.15),2)</f>
        <v>0</v>
      </c>
      <c r="DC136">
        <f>ROUND((ROUND(AT136*AG136,2)*1.15),2)</f>
        <v>0</v>
      </c>
      <c r="DD136" t="s">
        <v>3</v>
      </c>
      <c r="DE136" t="s">
        <v>3</v>
      </c>
      <c r="DF136">
        <f>ROUND(ROUND(AE136,2)*CX136,2)</f>
        <v>0</v>
      </c>
      <c r="DG136">
        <f t="shared" si="37"/>
        <v>0</v>
      </c>
      <c r="DH136">
        <f>ROUND(ROUND(AG136*AK136,2)*CX136,2)</f>
        <v>0</v>
      </c>
      <c r="DI136">
        <f>ROUND(ROUND(AH136,2)*CX136,2)</f>
        <v>0</v>
      </c>
      <c r="DJ136">
        <f>DI136</f>
        <v>0</v>
      </c>
      <c r="DK136">
        <v>0</v>
      </c>
      <c r="DL136" t="s">
        <v>3</v>
      </c>
      <c r="DM136">
        <v>0</v>
      </c>
      <c r="DN136" t="s">
        <v>3</v>
      </c>
      <c r="DO136">
        <v>0</v>
      </c>
    </row>
    <row r="137" spans="1:119" x14ac:dyDescent="0.2">
      <c r="A137">
        <f>ROW(Source!A81)</f>
        <v>81</v>
      </c>
      <c r="B137">
        <v>145033679</v>
      </c>
      <c r="C137">
        <v>145040329</v>
      </c>
      <c r="D137">
        <v>140923885</v>
      </c>
      <c r="E137">
        <v>1</v>
      </c>
      <c r="F137">
        <v>1</v>
      </c>
      <c r="G137">
        <v>1</v>
      </c>
      <c r="H137">
        <v>2</v>
      </c>
      <c r="I137" t="s">
        <v>732</v>
      </c>
      <c r="J137" t="s">
        <v>733</v>
      </c>
      <c r="K137" t="s">
        <v>734</v>
      </c>
      <c r="L137">
        <v>1367</v>
      </c>
      <c r="N137">
        <v>1011</v>
      </c>
      <c r="O137" t="s">
        <v>79</v>
      </c>
      <c r="P137" t="s">
        <v>79</v>
      </c>
      <c r="Q137">
        <v>1</v>
      </c>
      <c r="W137">
        <v>0</v>
      </c>
      <c r="X137">
        <v>509054691</v>
      </c>
      <c r="Y137">
        <f>(AT137*1.15)</f>
        <v>3.4499999999999996E-2</v>
      </c>
      <c r="AA137">
        <v>0</v>
      </c>
      <c r="AB137">
        <v>797.06</v>
      </c>
      <c r="AC137">
        <v>354.26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12.13</v>
      </c>
      <c r="AK137">
        <v>30.54</v>
      </c>
      <c r="AL137">
        <v>1</v>
      </c>
      <c r="AM137">
        <v>4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0.03</v>
      </c>
      <c r="AU137" t="s">
        <v>21</v>
      </c>
      <c r="AV137">
        <v>0</v>
      </c>
      <c r="AW137">
        <v>2</v>
      </c>
      <c r="AX137">
        <v>145040332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ROUND(Y137*Source!I81,9)</f>
        <v>0.1547394</v>
      </c>
      <c r="CY137">
        <f>AB137</f>
        <v>797.06</v>
      </c>
      <c r="CZ137">
        <f>AF137</f>
        <v>65.709999999999994</v>
      </c>
      <c r="DA137">
        <f>AJ137</f>
        <v>12.13</v>
      </c>
      <c r="DB137">
        <f>ROUND((ROUND(AT137*CZ137,2)*1.15),2)</f>
        <v>2.27</v>
      </c>
      <c r="DC137">
        <f>ROUND((ROUND(AT137*AG137,2)*1.15),2)</f>
        <v>0.4</v>
      </c>
      <c r="DD137" t="s">
        <v>3</v>
      </c>
      <c r="DE137" t="s">
        <v>3</v>
      </c>
      <c r="DF137">
        <f>ROUND(ROUND(AE137,2)*CX137,2)</f>
        <v>0</v>
      </c>
      <c r="DG137">
        <f>ROUND(ROUND(AF137*AJ137,2)*CX137,2)</f>
        <v>123.34</v>
      </c>
      <c r="DH137">
        <f>ROUND(ROUND(AG137*AK137,2)*CX137,2)</f>
        <v>54.82</v>
      </c>
      <c r="DI137">
        <f>ROUND(ROUND(AH137,2)*CX137,2)</f>
        <v>0</v>
      </c>
      <c r="DJ137">
        <f>DG137</f>
        <v>123.34</v>
      </c>
      <c r="DK137">
        <v>0</v>
      </c>
      <c r="DL137" t="s">
        <v>3</v>
      </c>
      <c r="DM137">
        <v>0</v>
      </c>
      <c r="DN137" t="s">
        <v>3</v>
      </c>
      <c r="DO137">
        <v>0</v>
      </c>
    </row>
    <row r="138" spans="1:119" x14ac:dyDescent="0.2">
      <c r="A138">
        <f>ROW(Source!A81)</f>
        <v>81</v>
      </c>
      <c r="B138">
        <v>145033679</v>
      </c>
      <c r="C138">
        <v>145040329</v>
      </c>
      <c r="D138">
        <v>140772680</v>
      </c>
      <c r="E138">
        <v>1</v>
      </c>
      <c r="F138">
        <v>1</v>
      </c>
      <c r="G138">
        <v>1</v>
      </c>
      <c r="H138">
        <v>3</v>
      </c>
      <c r="I138" t="s">
        <v>735</v>
      </c>
      <c r="J138" t="s">
        <v>736</v>
      </c>
      <c r="K138" t="s">
        <v>737</v>
      </c>
      <c r="L138">
        <v>1339</v>
      </c>
      <c r="N138">
        <v>1007</v>
      </c>
      <c r="O138" t="s">
        <v>66</v>
      </c>
      <c r="P138" t="s">
        <v>66</v>
      </c>
      <c r="Q138">
        <v>1</v>
      </c>
      <c r="W138">
        <v>0</v>
      </c>
      <c r="X138">
        <v>-143474561</v>
      </c>
      <c r="Y138">
        <f>AT138</f>
        <v>8.0000000000000002E-3</v>
      </c>
      <c r="AA138">
        <v>21.25</v>
      </c>
      <c r="AB138">
        <v>0</v>
      </c>
      <c r="AC138">
        <v>0</v>
      </c>
      <c r="AD138">
        <v>0</v>
      </c>
      <c r="AE138">
        <v>2.44</v>
      </c>
      <c r="AF138">
        <v>0</v>
      </c>
      <c r="AG138">
        <v>0</v>
      </c>
      <c r="AH138">
        <v>0</v>
      </c>
      <c r="AI138">
        <v>8.7100000000000009</v>
      </c>
      <c r="AJ138">
        <v>1</v>
      </c>
      <c r="AK138">
        <v>1</v>
      </c>
      <c r="AL138">
        <v>1</v>
      </c>
      <c r="AM138">
        <v>4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8.0000000000000002E-3</v>
      </c>
      <c r="AU138" t="s">
        <v>3</v>
      </c>
      <c r="AV138">
        <v>0</v>
      </c>
      <c r="AW138">
        <v>2</v>
      </c>
      <c r="AX138">
        <v>145040333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ROUND(Y138*Source!I81,9)</f>
        <v>3.58816E-2</v>
      </c>
      <c r="CY138">
        <f>AA138</f>
        <v>21.25</v>
      </c>
      <c r="CZ138">
        <f>AE138</f>
        <v>2.44</v>
      </c>
      <c r="DA138">
        <f>AI138</f>
        <v>8.7100000000000009</v>
      </c>
      <c r="DB138">
        <f>ROUND(ROUND(AT138*CZ138,2),2)</f>
        <v>0.02</v>
      </c>
      <c r="DC138">
        <f>ROUND(ROUND(AT138*AG138,2),2)</f>
        <v>0</v>
      </c>
      <c r="DD138" t="s">
        <v>3</v>
      </c>
      <c r="DE138" t="s">
        <v>3</v>
      </c>
      <c r="DF138">
        <f>ROUND(ROUND(AE138*AI138,2)*CX138,2)</f>
        <v>0.76</v>
      </c>
      <c r="DG138">
        <f>ROUND(ROUND(AF138,2)*CX138,2)</f>
        <v>0</v>
      </c>
      <c r="DH138">
        <f>ROUND(ROUND(AG138,2)*CX138,2)</f>
        <v>0</v>
      </c>
      <c r="DI138">
        <f>ROUND(ROUND(AH138,2)*CX138,2)</f>
        <v>0</v>
      </c>
      <c r="DJ138">
        <f>DF138</f>
        <v>0.76</v>
      </c>
      <c r="DK138">
        <v>0</v>
      </c>
      <c r="DL138" t="s">
        <v>3</v>
      </c>
      <c r="DM138">
        <v>0</v>
      </c>
      <c r="DN138" t="s">
        <v>3</v>
      </c>
      <c r="DO138">
        <v>0</v>
      </c>
    </row>
    <row r="139" spans="1:119" x14ac:dyDescent="0.2">
      <c r="A139">
        <f>ROW(Source!A81)</f>
        <v>81</v>
      </c>
      <c r="B139">
        <v>145033679</v>
      </c>
      <c r="C139">
        <v>145040329</v>
      </c>
      <c r="D139">
        <v>140778438</v>
      </c>
      <c r="E139">
        <v>1</v>
      </c>
      <c r="F139">
        <v>1</v>
      </c>
      <c r="G139">
        <v>1</v>
      </c>
      <c r="H139">
        <v>3</v>
      </c>
      <c r="I139" t="s">
        <v>41</v>
      </c>
      <c r="J139" t="s">
        <v>44</v>
      </c>
      <c r="K139" t="s">
        <v>42</v>
      </c>
      <c r="L139">
        <v>1346</v>
      </c>
      <c r="N139">
        <v>1009</v>
      </c>
      <c r="O139" t="s">
        <v>43</v>
      </c>
      <c r="P139" t="s">
        <v>43</v>
      </c>
      <c r="Q139">
        <v>1</v>
      </c>
      <c r="W139">
        <v>1</v>
      </c>
      <c r="X139">
        <v>1351658750</v>
      </c>
      <c r="Y139">
        <f>AT139</f>
        <v>-27.75</v>
      </c>
      <c r="AA139">
        <v>525.74</v>
      </c>
      <c r="AB139">
        <v>0</v>
      </c>
      <c r="AC139">
        <v>0</v>
      </c>
      <c r="AD139">
        <v>0</v>
      </c>
      <c r="AE139">
        <v>60.36</v>
      </c>
      <c r="AF139">
        <v>0</v>
      </c>
      <c r="AG139">
        <v>0</v>
      </c>
      <c r="AH139">
        <v>0</v>
      </c>
      <c r="AI139">
        <v>8.7100000000000009</v>
      </c>
      <c r="AJ139">
        <v>1</v>
      </c>
      <c r="AK139">
        <v>1</v>
      </c>
      <c r="AL139">
        <v>1</v>
      </c>
      <c r="AM139">
        <v>4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-27.75</v>
      </c>
      <c r="AU139" t="s">
        <v>3</v>
      </c>
      <c r="AV139">
        <v>0</v>
      </c>
      <c r="AW139">
        <v>2</v>
      </c>
      <c r="AX139">
        <v>145040334</v>
      </c>
      <c r="AY139">
        <v>1</v>
      </c>
      <c r="AZ139">
        <v>6144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ROUND(Y139*Source!I81,9)</f>
        <v>-124.46429999999999</v>
      </c>
      <c r="CY139">
        <f>AA139</f>
        <v>525.74</v>
      </c>
      <c r="CZ139">
        <f>AE139</f>
        <v>60.36</v>
      </c>
      <c r="DA139">
        <f>AI139</f>
        <v>8.7100000000000009</v>
      </c>
      <c r="DB139">
        <f>ROUND(ROUND(AT139*CZ139,2),2)</f>
        <v>-1674.99</v>
      </c>
      <c r="DC139">
        <f>ROUND(ROUND(AT139*AG139,2),2)</f>
        <v>0</v>
      </c>
      <c r="DD139" t="s">
        <v>3</v>
      </c>
      <c r="DE139" t="s">
        <v>3</v>
      </c>
      <c r="DF139">
        <f>ROUND(ROUND(AE139*AI139,2)*CX139,2)</f>
        <v>-65435.86</v>
      </c>
      <c r="DG139">
        <f>ROUND(ROUND(AF139,2)*CX139,2)</f>
        <v>0</v>
      </c>
      <c r="DH139">
        <f>ROUND(ROUND(AG139,2)*CX139,2)</f>
        <v>0</v>
      </c>
      <c r="DI139">
        <f>ROUND(ROUND(AH139,2)*CX139,2)</f>
        <v>0</v>
      </c>
      <c r="DJ139">
        <f>DF139</f>
        <v>-65435.86</v>
      </c>
      <c r="DK139">
        <v>0</v>
      </c>
      <c r="DL139" t="s">
        <v>3</v>
      </c>
      <c r="DM139">
        <v>0</v>
      </c>
      <c r="DN139" t="s">
        <v>3</v>
      </c>
      <c r="DO139">
        <v>0</v>
      </c>
    </row>
    <row r="140" spans="1:119" x14ac:dyDescent="0.2">
      <c r="A140">
        <f>ROW(Source!A84)</f>
        <v>84</v>
      </c>
      <c r="B140">
        <v>145033679</v>
      </c>
      <c r="C140">
        <v>145040349</v>
      </c>
      <c r="D140">
        <v>140759991</v>
      </c>
      <c r="E140">
        <v>70</v>
      </c>
      <c r="F140">
        <v>1</v>
      </c>
      <c r="G140">
        <v>1</v>
      </c>
      <c r="H140">
        <v>1</v>
      </c>
      <c r="I140" t="s">
        <v>738</v>
      </c>
      <c r="J140" t="s">
        <v>3</v>
      </c>
      <c r="K140" t="s">
        <v>739</v>
      </c>
      <c r="L140">
        <v>1191</v>
      </c>
      <c r="N140">
        <v>1013</v>
      </c>
      <c r="O140" t="s">
        <v>725</v>
      </c>
      <c r="P140" t="s">
        <v>725</v>
      </c>
      <c r="Q140">
        <v>1</v>
      </c>
      <c r="W140">
        <v>0</v>
      </c>
      <c r="X140">
        <v>-112797078</v>
      </c>
      <c r="Y140">
        <f>(AT140*1.15)</f>
        <v>55.050499999999992</v>
      </c>
      <c r="AA140">
        <v>0</v>
      </c>
      <c r="AB140">
        <v>0</v>
      </c>
      <c r="AC140">
        <v>0</v>
      </c>
      <c r="AD140">
        <v>273.94</v>
      </c>
      <c r="AE140">
        <v>0</v>
      </c>
      <c r="AF140">
        <v>0</v>
      </c>
      <c r="AG140">
        <v>0</v>
      </c>
      <c r="AH140">
        <v>8.9700000000000006</v>
      </c>
      <c r="AI140">
        <v>1</v>
      </c>
      <c r="AJ140">
        <v>1</v>
      </c>
      <c r="AK140">
        <v>1</v>
      </c>
      <c r="AL140">
        <v>30.54</v>
      </c>
      <c r="AM140">
        <v>4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47.87</v>
      </c>
      <c r="AU140" t="s">
        <v>21</v>
      </c>
      <c r="AV140">
        <v>1</v>
      </c>
      <c r="AW140">
        <v>2</v>
      </c>
      <c r="AX140">
        <v>145040350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ROUND(Y140*Source!I84,9)</f>
        <v>123.45625130000001</v>
      </c>
      <c r="CY140">
        <f>AD140</f>
        <v>273.94</v>
      </c>
      <c r="CZ140">
        <f>AH140</f>
        <v>8.9700000000000006</v>
      </c>
      <c r="DA140">
        <f>AL140</f>
        <v>30.54</v>
      </c>
      <c r="DB140">
        <f>ROUND((ROUND(AT140*CZ140,2)*1.15),2)</f>
        <v>493.8</v>
      </c>
      <c r="DC140">
        <f>ROUND((ROUND(AT140*AG140,2)*1.15),2)</f>
        <v>0</v>
      </c>
      <c r="DD140" t="s">
        <v>3</v>
      </c>
      <c r="DE140" t="s">
        <v>3</v>
      </c>
      <c r="DF140">
        <f>ROUND(ROUND(AE140,2)*CX140,2)</f>
        <v>0</v>
      </c>
      <c r="DG140">
        <f>ROUND(ROUND(AF140,2)*CX140,2)</f>
        <v>0</v>
      </c>
      <c r="DH140">
        <f>ROUND(ROUND(AG140,2)*CX140,2)</f>
        <v>0</v>
      </c>
      <c r="DI140">
        <f>ROUND(ROUND(AH140*AL140,2)*CX140,2)</f>
        <v>33819.61</v>
      </c>
      <c r="DJ140">
        <f>DI140</f>
        <v>33819.61</v>
      </c>
      <c r="DK140">
        <v>0</v>
      </c>
      <c r="DL140" t="s">
        <v>3</v>
      </c>
      <c r="DM140">
        <v>0</v>
      </c>
      <c r="DN140" t="s">
        <v>3</v>
      </c>
      <c r="DO140">
        <v>0</v>
      </c>
    </row>
    <row r="141" spans="1:119" x14ac:dyDescent="0.2">
      <c r="A141">
        <f>ROW(Source!A84)</f>
        <v>84</v>
      </c>
      <c r="B141">
        <v>145033679</v>
      </c>
      <c r="C141">
        <v>145040349</v>
      </c>
      <c r="D141">
        <v>140760225</v>
      </c>
      <c r="E141">
        <v>70</v>
      </c>
      <c r="F141">
        <v>1</v>
      </c>
      <c r="G141">
        <v>1</v>
      </c>
      <c r="H141">
        <v>1</v>
      </c>
      <c r="I141" t="s">
        <v>730</v>
      </c>
      <c r="J141" t="s">
        <v>3</v>
      </c>
      <c r="K141" t="s">
        <v>731</v>
      </c>
      <c r="L141">
        <v>1191</v>
      </c>
      <c r="N141">
        <v>1013</v>
      </c>
      <c r="O141" t="s">
        <v>725</v>
      </c>
      <c r="P141" t="s">
        <v>725</v>
      </c>
      <c r="Q141">
        <v>1</v>
      </c>
      <c r="W141">
        <v>0</v>
      </c>
      <c r="X141">
        <v>-1417349443</v>
      </c>
      <c r="Y141">
        <f>(AT141*1.15)</f>
        <v>1.7479999999999998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30.54</v>
      </c>
      <c r="AL141">
        <v>1</v>
      </c>
      <c r="AM141">
        <v>4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1.52</v>
      </c>
      <c r="AU141" t="s">
        <v>21</v>
      </c>
      <c r="AV141">
        <v>2</v>
      </c>
      <c r="AW141">
        <v>2</v>
      </c>
      <c r="AX141">
        <v>145040351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ROUND(Y141*Source!I84,9)</f>
        <v>3.9200648</v>
      </c>
      <c r="CY141">
        <f>AD141</f>
        <v>0</v>
      </c>
      <c r="CZ141">
        <f>AH141</f>
        <v>0</v>
      </c>
      <c r="DA141">
        <f>AL141</f>
        <v>1</v>
      </c>
      <c r="DB141">
        <f>ROUND((ROUND(AT141*CZ141,2)*1.15),2)</f>
        <v>0</v>
      </c>
      <c r="DC141">
        <f>ROUND((ROUND(AT141*AG141,2)*1.15),2)</f>
        <v>0</v>
      </c>
      <c r="DD141" t="s">
        <v>3</v>
      </c>
      <c r="DE141" t="s">
        <v>3</v>
      </c>
      <c r="DF141">
        <f>ROUND(ROUND(AE141,2)*CX141,2)</f>
        <v>0</v>
      </c>
      <c r="DG141">
        <f>ROUND(ROUND(AF141,2)*CX141,2)</f>
        <v>0</v>
      </c>
      <c r="DH141">
        <f>ROUND(ROUND(AG141*AK141,2)*CX141,2)</f>
        <v>0</v>
      </c>
      <c r="DI141">
        <f>ROUND(ROUND(AH141,2)*CX141,2)</f>
        <v>0</v>
      </c>
      <c r="DJ141">
        <f>DI141</f>
        <v>0</v>
      </c>
      <c r="DK141">
        <v>0</v>
      </c>
      <c r="DL141" t="s">
        <v>3</v>
      </c>
      <c r="DM141">
        <v>0</v>
      </c>
      <c r="DN141" t="s">
        <v>3</v>
      </c>
      <c r="DO141">
        <v>0</v>
      </c>
    </row>
    <row r="142" spans="1:119" x14ac:dyDescent="0.2">
      <c r="A142">
        <f>ROW(Source!A84)</f>
        <v>84</v>
      </c>
      <c r="B142">
        <v>145033679</v>
      </c>
      <c r="C142">
        <v>145040349</v>
      </c>
      <c r="D142">
        <v>140923885</v>
      </c>
      <c r="E142">
        <v>1</v>
      </c>
      <c r="F142">
        <v>1</v>
      </c>
      <c r="G142">
        <v>1</v>
      </c>
      <c r="H142">
        <v>2</v>
      </c>
      <c r="I142" t="s">
        <v>732</v>
      </c>
      <c r="J142" t="s">
        <v>733</v>
      </c>
      <c r="K142" t="s">
        <v>734</v>
      </c>
      <c r="L142">
        <v>1367</v>
      </c>
      <c r="N142">
        <v>1011</v>
      </c>
      <c r="O142" t="s">
        <v>79</v>
      </c>
      <c r="P142" t="s">
        <v>79</v>
      </c>
      <c r="Q142">
        <v>1</v>
      </c>
      <c r="W142">
        <v>0</v>
      </c>
      <c r="X142">
        <v>509054691</v>
      </c>
      <c r="Y142">
        <f>(AT142*1.15)</f>
        <v>1.7479999999999998</v>
      </c>
      <c r="AA142">
        <v>0</v>
      </c>
      <c r="AB142">
        <v>797.06</v>
      </c>
      <c r="AC142">
        <v>354.26</v>
      </c>
      <c r="AD142">
        <v>0</v>
      </c>
      <c r="AE142">
        <v>0</v>
      </c>
      <c r="AF142">
        <v>65.709999999999994</v>
      </c>
      <c r="AG142">
        <v>11.6</v>
      </c>
      <c r="AH142">
        <v>0</v>
      </c>
      <c r="AI142">
        <v>1</v>
      </c>
      <c r="AJ142">
        <v>12.13</v>
      </c>
      <c r="AK142">
        <v>30.54</v>
      </c>
      <c r="AL142">
        <v>1</v>
      </c>
      <c r="AM142">
        <v>4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1.52</v>
      </c>
      <c r="AU142" t="s">
        <v>21</v>
      </c>
      <c r="AV142">
        <v>0</v>
      </c>
      <c r="AW142">
        <v>2</v>
      </c>
      <c r="AX142">
        <v>145040352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ROUND(Y142*Source!I84,9)</f>
        <v>3.9200648</v>
      </c>
      <c r="CY142">
        <f>AB142</f>
        <v>797.06</v>
      </c>
      <c r="CZ142">
        <f>AF142</f>
        <v>65.709999999999994</v>
      </c>
      <c r="DA142">
        <f>AJ142</f>
        <v>12.13</v>
      </c>
      <c r="DB142">
        <f>ROUND((ROUND(AT142*CZ142,2)*1.15),2)</f>
        <v>114.86</v>
      </c>
      <c r="DC142">
        <f>ROUND((ROUND(AT142*AG142,2)*1.15),2)</f>
        <v>20.27</v>
      </c>
      <c r="DD142" t="s">
        <v>3</v>
      </c>
      <c r="DE142" t="s">
        <v>3</v>
      </c>
      <c r="DF142">
        <f>ROUND(ROUND(AE142,2)*CX142,2)</f>
        <v>0</v>
      </c>
      <c r="DG142">
        <f>ROUND(ROUND(AF142*AJ142,2)*CX142,2)</f>
        <v>3124.53</v>
      </c>
      <c r="DH142">
        <f>ROUND(ROUND(AG142*AK142,2)*CX142,2)</f>
        <v>1388.72</v>
      </c>
      <c r="DI142">
        <f>ROUND(ROUND(AH142,2)*CX142,2)</f>
        <v>0</v>
      </c>
      <c r="DJ142">
        <f>DG142</f>
        <v>3124.53</v>
      </c>
      <c r="DK142">
        <v>0</v>
      </c>
      <c r="DL142" t="s">
        <v>3</v>
      </c>
      <c r="DM142">
        <v>0</v>
      </c>
      <c r="DN142" t="s">
        <v>3</v>
      </c>
      <c r="DO142">
        <v>0</v>
      </c>
    </row>
    <row r="143" spans="1:119" x14ac:dyDescent="0.2">
      <c r="A143">
        <f>ROW(Source!A84)</f>
        <v>84</v>
      </c>
      <c r="B143">
        <v>145033679</v>
      </c>
      <c r="C143">
        <v>145040349</v>
      </c>
      <c r="D143">
        <v>140772680</v>
      </c>
      <c r="E143">
        <v>1</v>
      </c>
      <c r="F143">
        <v>1</v>
      </c>
      <c r="G143">
        <v>1</v>
      </c>
      <c r="H143">
        <v>3</v>
      </c>
      <c r="I143" t="s">
        <v>735</v>
      </c>
      <c r="J143" t="s">
        <v>736</v>
      </c>
      <c r="K143" t="s">
        <v>737</v>
      </c>
      <c r="L143">
        <v>1339</v>
      </c>
      <c r="N143">
        <v>1007</v>
      </c>
      <c r="O143" t="s">
        <v>66</v>
      </c>
      <c r="P143" t="s">
        <v>66</v>
      </c>
      <c r="Q143">
        <v>1</v>
      </c>
      <c r="W143">
        <v>0</v>
      </c>
      <c r="X143">
        <v>-143474561</v>
      </c>
      <c r="Y143">
        <f>AT143</f>
        <v>0</v>
      </c>
      <c r="AA143">
        <v>21.25</v>
      </c>
      <c r="AB143">
        <v>0</v>
      </c>
      <c r="AC143">
        <v>0</v>
      </c>
      <c r="AD143">
        <v>0</v>
      </c>
      <c r="AE143">
        <v>2.44</v>
      </c>
      <c r="AF143">
        <v>0</v>
      </c>
      <c r="AG143">
        <v>0</v>
      </c>
      <c r="AH143">
        <v>0</v>
      </c>
      <c r="AI143">
        <v>8.7100000000000009</v>
      </c>
      <c r="AJ143">
        <v>1</v>
      </c>
      <c r="AK143">
        <v>1</v>
      </c>
      <c r="AL143">
        <v>1</v>
      </c>
      <c r="AM143">
        <v>4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3</v>
      </c>
      <c r="AT143">
        <v>0</v>
      </c>
      <c r="AU143" t="s">
        <v>3</v>
      </c>
      <c r="AV143">
        <v>0</v>
      </c>
      <c r="AW143">
        <v>2</v>
      </c>
      <c r="AX143">
        <v>145040353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ROUND(Y143*Source!I84,9)</f>
        <v>0</v>
      </c>
      <c r="CY143">
        <f>AA143</f>
        <v>21.25</v>
      </c>
      <c r="CZ143">
        <f>AE143</f>
        <v>2.44</v>
      </c>
      <c r="DA143">
        <f>AI143</f>
        <v>8.7100000000000009</v>
      </c>
      <c r="DB143">
        <f>ROUND(ROUND(AT143*CZ143,2),2)</f>
        <v>0</v>
      </c>
      <c r="DC143">
        <f>ROUND(ROUND(AT143*AG143,2),2)</f>
        <v>0</v>
      </c>
      <c r="DD143" t="s">
        <v>3</v>
      </c>
      <c r="DE143" t="s">
        <v>3</v>
      </c>
      <c r="DF143">
        <f>ROUND(ROUND(AE143*AI143,2)*CX143,2)</f>
        <v>0</v>
      </c>
      <c r="DG143">
        <f>ROUND(ROUND(AF143,2)*CX143,2)</f>
        <v>0</v>
      </c>
      <c r="DH143">
        <f>ROUND(ROUND(AG143,2)*CX143,2)</f>
        <v>0</v>
      </c>
      <c r="DI143">
        <f>ROUND(ROUND(AH143,2)*CX143,2)</f>
        <v>0</v>
      </c>
      <c r="DJ143">
        <f>DF143</f>
        <v>0</v>
      </c>
      <c r="DK143">
        <v>0</v>
      </c>
      <c r="DL143" t="s">
        <v>3</v>
      </c>
      <c r="DM143">
        <v>0</v>
      </c>
      <c r="DN143" t="s">
        <v>3</v>
      </c>
      <c r="DO143">
        <v>0</v>
      </c>
    </row>
    <row r="144" spans="1:119" x14ac:dyDescent="0.2">
      <c r="A144">
        <f>ROW(Source!A84)</f>
        <v>84</v>
      </c>
      <c r="B144">
        <v>145033679</v>
      </c>
      <c r="C144">
        <v>145040349</v>
      </c>
      <c r="D144">
        <v>140761147</v>
      </c>
      <c r="E144">
        <v>70</v>
      </c>
      <c r="F144">
        <v>1</v>
      </c>
      <c r="G144">
        <v>1</v>
      </c>
      <c r="H144">
        <v>3</v>
      </c>
      <c r="I144" t="s">
        <v>740</v>
      </c>
      <c r="J144" t="s">
        <v>3</v>
      </c>
      <c r="K144" t="s">
        <v>741</v>
      </c>
      <c r="L144">
        <v>1346</v>
      </c>
      <c r="N144">
        <v>1009</v>
      </c>
      <c r="O144" t="s">
        <v>43</v>
      </c>
      <c r="P144" t="s">
        <v>43</v>
      </c>
      <c r="Q144">
        <v>1</v>
      </c>
      <c r="W144">
        <v>0</v>
      </c>
      <c r="X144">
        <v>-1123584527</v>
      </c>
      <c r="Y144">
        <f>AT144</f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8.7100000000000009</v>
      </c>
      <c r="AJ144">
        <v>1</v>
      </c>
      <c r="AK144">
        <v>1</v>
      </c>
      <c r="AL144">
        <v>1</v>
      </c>
      <c r="AM144">
        <v>4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3</v>
      </c>
      <c r="AT144">
        <v>0</v>
      </c>
      <c r="AU144" t="s">
        <v>3</v>
      </c>
      <c r="AV144">
        <v>0</v>
      </c>
      <c r="AW144">
        <v>2</v>
      </c>
      <c r="AX144">
        <v>145040354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ROUND(Y144*Source!I84,9)</f>
        <v>0</v>
      </c>
      <c r="CY144">
        <f>AA144</f>
        <v>0</v>
      </c>
      <c r="CZ144">
        <f>AE144</f>
        <v>0</v>
      </c>
      <c r="DA144">
        <f>AI144</f>
        <v>8.7100000000000009</v>
      </c>
      <c r="DB144">
        <f>ROUND(ROUND(AT144*CZ144,2),2)</f>
        <v>0</v>
      </c>
      <c r="DC144">
        <f>ROUND(ROUND(AT144*AG144,2),2)</f>
        <v>0</v>
      </c>
      <c r="DD144" t="s">
        <v>3</v>
      </c>
      <c r="DE144" t="s">
        <v>3</v>
      </c>
      <c r="DF144">
        <f>ROUND(ROUND(AE144*AI144,2)*CX144,2)</f>
        <v>0</v>
      </c>
      <c r="DG144">
        <f>ROUND(ROUND(AF144,2)*CX144,2)</f>
        <v>0</v>
      </c>
      <c r="DH144">
        <f>ROUND(ROUND(AG144,2)*CX144,2)</f>
        <v>0</v>
      </c>
      <c r="DI144">
        <f>ROUND(ROUND(AH144,2)*CX144,2)</f>
        <v>0</v>
      </c>
      <c r="DJ144">
        <f>DF144</f>
        <v>0</v>
      </c>
      <c r="DK144">
        <v>0</v>
      </c>
      <c r="DL144" t="s">
        <v>3</v>
      </c>
      <c r="DM144">
        <v>0</v>
      </c>
      <c r="DN144" t="s">
        <v>3</v>
      </c>
      <c r="DO144">
        <v>0</v>
      </c>
    </row>
    <row r="145" spans="1:119" x14ac:dyDescent="0.2">
      <c r="A145">
        <f>ROW(Source!A84)</f>
        <v>84</v>
      </c>
      <c r="B145">
        <v>145033679</v>
      </c>
      <c r="C145">
        <v>145040349</v>
      </c>
      <c r="D145">
        <v>140803795</v>
      </c>
      <c r="E145">
        <v>1</v>
      </c>
      <c r="F145">
        <v>1</v>
      </c>
      <c r="G145">
        <v>1</v>
      </c>
      <c r="H145">
        <v>3</v>
      </c>
      <c r="I145" t="s">
        <v>742</v>
      </c>
      <c r="J145" t="s">
        <v>743</v>
      </c>
      <c r="K145" t="s">
        <v>744</v>
      </c>
      <c r="L145">
        <v>1296</v>
      </c>
      <c r="N145">
        <v>1002</v>
      </c>
      <c r="O145" t="s">
        <v>147</v>
      </c>
      <c r="P145" t="s">
        <v>147</v>
      </c>
      <c r="Q145">
        <v>1</v>
      </c>
      <c r="W145">
        <v>0</v>
      </c>
      <c r="X145">
        <v>-344767669</v>
      </c>
      <c r="Y145">
        <f>AT145</f>
        <v>0</v>
      </c>
      <c r="AA145">
        <v>408.15</v>
      </c>
      <c r="AB145">
        <v>0</v>
      </c>
      <c r="AC145">
        <v>0</v>
      </c>
      <c r="AD145">
        <v>0</v>
      </c>
      <c r="AE145">
        <v>46.86</v>
      </c>
      <c r="AF145">
        <v>0</v>
      </c>
      <c r="AG145">
        <v>0</v>
      </c>
      <c r="AH145">
        <v>0</v>
      </c>
      <c r="AI145">
        <v>8.7100000000000009</v>
      </c>
      <c r="AJ145">
        <v>1</v>
      </c>
      <c r="AK145">
        <v>1</v>
      </c>
      <c r="AL145">
        <v>1</v>
      </c>
      <c r="AM145">
        <v>4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0</v>
      </c>
      <c r="AU145" t="s">
        <v>3</v>
      </c>
      <c r="AV145">
        <v>0</v>
      </c>
      <c r="AW145">
        <v>2</v>
      </c>
      <c r="AX145">
        <v>145040355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ROUND(Y145*Source!I84,9)</f>
        <v>0</v>
      </c>
      <c r="CY145">
        <f>AA145</f>
        <v>408.15</v>
      </c>
      <c r="CZ145">
        <f>AE145</f>
        <v>46.86</v>
      </c>
      <c r="DA145">
        <f>AI145</f>
        <v>8.7100000000000009</v>
      </c>
      <c r="DB145">
        <f>ROUND(ROUND(AT145*CZ145,2),2)</f>
        <v>0</v>
      </c>
      <c r="DC145">
        <f>ROUND(ROUND(AT145*AG145,2),2)</f>
        <v>0</v>
      </c>
      <c r="DD145" t="s">
        <v>3</v>
      </c>
      <c r="DE145" t="s">
        <v>3</v>
      </c>
      <c r="DF145">
        <f>ROUND(ROUND(AE145*AI145,2)*CX145,2)</f>
        <v>0</v>
      </c>
      <c r="DG145">
        <f>ROUND(ROUND(AF145,2)*CX145,2)</f>
        <v>0</v>
      </c>
      <c r="DH145">
        <f>ROUND(ROUND(AG145,2)*CX145,2)</f>
        <v>0</v>
      </c>
      <c r="DI145">
        <f>ROUND(ROUND(AH145,2)*CX145,2)</f>
        <v>0</v>
      </c>
      <c r="DJ145">
        <f>DF145</f>
        <v>0</v>
      </c>
      <c r="DK145">
        <v>0</v>
      </c>
      <c r="DL145" t="s">
        <v>3</v>
      </c>
      <c r="DM145">
        <v>0</v>
      </c>
      <c r="DN145" t="s">
        <v>3</v>
      </c>
      <c r="DO145">
        <v>0</v>
      </c>
    </row>
    <row r="146" spans="1:119" x14ac:dyDescent="0.2">
      <c r="A146">
        <f>ROW(Source!A85)</f>
        <v>85</v>
      </c>
      <c r="B146">
        <v>145033679</v>
      </c>
      <c r="C146">
        <v>145040356</v>
      </c>
      <c r="D146">
        <v>140759991</v>
      </c>
      <c r="E146">
        <v>70</v>
      </c>
      <c r="F146">
        <v>1</v>
      </c>
      <c r="G146">
        <v>1</v>
      </c>
      <c r="H146">
        <v>1</v>
      </c>
      <c r="I146" t="s">
        <v>738</v>
      </c>
      <c r="J146" t="s">
        <v>3</v>
      </c>
      <c r="K146" t="s">
        <v>739</v>
      </c>
      <c r="L146">
        <v>1191</v>
      </c>
      <c r="N146">
        <v>1013</v>
      </c>
      <c r="O146" t="s">
        <v>725</v>
      </c>
      <c r="P146" t="s">
        <v>725</v>
      </c>
      <c r="Q146">
        <v>1</v>
      </c>
      <c r="W146">
        <v>0</v>
      </c>
      <c r="X146">
        <v>-112797078</v>
      </c>
      <c r="Y146">
        <f>(AT146*1.15)</f>
        <v>5.0369999999999999</v>
      </c>
      <c r="AA146">
        <v>0</v>
      </c>
      <c r="AB146">
        <v>0</v>
      </c>
      <c r="AC146">
        <v>0</v>
      </c>
      <c r="AD146">
        <v>273.94</v>
      </c>
      <c r="AE146">
        <v>0</v>
      </c>
      <c r="AF146">
        <v>0</v>
      </c>
      <c r="AG146">
        <v>0</v>
      </c>
      <c r="AH146">
        <v>8.9700000000000006</v>
      </c>
      <c r="AI146">
        <v>1</v>
      </c>
      <c r="AJ146">
        <v>1</v>
      </c>
      <c r="AK146">
        <v>1</v>
      </c>
      <c r="AL146">
        <v>30.54</v>
      </c>
      <c r="AM146">
        <v>4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4.38</v>
      </c>
      <c r="AU146" t="s">
        <v>21</v>
      </c>
      <c r="AV146">
        <v>1</v>
      </c>
      <c r="AW146">
        <v>2</v>
      </c>
      <c r="AX146">
        <v>145040357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ROUND(Y146*Source!I85,9)</f>
        <v>-11.2959762</v>
      </c>
      <c r="CY146">
        <f>AD146</f>
        <v>273.94</v>
      </c>
      <c r="CZ146">
        <f>AH146</f>
        <v>8.9700000000000006</v>
      </c>
      <c r="DA146">
        <f>AL146</f>
        <v>30.54</v>
      </c>
      <c r="DB146">
        <f>ROUND((ROUND(AT146*CZ146,2)*1.15),2)</f>
        <v>45.18</v>
      </c>
      <c r="DC146">
        <f>ROUND((ROUND(AT146*AG146,2)*1.15),2)</f>
        <v>0</v>
      </c>
      <c r="DD146" t="s">
        <v>3</v>
      </c>
      <c r="DE146" t="s">
        <v>3</v>
      </c>
      <c r="DF146">
        <f>ROUND(ROUND(AE146,2)*CX146,2)</f>
        <v>0</v>
      </c>
      <c r="DG146">
        <f>ROUND(ROUND(AF146,2)*CX146,2)</f>
        <v>0</v>
      </c>
      <c r="DH146">
        <f>ROUND(ROUND(AG146,2)*CX146,2)</f>
        <v>0</v>
      </c>
      <c r="DI146">
        <f>ROUND(ROUND(AH146*AL146,2)*CX146,2)</f>
        <v>-3094.42</v>
      </c>
      <c r="DJ146">
        <f>DI146</f>
        <v>-3094.42</v>
      </c>
      <c r="DK146">
        <v>0</v>
      </c>
      <c r="DL146" t="s">
        <v>3</v>
      </c>
      <c r="DM146">
        <v>0</v>
      </c>
      <c r="DN146" t="s">
        <v>3</v>
      </c>
      <c r="DO146">
        <v>0</v>
      </c>
    </row>
    <row r="147" spans="1:119" x14ac:dyDescent="0.2">
      <c r="A147">
        <f>ROW(Source!A85)</f>
        <v>85</v>
      </c>
      <c r="B147">
        <v>145033679</v>
      </c>
      <c r="C147">
        <v>145040356</v>
      </c>
      <c r="D147">
        <v>140760225</v>
      </c>
      <c r="E147">
        <v>70</v>
      </c>
      <c r="F147">
        <v>1</v>
      </c>
      <c r="G147">
        <v>1</v>
      </c>
      <c r="H147">
        <v>1</v>
      </c>
      <c r="I147" t="s">
        <v>730</v>
      </c>
      <c r="J147" t="s">
        <v>3</v>
      </c>
      <c r="K147" t="s">
        <v>731</v>
      </c>
      <c r="L147">
        <v>1191</v>
      </c>
      <c r="N147">
        <v>1013</v>
      </c>
      <c r="O147" t="s">
        <v>725</v>
      </c>
      <c r="P147" t="s">
        <v>725</v>
      </c>
      <c r="Q147">
        <v>1</v>
      </c>
      <c r="W147">
        <v>0</v>
      </c>
      <c r="X147">
        <v>-1417349443</v>
      </c>
      <c r="Y147">
        <f>(AT147*1.15)</f>
        <v>0.43699999999999994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30.54</v>
      </c>
      <c r="AL147">
        <v>1</v>
      </c>
      <c r="AM147">
        <v>4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0.38</v>
      </c>
      <c r="AU147" t="s">
        <v>21</v>
      </c>
      <c r="AV147">
        <v>2</v>
      </c>
      <c r="AW147">
        <v>2</v>
      </c>
      <c r="AX147">
        <v>145040358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ROUND(Y147*Source!I85,9)</f>
        <v>-0.9800162</v>
      </c>
      <c r="CY147">
        <f>AD147</f>
        <v>0</v>
      </c>
      <c r="CZ147">
        <f>AH147</f>
        <v>0</v>
      </c>
      <c r="DA147">
        <f>AL147</f>
        <v>1</v>
      </c>
      <c r="DB147">
        <f>ROUND((ROUND(AT147*CZ147,2)*1.15),2)</f>
        <v>0</v>
      </c>
      <c r="DC147">
        <f>ROUND((ROUND(AT147*AG147,2)*1.15),2)</f>
        <v>0</v>
      </c>
      <c r="DD147" t="s">
        <v>3</v>
      </c>
      <c r="DE147" t="s">
        <v>3</v>
      </c>
      <c r="DF147">
        <f>ROUND(ROUND(AE147,2)*CX147,2)</f>
        <v>0</v>
      </c>
      <c r="DG147">
        <f>ROUND(ROUND(AF147,2)*CX147,2)</f>
        <v>0</v>
      </c>
      <c r="DH147">
        <f>ROUND(ROUND(AG147*AK147,2)*CX147,2)</f>
        <v>0</v>
      </c>
      <c r="DI147">
        <f>ROUND(ROUND(AH147,2)*CX147,2)</f>
        <v>0</v>
      </c>
      <c r="DJ147">
        <f>DI147</f>
        <v>0</v>
      </c>
      <c r="DK147">
        <v>0</v>
      </c>
      <c r="DL147" t="s">
        <v>3</v>
      </c>
      <c r="DM147">
        <v>0</v>
      </c>
      <c r="DN147" t="s">
        <v>3</v>
      </c>
      <c r="DO147">
        <v>0</v>
      </c>
    </row>
    <row r="148" spans="1:119" x14ac:dyDescent="0.2">
      <c r="A148">
        <f>ROW(Source!A85)</f>
        <v>85</v>
      </c>
      <c r="B148">
        <v>145033679</v>
      </c>
      <c r="C148">
        <v>145040356</v>
      </c>
      <c r="D148">
        <v>140923885</v>
      </c>
      <c r="E148">
        <v>1</v>
      </c>
      <c r="F148">
        <v>1</v>
      </c>
      <c r="G148">
        <v>1</v>
      </c>
      <c r="H148">
        <v>2</v>
      </c>
      <c r="I148" t="s">
        <v>732</v>
      </c>
      <c r="J148" t="s">
        <v>733</v>
      </c>
      <c r="K148" t="s">
        <v>734</v>
      </c>
      <c r="L148">
        <v>1367</v>
      </c>
      <c r="N148">
        <v>1011</v>
      </c>
      <c r="O148" t="s">
        <v>79</v>
      </c>
      <c r="P148" t="s">
        <v>79</v>
      </c>
      <c r="Q148">
        <v>1</v>
      </c>
      <c r="W148">
        <v>0</v>
      </c>
      <c r="X148">
        <v>509054691</v>
      </c>
      <c r="Y148">
        <f>(AT148*1.15)</f>
        <v>0.43699999999999994</v>
      </c>
      <c r="AA148">
        <v>0</v>
      </c>
      <c r="AB148">
        <v>797.06</v>
      </c>
      <c r="AC148">
        <v>354.26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12.13</v>
      </c>
      <c r="AK148">
        <v>30.54</v>
      </c>
      <c r="AL148">
        <v>1</v>
      </c>
      <c r="AM148">
        <v>4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0.38</v>
      </c>
      <c r="AU148" t="s">
        <v>21</v>
      </c>
      <c r="AV148">
        <v>0</v>
      </c>
      <c r="AW148">
        <v>2</v>
      </c>
      <c r="AX148">
        <v>145040359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ROUND(Y148*Source!I85,9)</f>
        <v>-0.9800162</v>
      </c>
      <c r="CY148">
        <f>AB148</f>
        <v>797.06</v>
      </c>
      <c r="CZ148">
        <f>AF148</f>
        <v>65.709999999999994</v>
      </c>
      <c r="DA148">
        <f>AJ148</f>
        <v>12.13</v>
      </c>
      <c r="DB148">
        <f>ROUND((ROUND(AT148*CZ148,2)*1.15),2)</f>
        <v>28.72</v>
      </c>
      <c r="DC148">
        <f>ROUND((ROUND(AT148*AG148,2)*1.15),2)</f>
        <v>5.07</v>
      </c>
      <c r="DD148" t="s">
        <v>3</v>
      </c>
      <c r="DE148" t="s">
        <v>3</v>
      </c>
      <c r="DF148">
        <f>ROUND(ROUND(AE148,2)*CX148,2)</f>
        <v>0</v>
      </c>
      <c r="DG148">
        <f>ROUND(ROUND(AF148*AJ148,2)*CX148,2)</f>
        <v>-781.13</v>
      </c>
      <c r="DH148">
        <f>ROUND(ROUND(AG148*AK148,2)*CX148,2)</f>
        <v>-347.18</v>
      </c>
      <c r="DI148">
        <f>ROUND(ROUND(AH148,2)*CX148,2)</f>
        <v>0</v>
      </c>
      <c r="DJ148">
        <f>DG148</f>
        <v>-781.13</v>
      </c>
      <c r="DK148">
        <v>0</v>
      </c>
      <c r="DL148" t="s">
        <v>3</v>
      </c>
      <c r="DM148">
        <v>0</v>
      </c>
      <c r="DN148" t="s">
        <v>3</v>
      </c>
      <c r="DO148">
        <v>0</v>
      </c>
    </row>
    <row r="149" spans="1:119" x14ac:dyDescent="0.2">
      <c r="A149">
        <f>ROW(Source!A85)</f>
        <v>85</v>
      </c>
      <c r="B149">
        <v>145033679</v>
      </c>
      <c r="C149">
        <v>145040356</v>
      </c>
      <c r="D149">
        <v>140772680</v>
      </c>
      <c r="E149">
        <v>1</v>
      </c>
      <c r="F149">
        <v>1</v>
      </c>
      <c r="G149">
        <v>1</v>
      </c>
      <c r="H149">
        <v>3</v>
      </c>
      <c r="I149" t="s">
        <v>735</v>
      </c>
      <c r="J149" t="s">
        <v>736</v>
      </c>
      <c r="K149" t="s">
        <v>737</v>
      </c>
      <c r="L149">
        <v>1339</v>
      </c>
      <c r="N149">
        <v>1007</v>
      </c>
      <c r="O149" t="s">
        <v>66</v>
      </c>
      <c r="P149" t="s">
        <v>66</v>
      </c>
      <c r="Q149">
        <v>1</v>
      </c>
      <c r="W149">
        <v>0</v>
      </c>
      <c r="X149">
        <v>-143474561</v>
      </c>
      <c r="Y149">
        <f>AT149</f>
        <v>0</v>
      </c>
      <c r="AA149">
        <v>21.25</v>
      </c>
      <c r="AB149">
        <v>0</v>
      </c>
      <c r="AC149">
        <v>0</v>
      </c>
      <c r="AD149">
        <v>0</v>
      </c>
      <c r="AE149">
        <v>2.44</v>
      </c>
      <c r="AF149">
        <v>0</v>
      </c>
      <c r="AG149">
        <v>0</v>
      </c>
      <c r="AH149">
        <v>0</v>
      </c>
      <c r="AI149">
        <v>8.7100000000000009</v>
      </c>
      <c r="AJ149">
        <v>1</v>
      </c>
      <c r="AK149">
        <v>1</v>
      </c>
      <c r="AL149">
        <v>1</v>
      </c>
      <c r="AM149">
        <v>4</v>
      </c>
      <c r="AN149">
        <v>1</v>
      </c>
      <c r="AO149">
        <v>0</v>
      </c>
      <c r="AP149">
        <v>1</v>
      </c>
      <c r="AQ149">
        <v>0</v>
      </c>
      <c r="AR149">
        <v>0</v>
      </c>
      <c r="AS149" t="s">
        <v>3</v>
      </c>
      <c r="AT149">
        <v>0</v>
      </c>
      <c r="AU149" t="s">
        <v>3</v>
      </c>
      <c r="AV149">
        <v>0</v>
      </c>
      <c r="AW149">
        <v>2</v>
      </c>
      <c r="AX149">
        <v>145040360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ROUND(Y149*Source!I85,9)</f>
        <v>0</v>
      </c>
      <c r="CY149">
        <f>AA149</f>
        <v>21.25</v>
      </c>
      <c r="CZ149">
        <f>AE149</f>
        <v>2.44</v>
      </c>
      <c r="DA149">
        <f>AI149</f>
        <v>8.7100000000000009</v>
      </c>
      <c r="DB149">
        <f>ROUND(ROUND(AT149*CZ149,2),2)</f>
        <v>0</v>
      </c>
      <c r="DC149">
        <f>ROUND(ROUND(AT149*AG149,2),2)</f>
        <v>0</v>
      </c>
      <c r="DD149" t="s">
        <v>3</v>
      </c>
      <c r="DE149" t="s">
        <v>3</v>
      </c>
      <c r="DF149">
        <f>ROUND(ROUND(AE149*AI149,2)*CX149,2)</f>
        <v>0</v>
      </c>
      <c r="DG149">
        <f>ROUND(ROUND(AF149,2)*CX149,2)</f>
        <v>0</v>
      </c>
      <c r="DH149">
        <f>ROUND(ROUND(AG149,2)*CX149,2)</f>
        <v>0</v>
      </c>
      <c r="DI149">
        <f>ROUND(ROUND(AH149,2)*CX149,2)</f>
        <v>0</v>
      </c>
      <c r="DJ149">
        <f>DF149</f>
        <v>0</v>
      </c>
      <c r="DK149">
        <v>0</v>
      </c>
      <c r="DL149" t="s">
        <v>3</v>
      </c>
      <c r="DM149">
        <v>0</v>
      </c>
      <c r="DN149" t="s">
        <v>3</v>
      </c>
      <c r="DO149">
        <v>0</v>
      </c>
    </row>
    <row r="150" spans="1:119" x14ac:dyDescent="0.2">
      <c r="A150">
        <f>ROW(Source!A85)</f>
        <v>85</v>
      </c>
      <c r="B150">
        <v>145033679</v>
      </c>
      <c r="C150">
        <v>145040356</v>
      </c>
      <c r="D150">
        <v>140761147</v>
      </c>
      <c r="E150">
        <v>70</v>
      </c>
      <c r="F150">
        <v>1</v>
      </c>
      <c r="G150">
        <v>1</v>
      </c>
      <c r="H150">
        <v>3</v>
      </c>
      <c r="I150" t="s">
        <v>740</v>
      </c>
      <c r="J150" t="s">
        <v>3</v>
      </c>
      <c r="K150" t="s">
        <v>741</v>
      </c>
      <c r="L150">
        <v>1346</v>
      </c>
      <c r="N150">
        <v>1009</v>
      </c>
      <c r="O150" t="s">
        <v>43</v>
      </c>
      <c r="P150" t="s">
        <v>43</v>
      </c>
      <c r="Q150">
        <v>1</v>
      </c>
      <c r="W150">
        <v>0</v>
      </c>
      <c r="X150">
        <v>-1123584527</v>
      </c>
      <c r="Y150">
        <f>AT150</f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8.7100000000000009</v>
      </c>
      <c r="AJ150">
        <v>1</v>
      </c>
      <c r="AK150">
        <v>1</v>
      </c>
      <c r="AL150">
        <v>1</v>
      </c>
      <c r="AM150">
        <v>4</v>
      </c>
      <c r="AN150">
        <v>1</v>
      </c>
      <c r="AO150">
        <v>0</v>
      </c>
      <c r="AP150">
        <v>1</v>
      </c>
      <c r="AQ150">
        <v>0</v>
      </c>
      <c r="AR150">
        <v>0</v>
      </c>
      <c r="AS150" t="s">
        <v>3</v>
      </c>
      <c r="AT150">
        <v>0</v>
      </c>
      <c r="AU150" t="s">
        <v>3</v>
      </c>
      <c r="AV150">
        <v>0</v>
      </c>
      <c r="AW150">
        <v>2</v>
      </c>
      <c r="AX150">
        <v>145040361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ROUND(Y150*Source!I85,9)</f>
        <v>0</v>
      </c>
      <c r="CY150">
        <f>AA150</f>
        <v>0</v>
      </c>
      <c r="CZ150">
        <f>AE150</f>
        <v>0</v>
      </c>
      <c r="DA150">
        <f>AI150</f>
        <v>8.7100000000000009</v>
      </c>
      <c r="DB150">
        <f>ROUND(ROUND(AT150*CZ150,2),2)</f>
        <v>0</v>
      </c>
      <c r="DC150">
        <f>ROUND(ROUND(AT150*AG150,2),2)</f>
        <v>0</v>
      </c>
      <c r="DD150" t="s">
        <v>3</v>
      </c>
      <c r="DE150" t="s">
        <v>3</v>
      </c>
      <c r="DF150">
        <f>ROUND(ROUND(AE150*AI150,2)*CX150,2)</f>
        <v>0</v>
      </c>
      <c r="DG150">
        <f>ROUND(ROUND(AF150,2)*CX150,2)</f>
        <v>0</v>
      </c>
      <c r="DH150">
        <f>ROUND(ROUND(AG150,2)*CX150,2)</f>
        <v>0</v>
      </c>
      <c r="DI150">
        <f>ROUND(ROUND(AH150,2)*CX150,2)</f>
        <v>0</v>
      </c>
      <c r="DJ150">
        <f>DF150</f>
        <v>0</v>
      </c>
      <c r="DK150">
        <v>0</v>
      </c>
      <c r="DL150" t="s">
        <v>3</v>
      </c>
      <c r="DM150">
        <v>0</v>
      </c>
      <c r="DN150" t="s">
        <v>3</v>
      </c>
      <c r="DO150">
        <v>0</v>
      </c>
    </row>
    <row r="151" spans="1:119" x14ac:dyDescent="0.2">
      <c r="A151">
        <f>ROW(Source!A86)</f>
        <v>86</v>
      </c>
      <c r="B151">
        <v>145033679</v>
      </c>
      <c r="C151">
        <v>145040363</v>
      </c>
      <c r="D151">
        <v>140755433</v>
      </c>
      <c r="E151">
        <v>70</v>
      </c>
      <c r="F151">
        <v>1</v>
      </c>
      <c r="G151">
        <v>1</v>
      </c>
      <c r="H151">
        <v>1</v>
      </c>
      <c r="I151" t="s">
        <v>745</v>
      </c>
      <c r="J151" t="s">
        <v>3</v>
      </c>
      <c r="K151" t="s">
        <v>746</v>
      </c>
      <c r="L151">
        <v>1191</v>
      </c>
      <c r="N151">
        <v>1013</v>
      </c>
      <c r="O151" t="s">
        <v>725</v>
      </c>
      <c r="P151" t="s">
        <v>725</v>
      </c>
      <c r="Q151">
        <v>1</v>
      </c>
      <c r="W151">
        <v>0</v>
      </c>
      <c r="X151">
        <v>1049124552</v>
      </c>
      <c r="Y151">
        <f>(AT151*1.15)</f>
        <v>6.1294999999999993</v>
      </c>
      <c r="AA151">
        <v>0</v>
      </c>
      <c r="AB151">
        <v>0</v>
      </c>
      <c r="AC151">
        <v>0</v>
      </c>
      <c r="AD151">
        <v>260.51</v>
      </c>
      <c r="AE151">
        <v>0</v>
      </c>
      <c r="AF151">
        <v>0</v>
      </c>
      <c r="AG151">
        <v>0</v>
      </c>
      <c r="AH151">
        <v>8.5299999999999994</v>
      </c>
      <c r="AI151">
        <v>1</v>
      </c>
      <c r="AJ151">
        <v>1</v>
      </c>
      <c r="AK151">
        <v>1</v>
      </c>
      <c r="AL151">
        <v>30.54</v>
      </c>
      <c r="AM151">
        <v>4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5.33</v>
      </c>
      <c r="AU151" t="s">
        <v>21</v>
      </c>
      <c r="AV151">
        <v>1</v>
      </c>
      <c r="AW151">
        <v>2</v>
      </c>
      <c r="AX151">
        <v>145040367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ROUND(Y151*Source!I86,9)</f>
        <v>20.619025050000001</v>
      </c>
      <c r="CY151">
        <f>AD151</f>
        <v>260.51</v>
      </c>
      <c r="CZ151">
        <f>AH151</f>
        <v>8.5299999999999994</v>
      </c>
      <c r="DA151">
        <f>AL151</f>
        <v>30.54</v>
      </c>
      <c r="DB151">
        <f>ROUND((ROUND(AT151*CZ151,2)*1.15),2)</f>
        <v>52.28</v>
      </c>
      <c r="DC151">
        <f>ROUND((ROUND(AT151*AG151,2)*1.15),2)</f>
        <v>0</v>
      </c>
      <c r="DD151" t="s">
        <v>3</v>
      </c>
      <c r="DE151" t="s">
        <v>3</v>
      </c>
      <c r="DF151">
        <f t="shared" ref="DF151:DF157" si="39">ROUND(ROUND(AE151,2)*CX151,2)</f>
        <v>0</v>
      </c>
      <c r="DG151">
        <f>ROUND(ROUND(AF151,2)*CX151,2)</f>
        <v>0</v>
      </c>
      <c r="DH151">
        <f>ROUND(ROUND(AG151,2)*CX151,2)</f>
        <v>0</v>
      </c>
      <c r="DI151">
        <f>ROUND(ROUND(AH151*AL151,2)*CX151,2)</f>
        <v>5371.46</v>
      </c>
      <c r="DJ151">
        <f>DI151</f>
        <v>5371.46</v>
      </c>
      <c r="DK151">
        <v>0</v>
      </c>
      <c r="DL151" t="s">
        <v>3</v>
      </c>
      <c r="DM151">
        <v>0</v>
      </c>
      <c r="DN151" t="s">
        <v>3</v>
      </c>
      <c r="DO151">
        <v>0</v>
      </c>
    </row>
    <row r="152" spans="1:119" x14ac:dyDescent="0.2">
      <c r="A152">
        <f>ROW(Source!A86)</f>
        <v>86</v>
      </c>
      <c r="B152">
        <v>145033679</v>
      </c>
      <c r="C152">
        <v>145040363</v>
      </c>
      <c r="D152">
        <v>140755491</v>
      </c>
      <c r="E152">
        <v>70</v>
      </c>
      <c r="F152">
        <v>1</v>
      </c>
      <c r="G152">
        <v>1</v>
      </c>
      <c r="H152">
        <v>1</v>
      </c>
      <c r="I152" t="s">
        <v>730</v>
      </c>
      <c r="J152" t="s">
        <v>3</v>
      </c>
      <c r="K152" t="s">
        <v>731</v>
      </c>
      <c r="L152">
        <v>1191</v>
      </c>
      <c r="N152">
        <v>1013</v>
      </c>
      <c r="O152" t="s">
        <v>725</v>
      </c>
      <c r="P152" t="s">
        <v>725</v>
      </c>
      <c r="Q152">
        <v>1</v>
      </c>
      <c r="W152">
        <v>0</v>
      </c>
      <c r="X152">
        <v>-1417349443</v>
      </c>
      <c r="Y152">
        <f>(AT152*1.15)</f>
        <v>4.0939999999999994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30.54</v>
      </c>
      <c r="AL152">
        <v>1</v>
      </c>
      <c r="AM152">
        <v>4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3.56</v>
      </c>
      <c r="AU152" t="s">
        <v>21</v>
      </c>
      <c r="AV152">
        <v>2</v>
      </c>
      <c r="AW152">
        <v>2</v>
      </c>
      <c r="AX152">
        <v>145040368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ROUND(Y152*Source!I86,9)</f>
        <v>13.7718066</v>
      </c>
      <c r="CY152">
        <f>AD152</f>
        <v>0</v>
      </c>
      <c r="CZ152">
        <f>AH152</f>
        <v>0</v>
      </c>
      <c r="DA152">
        <f>AL152</f>
        <v>1</v>
      </c>
      <c r="DB152">
        <f>ROUND((ROUND(AT152*CZ152,2)*1.15),2)</f>
        <v>0</v>
      </c>
      <c r="DC152">
        <f>ROUND((ROUND(AT152*AG152,2)*1.15),2)</f>
        <v>0</v>
      </c>
      <c r="DD152" t="s">
        <v>3</v>
      </c>
      <c r="DE152" t="s">
        <v>3</v>
      </c>
      <c r="DF152">
        <f t="shared" si="39"/>
        <v>0</v>
      </c>
      <c r="DG152">
        <f>ROUND(ROUND(AF152,2)*CX152,2)</f>
        <v>0</v>
      </c>
      <c r="DH152">
        <f>ROUND(ROUND(AG152*AK152,2)*CX152,2)</f>
        <v>0</v>
      </c>
      <c r="DI152">
        <f>ROUND(ROUND(AH152,2)*CX152,2)</f>
        <v>0</v>
      </c>
      <c r="DJ152">
        <f>DI152</f>
        <v>0</v>
      </c>
      <c r="DK152">
        <v>0</v>
      </c>
      <c r="DL152" t="s">
        <v>3</v>
      </c>
      <c r="DM152">
        <v>0</v>
      </c>
      <c r="DN152" t="s">
        <v>3</v>
      </c>
      <c r="DO152">
        <v>0</v>
      </c>
    </row>
    <row r="153" spans="1:119" x14ac:dyDescent="0.2">
      <c r="A153">
        <f>ROW(Source!A86)</f>
        <v>86</v>
      </c>
      <c r="B153">
        <v>145033679</v>
      </c>
      <c r="C153">
        <v>145040363</v>
      </c>
      <c r="D153">
        <v>140923268</v>
      </c>
      <c r="E153">
        <v>1</v>
      </c>
      <c r="F153">
        <v>1</v>
      </c>
      <c r="G153">
        <v>1</v>
      </c>
      <c r="H153">
        <v>2</v>
      </c>
      <c r="I153" t="s">
        <v>837</v>
      </c>
      <c r="J153" t="s">
        <v>838</v>
      </c>
      <c r="K153" t="s">
        <v>839</v>
      </c>
      <c r="L153">
        <v>1367</v>
      </c>
      <c r="N153">
        <v>1011</v>
      </c>
      <c r="O153" t="s">
        <v>79</v>
      </c>
      <c r="P153" t="s">
        <v>79</v>
      </c>
      <c r="Q153">
        <v>1</v>
      </c>
      <c r="W153">
        <v>0</v>
      </c>
      <c r="X153">
        <v>1385328552</v>
      </c>
      <c r="Y153">
        <f>(AT153*1.15)</f>
        <v>4.0939999999999994</v>
      </c>
      <c r="AA153">
        <v>0</v>
      </c>
      <c r="AB153">
        <v>150.29</v>
      </c>
      <c r="AC153">
        <v>307.23</v>
      </c>
      <c r="AD153">
        <v>0</v>
      </c>
      <c r="AE153">
        <v>0</v>
      </c>
      <c r="AF153">
        <v>12.39</v>
      </c>
      <c r="AG153">
        <v>10.06</v>
      </c>
      <c r="AH153">
        <v>0</v>
      </c>
      <c r="AI153">
        <v>1</v>
      </c>
      <c r="AJ153">
        <v>12.13</v>
      </c>
      <c r="AK153">
        <v>30.54</v>
      </c>
      <c r="AL153">
        <v>1</v>
      </c>
      <c r="AM153">
        <v>4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3.56</v>
      </c>
      <c r="AU153" t="s">
        <v>21</v>
      </c>
      <c r="AV153">
        <v>0</v>
      </c>
      <c r="AW153">
        <v>2</v>
      </c>
      <c r="AX153">
        <v>145040369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ROUND(Y153*Source!I86,9)</f>
        <v>13.7718066</v>
      </c>
      <c r="CY153">
        <f>AB153</f>
        <v>150.29</v>
      </c>
      <c r="CZ153">
        <f>AF153</f>
        <v>12.39</v>
      </c>
      <c r="DA153">
        <f>AJ153</f>
        <v>12.13</v>
      </c>
      <c r="DB153">
        <f>ROUND((ROUND(AT153*CZ153,2)*1.15),2)</f>
        <v>50.73</v>
      </c>
      <c r="DC153">
        <f>ROUND((ROUND(AT153*AG153,2)*1.15),2)</f>
        <v>41.18</v>
      </c>
      <c r="DD153" t="s">
        <v>3</v>
      </c>
      <c r="DE153" t="s">
        <v>3</v>
      </c>
      <c r="DF153">
        <f t="shared" si="39"/>
        <v>0</v>
      </c>
      <c r="DG153">
        <f>ROUND(ROUND(AF153*AJ153,2)*CX153,2)</f>
        <v>2069.7600000000002</v>
      </c>
      <c r="DH153">
        <f>ROUND(ROUND(AG153*AK153,2)*CX153,2)</f>
        <v>4231.1099999999997</v>
      </c>
      <c r="DI153">
        <f>ROUND(ROUND(AH153,2)*CX153,2)</f>
        <v>0</v>
      </c>
      <c r="DJ153">
        <f>DG153</f>
        <v>2069.7600000000002</v>
      </c>
      <c r="DK153">
        <v>0</v>
      </c>
      <c r="DL153" t="s">
        <v>3</v>
      </c>
      <c r="DM153">
        <v>0</v>
      </c>
      <c r="DN153" t="s">
        <v>3</v>
      </c>
      <c r="DO153">
        <v>0</v>
      </c>
    </row>
    <row r="154" spans="1:119" x14ac:dyDescent="0.2">
      <c r="A154">
        <f>ROW(Source!A90)</f>
        <v>90</v>
      </c>
      <c r="B154">
        <v>145033679</v>
      </c>
      <c r="C154">
        <v>145040863</v>
      </c>
      <c r="D154">
        <v>140759988</v>
      </c>
      <c r="E154">
        <v>70</v>
      </c>
      <c r="F154">
        <v>1</v>
      </c>
      <c r="G154">
        <v>1</v>
      </c>
      <c r="H154">
        <v>1</v>
      </c>
      <c r="I154" t="s">
        <v>747</v>
      </c>
      <c r="J154" t="s">
        <v>3</v>
      </c>
      <c r="K154" t="s">
        <v>748</v>
      </c>
      <c r="L154">
        <v>1191</v>
      </c>
      <c r="N154">
        <v>1013</v>
      </c>
      <c r="O154" t="s">
        <v>725</v>
      </c>
      <c r="P154" t="s">
        <v>725</v>
      </c>
      <c r="Q154">
        <v>1</v>
      </c>
      <c r="W154">
        <v>0</v>
      </c>
      <c r="X154">
        <v>-1759674247</v>
      </c>
      <c r="Y154">
        <f>((AT154*1.15)*0.8)</f>
        <v>143.88800000000001</v>
      </c>
      <c r="AA154">
        <v>0</v>
      </c>
      <c r="AB154">
        <v>0</v>
      </c>
      <c r="AC154">
        <v>0</v>
      </c>
      <c r="AD154">
        <v>270.58</v>
      </c>
      <c r="AE154">
        <v>0</v>
      </c>
      <c r="AF154">
        <v>0</v>
      </c>
      <c r="AG154">
        <v>0</v>
      </c>
      <c r="AH154">
        <v>8.86</v>
      </c>
      <c r="AI154">
        <v>1</v>
      </c>
      <c r="AJ154">
        <v>1</v>
      </c>
      <c r="AK154">
        <v>1</v>
      </c>
      <c r="AL154">
        <v>30.54</v>
      </c>
      <c r="AM154">
        <v>4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156.4</v>
      </c>
      <c r="AU154" t="s">
        <v>300</v>
      </c>
      <c r="AV154">
        <v>1</v>
      </c>
      <c r="AW154">
        <v>2</v>
      </c>
      <c r="AX154">
        <v>145040864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ROUND(Y154*Source!I90,9)</f>
        <v>41.9001856</v>
      </c>
      <c r="CY154">
        <f>AD154</f>
        <v>270.58</v>
      </c>
      <c r="CZ154">
        <f>AH154</f>
        <v>8.86</v>
      </c>
      <c r="DA154">
        <f>AL154</f>
        <v>30.54</v>
      </c>
      <c r="DB154">
        <f>ROUND(((ROUND(AT154*CZ154,2)*1.15)*0.8),2)</f>
        <v>1274.8399999999999</v>
      </c>
      <c r="DC154">
        <f>ROUND(((ROUND(AT154*AG154,2)*1.15)*0.8),2)</f>
        <v>0</v>
      </c>
      <c r="DD154" t="s">
        <v>3</v>
      </c>
      <c r="DE154" t="s">
        <v>3</v>
      </c>
      <c r="DF154">
        <f t="shared" si="39"/>
        <v>0</v>
      </c>
      <c r="DG154">
        <f>ROUND(ROUND(AF154,2)*CX154,2)</f>
        <v>0</v>
      </c>
      <c r="DH154">
        <f>ROUND(ROUND(AG154,2)*CX154,2)</f>
        <v>0</v>
      </c>
      <c r="DI154">
        <f>ROUND(ROUND(AH154*AL154,2)*CX154,2)</f>
        <v>11337.35</v>
      </c>
      <c r="DJ154">
        <f>DI154</f>
        <v>11337.35</v>
      </c>
      <c r="DK154">
        <v>0</v>
      </c>
      <c r="DL154" t="s">
        <v>3</v>
      </c>
      <c r="DM154">
        <v>0</v>
      </c>
      <c r="DN154" t="s">
        <v>3</v>
      </c>
      <c r="DO154">
        <v>0</v>
      </c>
    </row>
    <row r="155" spans="1:119" x14ac:dyDescent="0.2">
      <c r="A155">
        <f>ROW(Source!A90)</f>
        <v>90</v>
      </c>
      <c r="B155">
        <v>145033679</v>
      </c>
      <c r="C155">
        <v>145040863</v>
      </c>
      <c r="D155">
        <v>140760225</v>
      </c>
      <c r="E155">
        <v>70</v>
      </c>
      <c r="F155">
        <v>1</v>
      </c>
      <c r="G155">
        <v>1</v>
      </c>
      <c r="H155">
        <v>1</v>
      </c>
      <c r="I155" t="s">
        <v>730</v>
      </c>
      <c r="J155" t="s">
        <v>3</v>
      </c>
      <c r="K155" t="s">
        <v>731</v>
      </c>
      <c r="L155">
        <v>1191</v>
      </c>
      <c r="N155">
        <v>1013</v>
      </c>
      <c r="O155" t="s">
        <v>725</v>
      </c>
      <c r="P155" t="s">
        <v>725</v>
      </c>
      <c r="Q155">
        <v>1</v>
      </c>
      <c r="W155">
        <v>0</v>
      </c>
      <c r="X155">
        <v>-1417349443</v>
      </c>
      <c r="Y155">
        <f>((AT155*1.15)*0.8)</f>
        <v>2.7140000000000004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30.54</v>
      </c>
      <c r="AL155">
        <v>1</v>
      </c>
      <c r="AM155">
        <v>4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2.95</v>
      </c>
      <c r="AU155" t="s">
        <v>300</v>
      </c>
      <c r="AV155">
        <v>2</v>
      </c>
      <c r="AW155">
        <v>2</v>
      </c>
      <c r="AX155">
        <v>145040865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ROUND(Y155*Source!I90,9)</f>
        <v>0.79031680000000004</v>
      </c>
      <c r="CY155">
        <f>AD155</f>
        <v>0</v>
      </c>
      <c r="CZ155">
        <f>AH155</f>
        <v>0</v>
      </c>
      <c r="DA155">
        <f>AL155</f>
        <v>1</v>
      </c>
      <c r="DB155">
        <f>ROUND(((ROUND(AT155*CZ155,2)*1.15)*0.8),2)</f>
        <v>0</v>
      </c>
      <c r="DC155">
        <f>ROUND(((ROUND(AT155*AG155,2)*1.15)*0.8),2)</f>
        <v>0</v>
      </c>
      <c r="DD155" t="s">
        <v>3</v>
      </c>
      <c r="DE155" t="s">
        <v>3</v>
      </c>
      <c r="DF155">
        <f t="shared" si="39"/>
        <v>0</v>
      </c>
      <c r="DG155">
        <f>ROUND(ROUND(AF155,2)*CX155,2)</f>
        <v>0</v>
      </c>
      <c r="DH155">
        <f>ROUND(ROUND(AG155*AK155,2)*CX155,2)</f>
        <v>0</v>
      </c>
      <c r="DI155">
        <f t="shared" ref="DI155:DI160" si="40">ROUND(ROUND(AH155,2)*CX155,2)</f>
        <v>0</v>
      </c>
      <c r="DJ155">
        <f>DI155</f>
        <v>0</v>
      </c>
      <c r="DK155">
        <v>0</v>
      </c>
      <c r="DL155" t="s">
        <v>3</v>
      </c>
      <c r="DM155">
        <v>0</v>
      </c>
      <c r="DN155" t="s">
        <v>3</v>
      </c>
      <c r="DO155">
        <v>0</v>
      </c>
    </row>
    <row r="156" spans="1:119" x14ac:dyDescent="0.2">
      <c r="A156">
        <f>ROW(Source!A90)</f>
        <v>90</v>
      </c>
      <c r="B156">
        <v>145033679</v>
      </c>
      <c r="C156">
        <v>145040863</v>
      </c>
      <c r="D156">
        <v>140922893</v>
      </c>
      <c r="E156">
        <v>1</v>
      </c>
      <c r="F156">
        <v>1</v>
      </c>
      <c r="G156">
        <v>1</v>
      </c>
      <c r="H156">
        <v>2</v>
      </c>
      <c r="I156" t="s">
        <v>749</v>
      </c>
      <c r="J156" t="s">
        <v>750</v>
      </c>
      <c r="K156" t="s">
        <v>751</v>
      </c>
      <c r="L156">
        <v>1367</v>
      </c>
      <c r="N156">
        <v>1011</v>
      </c>
      <c r="O156" t="s">
        <v>79</v>
      </c>
      <c r="P156" t="s">
        <v>79</v>
      </c>
      <c r="Q156">
        <v>1</v>
      </c>
      <c r="W156">
        <v>0</v>
      </c>
      <c r="X156">
        <v>-130837057</v>
      </c>
      <c r="Y156">
        <f>((AT156*1.15)*0.8)</f>
        <v>1.8032000000000001</v>
      </c>
      <c r="AA156">
        <v>0</v>
      </c>
      <c r="AB156">
        <v>1048.03</v>
      </c>
      <c r="AC156">
        <v>412.29</v>
      </c>
      <c r="AD156">
        <v>0</v>
      </c>
      <c r="AE156">
        <v>0</v>
      </c>
      <c r="AF156">
        <v>86.4</v>
      </c>
      <c r="AG156">
        <v>13.5</v>
      </c>
      <c r="AH156">
        <v>0</v>
      </c>
      <c r="AI156">
        <v>1</v>
      </c>
      <c r="AJ156">
        <v>12.13</v>
      </c>
      <c r="AK156">
        <v>30.54</v>
      </c>
      <c r="AL156">
        <v>1</v>
      </c>
      <c r="AM156">
        <v>4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1.96</v>
      </c>
      <c r="AU156" t="s">
        <v>300</v>
      </c>
      <c r="AV156">
        <v>0</v>
      </c>
      <c r="AW156">
        <v>2</v>
      </c>
      <c r="AX156">
        <v>145040866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ROUND(Y156*Source!I90,9)</f>
        <v>0.52509183999999998</v>
      </c>
      <c r="CY156">
        <f>AB156</f>
        <v>1048.03</v>
      </c>
      <c r="CZ156">
        <f>AF156</f>
        <v>86.4</v>
      </c>
      <c r="DA156">
        <f>AJ156</f>
        <v>12.13</v>
      </c>
      <c r="DB156">
        <f>ROUND(((ROUND(AT156*CZ156,2)*1.15)*0.8),2)</f>
        <v>155.79</v>
      </c>
      <c r="DC156">
        <f>ROUND(((ROUND(AT156*AG156,2)*1.15)*0.8),2)</f>
        <v>24.34</v>
      </c>
      <c r="DD156" t="s">
        <v>3</v>
      </c>
      <c r="DE156" t="s">
        <v>3</v>
      </c>
      <c r="DF156">
        <f t="shared" si="39"/>
        <v>0</v>
      </c>
      <c r="DG156">
        <f>ROUND(ROUND(AF156*AJ156,2)*CX156,2)</f>
        <v>550.30999999999995</v>
      </c>
      <c r="DH156">
        <f>ROUND(ROUND(AG156*AK156,2)*CX156,2)</f>
        <v>216.49</v>
      </c>
      <c r="DI156">
        <f t="shared" si="40"/>
        <v>0</v>
      </c>
      <c r="DJ156">
        <f>DG156</f>
        <v>550.30999999999995</v>
      </c>
      <c r="DK156">
        <v>0</v>
      </c>
      <c r="DL156" t="s">
        <v>3</v>
      </c>
      <c r="DM156">
        <v>0</v>
      </c>
      <c r="DN156" t="s">
        <v>3</v>
      </c>
      <c r="DO156">
        <v>0</v>
      </c>
    </row>
    <row r="157" spans="1:119" x14ac:dyDescent="0.2">
      <c r="A157">
        <f>ROW(Source!A90)</f>
        <v>90</v>
      </c>
      <c r="B157">
        <v>145033679</v>
      </c>
      <c r="C157">
        <v>145040863</v>
      </c>
      <c r="D157">
        <v>140923885</v>
      </c>
      <c r="E157">
        <v>1</v>
      </c>
      <c r="F157">
        <v>1</v>
      </c>
      <c r="G157">
        <v>1</v>
      </c>
      <c r="H157">
        <v>2</v>
      </c>
      <c r="I157" t="s">
        <v>732</v>
      </c>
      <c r="J157" t="s">
        <v>733</v>
      </c>
      <c r="K157" t="s">
        <v>734</v>
      </c>
      <c r="L157">
        <v>1367</v>
      </c>
      <c r="N157">
        <v>1011</v>
      </c>
      <c r="O157" t="s">
        <v>79</v>
      </c>
      <c r="P157" t="s">
        <v>79</v>
      </c>
      <c r="Q157">
        <v>1</v>
      </c>
      <c r="W157">
        <v>0</v>
      </c>
      <c r="X157">
        <v>509054691</v>
      </c>
      <c r="Y157">
        <f>((AT157*1.15)*0.8)</f>
        <v>0.91079999999999994</v>
      </c>
      <c r="AA157">
        <v>0</v>
      </c>
      <c r="AB157">
        <v>797.06</v>
      </c>
      <c r="AC157">
        <v>354.26</v>
      </c>
      <c r="AD157">
        <v>0</v>
      </c>
      <c r="AE157">
        <v>0</v>
      </c>
      <c r="AF157">
        <v>65.709999999999994</v>
      </c>
      <c r="AG157">
        <v>11.6</v>
      </c>
      <c r="AH157">
        <v>0</v>
      </c>
      <c r="AI157">
        <v>1</v>
      </c>
      <c r="AJ157">
        <v>12.13</v>
      </c>
      <c r="AK157">
        <v>30.54</v>
      </c>
      <c r="AL157">
        <v>1</v>
      </c>
      <c r="AM157">
        <v>4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0.99</v>
      </c>
      <c r="AU157" t="s">
        <v>300</v>
      </c>
      <c r="AV157">
        <v>0</v>
      </c>
      <c r="AW157">
        <v>2</v>
      </c>
      <c r="AX157">
        <v>145040867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ROUND(Y157*Source!I90,9)</f>
        <v>0.26522496000000001</v>
      </c>
      <c r="CY157">
        <f>AB157</f>
        <v>797.06</v>
      </c>
      <c r="CZ157">
        <f>AF157</f>
        <v>65.709999999999994</v>
      </c>
      <c r="DA157">
        <f>AJ157</f>
        <v>12.13</v>
      </c>
      <c r="DB157">
        <f>ROUND(((ROUND(AT157*CZ157,2)*1.15)*0.8),2)</f>
        <v>59.85</v>
      </c>
      <c r="DC157">
        <f>ROUND(((ROUND(AT157*AG157,2)*1.15)*0.8),2)</f>
        <v>10.56</v>
      </c>
      <c r="DD157" t="s">
        <v>3</v>
      </c>
      <c r="DE157" t="s">
        <v>3</v>
      </c>
      <c r="DF157">
        <f t="shared" si="39"/>
        <v>0</v>
      </c>
      <c r="DG157">
        <f>ROUND(ROUND(AF157*AJ157,2)*CX157,2)</f>
        <v>211.4</v>
      </c>
      <c r="DH157">
        <f>ROUND(ROUND(AG157*AK157,2)*CX157,2)</f>
        <v>93.96</v>
      </c>
      <c r="DI157">
        <f t="shared" si="40"/>
        <v>0</v>
      </c>
      <c r="DJ157">
        <f>DG157</f>
        <v>211.4</v>
      </c>
      <c r="DK157">
        <v>0</v>
      </c>
      <c r="DL157" t="s">
        <v>3</v>
      </c>
      <c r="DM157">
        <v>0</v>
      </c>
      <c r="DN157" t="s">
        <v>3</v>
      </c>
      <c r="DO157">
        <v>0</v>
      </c>
    </row>
    <row r="158" spans="1:119" x14ac:dyDescent="0.2">
      <c r="A158">
        <f>ROW(Source!A90)</f>
        <v>90</v>
      </c>
      <c r="B158">
        <v>145033679</v>
      </c>
      <c r="C158">
        <v>145040863</v>
      </c>
      <c r="D158">
        <v>140776272</v>
      </c>
      <c r="E158">
        <v>1</v>
      </c>
      <c r="F158">
        <v>1</v>
      </c>
      <c r="G158">
        <v>1</v>
      </c>
      <c r="H158">
        <v>3</v>
      </c>
      <c r="I158" t="s">
        <v>897</v>
      </c>
      <c r="J158" t="s">
        <v>898</v>
      </c>
      <c r="K158" t="s">
        <v>899</v>
      </c>
      <c r="L158">
        <v>1407</v>
      </c>
      <c r="N158">
        <v>1013</v>
      </c>
      <c r="O158" t="s">
        <v>175</v>
      </c>
      <c r="P158" t="s">
        <v>175</v>
      </c>
      <c r="Q158">
        <v>1</v>
      </c>
      <c r="W158">
        <v>0</v>
      </c>
      <c r="X158">
        <v>-992836056</v>
      </c>
      <c r="Y158">
        <f>(AT158*0)</f>
        <v>0</v>
      </c>
      <c r="AA158">
        <v>60038.03</v>
      </c>
      <c r="AB158">
        <v>0</v>
      </c>
      <c r="AC158">
        <v>0</v>
      </c>
      <c r="AD158">
        <v>0</v>
      </c>
      <c r="AE158">
        <v>6893</v>
      </c>
      <c r="AF158">
        <v>0</v>
      </c>
      <c r="AG158">
        <v>0</v>
      </c>
      <c r="AH158">
        <v>0</v>
      </c>
      <c r="AI158">
        <v>8.7100000000000009</v>
      </c>
      <c r="AJ158">
        <v>1</v>
      </c>
      <c r="AK158">
        <v>1</v>
      </c>
      <c r="AL158">
        <v>1</v>
      </c>
      <c r="AM158">
        <v>4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2.6</v>
      </c>
      <c r="AU158" t="s">
        <v>299</v>
      </c>
      <c r="AV158">
        <v>0</v>
      </c>
      <c r="AW158">
        <v>2</v>
      </c>
      <c r="AX158">
        <v>145040868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ROUND(Y158*Source!I90,9)</f>
        <v>0</v>
      </c>
      <c r="CY158">
        <f>AA158</f>
        <v>60038.03</v>
      </c>
      <c r="CZ158">
        <f>AE158</f>
        <v>6893</v>
      </c>
      <c r="DA158">
        <f>AI158</f>
        <v>8.7100000000000009</v>
      </c>
      <c r="DB158">
        <f>ROUND((ROUND(AT158*CZ158,2)*0),2)</f>
        <v>0</v>
      </c>
      <c r="DC158">
        <f>ROUND((ROUND(AT158*AG158,2)*0),2)</f>
        <v>0</v>
      </c>
      <c r="DD158" t="s">
        <v>3</v>
      </c>
      <c r="DE158" t="s">
        <v>3</v>
      </c>
      <c r="DF158">
        <f>ROUND(ROUND(AE158*AI158,2)*CX158,2)</f>
        <v>0</v>
      </c>
      <c r="DG158">
        <f>ROUND(ROUND(AF158,2)*CX158,2)</f>
        <v>0</v>
      </c>
      <c r="DH158">
        <f>ROUND(ROUND(AG158,2)*CX158,2)</f>
        <v>0</v>
      </c>
      <c r="DI158">
        <f t="shared" si="40"/>
        <v>0</v>
      </c>
      <c r="DJ158">
        <f>DF158</f>
        <v>0</v>
      </c>
      <c r="DK158">
        <v>0</v>
      </c>
      <c r="DL158" t="s">
        <v>3</v>
      </c>
      <c r="DM158">
        <v>0</v>
      </c>
      <c r="DN158" t="s">
        <v>3</v>
      </c>
      <c r="DO158">
        <v>0</v>
      </c>
    </row>
    <row r="159" spans="1:119" x14ac:dyDescent="0.2">
      <c r="A159">
        <f>ROW(Source!A90)</f>
        <v>90</v>
      </c>
      <c r="B159">
        <v>145033679</v>
      </c>
      <c r="C159">
        <v>145040863</v>
      </c>
      <c r="D159">
        <v>140778119</v>
      </c>
      <c r="E159">
        <v>1</v>
      </c>
      <c r="F159">
        <v>1</v>
      </c>
      <c r="G159">
        <v>1</v>
      </c>
      <c r="H159">
        <v>3</v>
      </c>
      <c r="I159" t="s">
        <v>900</v>
      </c>
      <c r="J159" t="s">
        <v>901</v>
      </c>
      <c r="K159" t="s">
        <v>902</v>
      </c>
      <c r="L159">
        <v>1339</v>
      </c>
      <c r="N159">
        <v>1007</v>
      </c>
      <c r="O159" t="s">
        <v>66</v>
      </c>
      <c r="P159" t="s">
        <v>66</v>
      </c>
      <c r="Q159">
        <v>1</v>
      </c>
      <c r="W159">
        <v>0</v>
      </c>
      <c r="X159">
        <v>-412739892</v>
      </c>
      <c r="Y159">
        <f>(AT159*0)</f>
        <v>0</v>
      </c>
      <c r="AA159">
        <v>4328.87</v>
      </c>
      <c r="AB159">
        <v>0</v>
      </c>
      <c r="AC159">
        <v>0</v>
      </c>
      <c r="AD159">
        <v>0</v>
      </c>
      <c r="AE159">
        <v>497</v>
      </c>
      <c r="AF159">
        <v>0</v>
      </c>
      <c r="AG159">
        <v>0</v>
      </c>
      <c r="AH159">
        <v>0</v>
      </c>
      <c r="AI159">
        <v>8.7100000000000009</v>
      </c>
      <c r="AJ159">
        <v>1</v>
      </c>
      <c r="AK159">
        <v>1</v>
      </c>
      <c r="AL159">
        <v>1</v>
      </c>
      <c r="AM159">
        <v>4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0.74</v>
      </c>
      <c r="AU159" t="s">
        <v>299</v>
      </c>
      <c r="AV159">
        <v>0</v>
      </c>
      <c r="AW159">
        <v>2</v>
      </c>
      <c r="AX159">
        <v>145040869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ROUND(Y159*Source!I90,9)</f>
        <v>0</v>
      </c>
      <c r="CY159">
        <f>AA159</f>
        <v>4328.87</v>
      </c>
      <c r="CZ159">
        <f>AE159</f>
        <v>497</v>
      </c>
      <c r="DA159">
        <f>AI159</f>
        <v>8.7100000000000009</v>
      </c>
      <c r="DB159">
        <f>ROUND((ROUND(AT159*CZ159,2)*0),2)</f>
        <v>0</v>
      </c>
      <c r="DC159">
        <f>ROUND((ROUND(AT159*AG159,2)*0),2)</f>
        <v>0</v>
      </c>
      <c r="DD159" t="s">
        <v>3</v>
      </c>
      <c r="DE159" t="s">
        <v>3</v>
      </c>
      <c r="DF159">
        <f>ROUND(ROUND(AE159*AI159,2)*CX159,2)</f>
        <v>0</v>
      </c>
      <c r="DG159">
        <f>ROUND(ROUND(AF159,2)*CX159,2)</f>
        <v>0</v>
      </c>
      <c r="DH159">
        <f>ROUND(ROUND(AG159,2)*CX159,2)</f>
        <v>0</v>
      </c>
      <c r="DI159">
        <f t="shared" si="40"/>
        <v>0</v>
      </c>
      <c r="DJ159">
        <f>DF159</f>
        <v>0</v>
      </c>
      <c r="DK159">
        <v>0</v>
      </c>
      <c r="DL159" t="s">
        <v>3</v>
      </c>
      <c r="DM159">
        <v>0</v>
      </c>
      <c r="DN159" t="s">
        <v>3</v>
      </c>
      <c r="DO159">
        <v>0</v>
      </c>
    </row>
    <row r="160" spans="1:119" x14ac:dyDescent="0.2">
      <c r="A160">
        <f>ROW(Source!A90)</f>
        <v>90</v>
      </c>
      <c r="B160">
        <v>145033679</v>
      </c>
      <c r="C160">
        <v>145040863</v>
      </c>
      <c r="D160">
        <v>140793244</v>
      </c>
      <c r="E160">
        <v>1</v>
      </c>
      <c r="F160">
        <v>1</v>
      </c>
      <c r="G160">
        <v>1</v>
      </c>
      <c r="H160">
        <v>3</v>
      </c>
      <c r="I160" t="s">
        <v>903</v>
      </c>
      <c r="J160" t="s">
        <v>904</v>
      </c>
      <c r="K160" t="s">
        <v>905</v>
      </c>
      <c r="L160">
        <v>1348</v>
      </c>
      <c r="N160">
        <v>1009</v>
      </c>
      <c r="O160" t="s">
        <v>105</v>
      </c>
      <c r="P160" t="s">
        <v>105</v>
      </c>
      <c r="Q160">
        <v>1000</v>
      </c>
      <c r="W160">
        <v>0</v>
      </c>
      <c r="X160">
        <v>2033315709</v>
      </c>
      <c r="Y160">
        <f>(AT160*0)</f>
        <v>0</v>
      </c>
      <c r="AA160">
        <v>64617.919999999998</v>
      </c>
      <c r="AB160">
        <v>0</v>
      </c>
      <c r="AC160">
        <v>0</v>
      </c>
      <c r="AD160">
        <v>0</v>
      </c>
      <c r="AE160">
        <v>7418.82</v>
      </c>
      <c r="AF160">
        <v>0</v>
      </c>
      <c r="AG160">
        <v>0</v>
      </c>
      <c r="AH160">
        <v>0</v>
      </c>
      <c r="AI160">
        <v>8.7100000000000009</v>
      </c>
      <c r="AJ160">
        <v>1</v>
      </c>
      <c r="AK160">
        <v>1</v>
      </c>
      <c r="AL160">
        <v>1</v>
      </c>
      <c r="AM160">
        <v>4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0.112</v>
      </c>
      <c r="AU160" t="s">
        <v>299</v>
      </c>
      <c r="AV160">
        <v>0</v>
      </c>
      <c r="AW160">
        <v>2</v>
      </c>
      <c r="AX160">
        <v>145040870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ROUND(Y160*Source!I90,9)</f>
        <v>0</v>
      </c>
      <c r="CY160">
        <f>AA160</f>
        <v>64617.919999999998</v>
      </c>
      <c r="CZ160">
        <f>AE160</f>
        <v>7418.82</v>
      </c>
      <c r="DA160">
        <f>AI160</f>
        <v>8.7100000000000009</v>
      </c>
      <c r="DB160">
        <f>ROUND((ROUND(AT160*CZ160,2)*0),2)</f>
        <v>0</v>
      </c>
      <c r="DC160">
        <f>ROUND((ROUND(AT160*AG160,2)*0),2)</f>
        <v>0</v>
      </c>
      <c r="DD160" t="s">
        <v>3</v>
      </c>
      <c r="DE160" t="s">
        <v>3</v>
      </c>
      <c r="DF160">
        <f>ROUND(ROUND(AE160*AI160,2)*CX160,2)</f>
        <v>0</v>
      </c>
      <c r="DG160">
        <f>ROUND(ROUND(AF160,2)*CX160,2)</f>
        <v>0</v>
      </c>
      <c r="DH160">
        <f>ROUND(ROUND(AG160,2)*CX160,2)</f>
        <v>0</v>
      </c>
      <c r="DI160">
        <f t="shared" si="40"/>
        <v>0</v>
      </c>
      <c r="DJ160">
        <f>DF160</f>
        <v>0</v>
      </c>
      <c r="DK160">
        <v>0</v>
      </c>
      <c r="DL160" t="s">
        <v>3</v>
      </c>
      <c r="DM160">
        <v>0</v>
      </c>
      <c r="DN160" t="s">
        <v>3</v>
      </c>
      <c r="DO160">
        <v>0</v>
      </c>
    </row>
    <row r="161" spans="1:119" x14ac:dyDescent="0.2">
      <c r="A161">
        <f>ROW(Source!A91)</f>
        <v>91</v>
      </c>
      <c r="B161">
        <v>145033679</v>
      </c>
      <c r="C161">
        <v>145040878</v>
      </c>
      <c r="D161">
        <v>140759988</v>
      </c>
      <c r="E161">
        <v>70</v>
      </c>
      <c r="F161">
        <v>1</v>
      </c>
      <c r="G161">
        <v>1</v>
      </c>
      <c r="H161">
        <v>1</v>
      </c>
      <c r="I161" t="s">
        <v>747</v>
      </c>
      <c r="J161" t="s">
        <v>3</v>
      </c>
      <c r="K161" t="s">
        <v>748</v>
      </c>
      <c r="L161">
        <v>1191</v>
      </c>
      <c r="N161">
        <v>1013</v>
      </c>
      <c r="O161" t="s">
        <v>725</v>
      </c>
      <c r="P161" t="s">
        <v>725</v>
      </c>
      <c r="Q161">
        <v>1</v>
      </c>
      <c r="W161">
        <v>0</v>
      </c>
      <c r="X161">
        <v>-1759674247</v>
      </c>
      <c r="Y161">
        <f>(AT161*1.15)</f>
        <v>8.1649999999999991</v>
      </c>
      <c r="AA161">
        <v>0</v>
      </c>
      <c r="AB161">
        <v>0</v>
      </c>
      <c r="AC161">
        <v>0</v>
      </c>
      <c r="AD161">
        <v>270.58</v>
      </c>
      <c r="AE161">
        <v>0</v>
      </c>
      <c r="AF161">
        <v>0</v>
      </c>
      <c r="AG161">
        <v>0</v>
      </c>
      <c r="AH161">
        <v>8.86</v>
      </c>
      <c r="AI161">
        <v>1</v>
      </c>
      <c r="AJ161">
        <v>1</v>
      </c>
      <c r="AK161">
        <v>1</v>
      </c>
      <c r="AL161">
        <v>30.54</v>
      </c>
      <c r="AM161">
        <v>4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7.1</v>
      </c>
      <c r="AU161" t="s">
        <v>21</v>
      </c>
      <c r="AV161">
        <v>1</v>
      </c>
      <c r="AW161">
        <v>2</v>
      </c>
      <c r="AX161">
        <v>145040879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ROUND(Y161*Source!I91,9)</f>
        <v>5.8788</v>
      </c>
      <c r="CY161">
        <f>AD161</f>
        <v>270.58</v>
      </c>
      <c r="CZ161">
        <f>AH161</f>
        <v>8.86</v>
      </c>
      <c r="DA161">
        <f>AL161</f>
        <v>30.54</v>
      </c>
      <c r="DB161">
        <f>ROUND((ROUND(AT161*CZ161,2)*1.15),2)</f>
        <v>72.349999999999994</v>
      </c>
      <c r="DC161">
        <f>ROUND((ROUND(AT161*AG161,2)*1.15),2)</f>
        <v>0</v>
      </c>
      <c r="DD161" t="s">
        <v>3</v>
      </c>
      <c r="DE161" t="s">
        <v>3</v>
      </c>
      <c r="DF161">
        <f>ROUND(ROUND(AE161,2)*CX161,2)</f>
        <v>0</v>
      </c>
      <c r="DG161">
        <f>ROUND(ROUND(AF161,2)*CX161,2)</f>
        <v>0</v>
      </c>
      <c r="DH161">
        <f>ROUND(ROUND(AG161,2)*CX161,2)</f>
        <v>0</v>
      </c>
      <c r="DI161">
        <f>ROUND(ROUND(AH161*AL161,2)*CX161,2)</f>
        <v>1590.69</v>
      </c>
      <c r="DJ161">
        <f>DI161</f>
        <v>1590.69</v>
      </c>
      <c r="DK161">
        <v>0</v>
      </c>
      <c r="DL161" t="s">
        <v>3</v>
      </c>
      <c r="DM161">
        <v>0</v>
      </c>
      <c r="DN161" t="s">
        <v>3</v>
      </c>
      <c r="DO161">
        <v>0</v>
      </c>
    </row>
    <row r="162" spans="1:119" x14ac:dyDescent="0.2">
      <c r="A162">
        <f>ROW(Source!A91)</f>
        <v>91</v>
      </c>
      <c r="B162">
        <v>145033679</v>
      </c>
      <c r="C162">
        <v>145040878</v>
      </c>
      <c r="D162">
        <v>140924121</v>
      </c>
      <c r="E162">
        <v>1</v>
      </c>
      <c r="F162">
        <v>1</v>
      </c>
      <c r="G162">
        <v>1</v>
      </c>
      <c r="H162">
        <v>2</v>
      </c>
      <c r="I162" t="s">
        <v>906</v>
      </c>
      <c r="J162" t="s">
        <v>907</v>
      </c>
      <c r="K162" t="s">
        <v>908</v>
      </c>
      <c r="L162">
        <v>1367</v>
      </c>
      <c r="N162">
        <v>1011</v>
      </c>
      <c r="O162" t="s">
        <v>79</v>
      </c>
      <c r="P162" t="s">
        <v>79</v>
      </c>
      <c r="Q162">
        <v>1</v>
      </c>
      <c r="W162">
        <v>0</v>
      </c>
      <c r="X162">
        <v>-1506375854</v>
      </c>
      <c r="Y162">
        <f>(AT162*1.15)</f>
        <v>1.3224999999999998</v>
      </c>
      <c r="AA162">
        <v>0</v>
      </c>
      <c r="AB162">
        <v>592.07000000000005</v>
      </c>
      <c r="AC162">
        <v>0</v>
      </c>
      <c r="AD162">
        <v>0</v>
      </c>
      <c r="AE162">
        <v>0</v>
      </c>
      <c r="AF162">
        <v>48.81</v>
      </c>
      <c r="AG162">
        <v>0</v>
      </c>
      <c r="AH162">
        <v>0</v>
      </c>
      <c r="AI162">
        <v>1</v>
      </c>
      <c r="AJ162">
        <v>12.13</v>
      </c>
      <c r="AK162">
        <v>30.54</v>
      </c>
      <c r="AL162">
        <v>1</v>
      </c>
      <c r="AM162">
        <v>4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1.1499999999999999</v>
      </c>
      <c r="AU162" t="s">
        <v>21</v>
      </c>
      <c r="AV162">
        <v>0</v>
      </c>
      <c r="AW162">
        <v>2</v>
      </c>
      <c r="AX162">
        <v>145040880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ROUND(Y162*Source!I91,9)</f>
        <v>0.95220000000000005</v>
      </c>
      <c r="CY162">
        <f>AB162</f>
        <v>592.07000000000005</v>
      </c>
      <c r="CZ162">
        <f>AF162</f>
        <v>48.81</v>
      </c>
      <c r="DA162">
        <f>AJ162</f>
        <v>12.13</v>
      </c>
      <c r="DB162">
        <f>ROUND((ROUND(AT162*CZ162,2)*1.15),2)</f>
        <v>64.55</v>
      </c>
      <c r="DC162">
        <f>ROUND((ROUND(AT162*AG162,2)*1.15),2)</f>
        <v>0</v>
      </c>
      <c r="DD162" t="s">
        <v>3</v>
      </c>
      <c r="DE162" t="s">
        <v>3</v>
      </c>
      <c r="DF162">
        <f>ROUND(ROUND(AE162,2)*CX162,2)</f>
        <v>0</v>
      </c>
      <c r="DG162">
        <f>ROUND(ROUND(AF162*AJ162,2)*CX162,2)</f>
        <v>563.77</v>
      </c>
      <c r="DH162">
        <f>ROUND(ROUND(AG162*AK162,2)*CX162,2)</f>
        <v>0</v>
      </c>
      <c r="DI162">
        <f>ROUND(ROUND(AH162,2)*CX162,2)</f>
        <v>0</v>
      </c>
      <c r="DJ162">
        <f>DG162</f>
        <v>563.77</v>
      </c>
      <c r="DK162">
        <v>0</v>
      </c>
      <c r="DL162" t="s">
        <v>3</v>
      </c>
      <c r="DM162">
        <v>0</v>
      </c>
      <c r="DN162" t="s">
        <v>3</v>
      </c>
      <c r="DO162">
        <v>0</v>
      </c>
    </row>
    <row r="163" spans="1:119" x14ac:dyDescent="0.2">
      <c r="A163">
        <f>ROW(Source!A91)</f>
        <v>91</v>
      </c>
      <c r="B163">
        <v>145033679</v>
      </c>
      <c r="C163">
        <v>145040878</v>
      </c>
      <c r="D163">
        <v>140924577</v>
      </c>
      <c r="E163">
        <v>1</v>
      </c>
      <c r="F163">
        <v>1</v>
      </c>
      <c r="G163">
        <v>1</v>
      </c>
      <c r="H163">
        <v>2</v>
      </c>
      <c r="I163" t="s">
        <v>909</v>
      </c>
      <c r="J163" t="s">
        <v>910</v>
      </c>
      <c r="K163" t="s">
        <v>911</v>
      </c>
      <c r="L163">
        <v>1367</v>
      </c>
      <c r="N163">
        <v>1011</v>
      </c>
      <c r="O163" t="s">
        <v>79</v>
      </c>
      <c r="P163" t="s">
        <v>79</v>
      </c>
      <c r="Q163">
        <v>1</v>
      </c>
      <c r="W163">
        <v>0</v>
      </c>
      <c r="X163">
        <v>1998121820</v>
      </c>
      <c r="Y163">
        <f>(AT163*1.15)</f>
        <v>2.6449999999999996</v>
      </c>
      <c r="AA163">
        <v>0</v>
      </c>
      <c r="AB163">
        <v>18.559999999999999</v>
      </c>
      <c r="AC163">
        <v>0</v>
      </c>
      <c r="AD163">
        <v>0</v>
      </c>
      <c r="AE163">
        <v>0</v>
      </c>
      <c r="AF163">
        <v>1.53</v>
      </c>
      <c r="AG163">
        <v>0</v>
      </c>
      <c r="AH163">
        <v>0</v>
      </c>
      <c r="AI163">
        <v>1</v>
      </c>
      <c r="AJ163">
        <v>12.13</v>
      </c>
      <c r="AK163">
        <v>30.54</v>
      </c>
      <c r="AL163">
        <v>1</v>
      </c>
      <c r="AM163">
        <v>4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2.2999999999999998</v>
      </c>
      <c r="AU163" t="s">
        <v>21</v>
      </c>
      <c r="AV163">
        <v>0</v>
      </c>
      <c r="AW163">
        <v>2</v>
      </c>
      <c r="AX163">
        <v>145040881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ROUND(Y163*Source!I91,9)</f>
        <v>1.9044000000000001</v>
      </c>
      <c r="CY163">
        <f>AB163</f>
        <v>18.559999999999999</v>
      </c>
      <c r="CZ163">
        <f>AF163</f>
        <v>1.53</v>
      </c>
      <c r="DA163">
        <f>AJ163</f>
        <v>12.13</v>
      </c>
      <c r="DB163">
        <f>ROUND((ROUND(AT163*CZ163,2)*1.15),2)</f>
        <v>4.05</v>
      </c>
      <c r="DC163">
        <f>ROUND((ROUND(AT163*AG163,2)*1.15),2)</f>
        <v>0</v>
      </c>
      <c r="DD163" t="s">
        <v>3</v>
      </c>
      <c r="DE163" t="s">
        <v>3</v>
      </c>
      <c r="DF163">
        <f>ROUND(ROUND(AE163,2)*CX163,2)</f>
        <v>0</v>
      </c>
      <c r="DG163">
        <f>ROUND(ROUND(AF163*AJ163,2)*CX163,2)</f>
        <v>35.35</v>
      </c>
      <c r="DH163">
        <f>ROUND(ROUND(AG163*AK163,2)*CX163,2)</f>
        <v>0</v>
      </c>
      <c r="DI163">
        <f>ROUND(ROUND(AH163,2)*CX163,2)</f>
        <v>0</v>
      </c>
      <c r="DJ163">
        <f>DG163</f>
        <v>35.35</v>
      </c>
      <c r="DK163">
        <v>0</v>
      </c>
      <c r="DL163" t="s">
        <v>3</v>
      </c>
      <c r="DM163">
        <v>0</v>
      </c>
      <c r="DN163" t="s">
        <v>3</v>
      </c>
      <c r="DO163">
        <v>0</v>
      </c>
    </row>
    <row r="164" spans="1:119" x14ac:dyDescent="0.2">
      <c r="A164">
        <f>ROW(Source!A92)</f>
        <v>92</v>
      </c>
      <c r="B164">
        <v>145033679</v>
      </c>
      <c r="C164">
        <v>145040882</v>
      </c>
      <c r="D164">
        <v>140759956</v>
      </c>
      <c r="E164">
        <v>70</v>
      </c>
      <c r="F164">
        <v>1</v>
      </c>
      <c r="G164">
        <v>1</v>
      </c>
      <c r="H164">
        <v>1</v>
      </c>
      <c r="I164" t="s">
        <v>912</v>
      </c>
      <c r="J164" t="s">
        <v>3</v>
      </c>
      <c r="K164" t="s">
        <v>913</v>
      </c>
      <c r="L164">
        <v>1191</v>
      </c>
      <c r="N164">
        <v>1013</v>
      </c>
      <c r="O164" t="s">
        <v>725</v>
      </c>
      <c r="P164" t="s">
        <v>725</v>
      </c>
      <c r="Q164">
        <v>1</v>
      </c>
      <c r="W164">
        <v>0</v>
      </c>
      <c r="X164">
        <v>388411409</v>
      </c>
      <c r="Y164">
        <f>(AT164*1.15)</f>
        <v>16.8245</v>
      </c>
      <c r="AA164">
        <v>0</v>
      </c>
      <c r="AB164">
        <v>0</v>
      </c>
      <c r="AC164">
        <v>0</v>
      </c>
      <c r="AD164">
        <v>249.51</v>
      </c>
      <c r="AE164">
        <v>0</v>
      </c>
      <c r="AF164">
        <v>0</v>
      </c>
      <c r="AG164">
        <v>0</v>
      </c>
      <c r="AH164">
        <v>8.17</v>
      </c>
      <c r="AI164">
        <v>1</v>
      </c>
      <c r="AJ164">
        <v>1</v>
      </c>
      <c r="AK164">
        <v>1</v>
      </c>
      <c r="AL164">
        <v>30.54</v>
      </c>
      <c r="AM164">
        <v>4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14.63</v>
      </c>
      <c r="AU164" t="s">
        <v>21</v>
      </c>
      <c r="AV164">
        <v>1</v>
      </c>
      <c r="AW164">
        <v>2</v>
      </c>
      <c r="AX164">
        <v>145040883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ROUND(Y164*Source!I92,9)</f>
        <v>12.11364</v>
      </c>
      <c r="CY164">
        <f>AD164</f>
        <v>249.51</v>
      </c>
      <c r="CZ164">
        <f>AH164</f>
        <v>8.17</v>
      </c>
      <c r="DA164">
        <f>AL164</f>
        <v>30.54</v>
      </c>
      <c r="DB164">
        <f>ROUND((ROUND(AT164*CZ164,2)*1.15),2)</f>
        <v>137.46</v>
      </c>
      <c r="DC164">
        <f>ROUND((ROUND(AT164*AG164,2)*1.15),2)</f>
        <v>0</v>
      </c>
      <c r="DD164" t="s">
        <v>3</v>
      </c>
      <c r="DE164" t="s">
        <v>3</v>
      </c>
      <c r="DF164">
        <f>ROUND(ROUND(AE164,2)*CX164,2)</f>
        <v>0</v>
      </c>
      <c r="DG164">
        <f>ROUND(ROUND(AF164,2)*CX164,2)</f>
        <v>0</v>
      </c>
      <c r="DH164">
        <f>ROUND(ROUND(AG164,2)*CX164,2)</f>
        <v>0</v>
      </c>
      <c r="DI164">
        <f>ROUND(ROUND(AH164*AL164,2)*CX164,2)</f>
        <v>3022.47</v>
      </c>
      <c r="DJ164">
        <f>DI164</f>
        <v>3022.47</v>
      </c>
      <c r="DK164">
        <v>0</v>
      </c>
      <c r="DL164" t="s">
        <v>3</v>
      </c>
      <c r="DM164">
        <v>0</v>
      </c>
      <c r="DN164" t="s">
        <v>3</v>
      </c>
      <c r="DO164">
        <v>0</v>
      </c>
    </row>
    <row r="165" spans="1:119" x14ac:dyDescent="0.2">
      <c r="A165">
        <f>ROW(Source!A92)</f>
        <v>92</v>
      </c>
      <c r="B165">
        <v>145033679</v>
      </c>
      <c r="C165">
        <v>145040882</v>
      </c>
      <c r="D165">
        <v>140923081</v>
      </c>
      <c r="E165">
        <v>1</v>
      </c>
      <c r="F165">
        <v>1</v>
      </c>
      <c r="G165">
        <v>1</v>
      </c>
      <c r="H165">
        <v>2</v>
      </c>
      <c r="I165" t="s">
        <v>914</v>
      </c>
      <c r="J165" t="s">
        <v>915</v>
      </c>
      <c r="K165" t="s">
        <v>916</v>
      </c>
      <c r="L165">
        <v>1367</v>
      </c>
      <c r="N165">
        <v>1011</v>
      </c>
      <c r="O165" t="s">
        <v>79</v>
      </c>
      <c r="P165" t="s">
        <v>79</v>
      </c>
      <c r="Q165">
        <v>1</v>
      </c>
      <c r="W165">
        <v>0</v>
      </c>
      <c r="X165">
        <v>-1424865896</v>
      </c>
      <c r="Y165">
        <f>(AT165*1.15)</f>
        <v>0.36799999999999999</v>
      </c>
      <c r="AA165">
        <v>0</v>
      </c>
      <c r="AB165">
        <v>80.790000000000006</v>
      </c>
      <c r="AC165">
        <v>0</v>
      </c>
      <c r="AD165">
        <v>0</v>
      </c>
      <c r="AE165">
        <v>0</v>
      </c>
      <c r="AF165">
        <v>6.66</v>
      </c>
      <c r="AG165">
        <v>0</v>
      </c>
      <c r="AH165">
        <v>0</v>
      </c>
      <c r="AI165">
        <v>1</v>
      </c>
      <c r="AJ165">
        <v>12.13</v>
      </c>
      <c r="AK165">
        <v>30.54</v>
      </c>
      <c r="AL165">
        <v>1</v>
      </c>
      <c r="AM165">
        <v>4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0.32</v>
      </c>
      <c r="AU165" t="s">
        <v>21</v>
      </c>
      <c r="AV165">
        <v>0</v>
      </c>
      <c r="AW165">
        <v>2</v>
      </c>
      <c r="AX165">
        <v>145040884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ROUND(Y165*Source!I92,9)</f>
        <v>0.26495999999999997</v>
      </c>
      <c r="CY165">
        <f>AB165</f>
        <v>80.790000000000006</v>
      </c>
      <c r="CZ165">
        <f>AF165</f>
        <v>6.66</v>
      </c>
      <c r="DA165">
        <f>AJ165</f>
        <v>12.13</v>
      </c>
      <c r="DB165">
        <f>ROUND((ROUND(AT165*CZ165,2)*1.15),2)</f>
        <v>2.4500000000000002</v>
      </c>
      <c r="DC165">
        <f>ROUND((ROUND(AT165*AG165,2)*1.15),2)</f>
        <v>0</v>
      </c>
      <c r="DD165" t="s">
        <v>3</v>
      </c>
      <c r="DE165" t="s">
        <v>3</v>
      </c>
      <c r="DF165">
        <f>ROUND(ROUND(AE165,2)*CX165,2)</f>
        <v>0</v>
      </c>
      <c r="DG165">
        <f>ROUND(ROUND(AF165*AJ165,2)*CX165,2)</f>
        <v>21.41</v>
      </c>
      <c r="DH165">
        <f>ROUND(ROUND(AG165*AK165,2)*CX165,2)</f>
        <v>0</v>
      </c>
      <c r="DI165">
        <f>ROUND(ROUND(AH165,2)*CX165,2)</f>
        <v>0</v>
      </c>
      <c r="DJ165">
        <f>DG165</f>
        <v>21.41</v>
      </c>
      <c r="DK165">
        <v>0</v>
      </c>
      <c r="DL165" t="s">
        <v>3</v>
      </c>
      <c r="DM165">
        <v>0</v>
      </c>
      <c r="DN165" t="s">
        <v>3</v>
      </c>
      <c r="DO165">
        <v>0</v>
      </c>
    </row>
    <row r="166" spans="1:119" x14ac:dyDescent="0.2">
      <c r="A166">
        <f>ROW(Source!A92)</f>
        <v>92</v>
      </c>
      <c r="B166">
        <v>145033679</v>
      </c>
      <c r="C166">
        <v>145040882</v>
      </c>
      <c r="D166">
        <v>140778120</v>
      </c>
      <c r="E166">
        <v>1</v>
      </c>
      <c r="F166">
        <v>1</v>
      </c>
      <c r="G166">
        <v>1</v>
      </c>
      <c r="H166">
        <v>3</v>
      </c>
      <c r="I166" t="s">
        <v>311</v>
      </c>
      <c r="J166" t="s">
        <v>313</v>
      </c>
      <c r="K166" t="s">
        <v>312</v>
      </c>
      <c r="L166">
        <v>1339</v>
      </c>
      <c r="N166">
        <v>1007</v>
      </c>
      <c r="O166" t="s">
        <v>66</v>
      </c>
      <c r="P166" t="s">
        <v>66</v>
      </c>
      <c r="Q166">
        <v>1</v>
      </c>
      <c r="W166">
        <v>1</v>
      </c>
      <c r="X166">
        <v>-1568863701</v>
      </c>
      <c r="Y166">
        <f>AT166</f>
        <v>-0.24</v>
      </c>
      <c r="AA166">
        <v>4527.46</v>
      </c>
      <c r="AB166">
        <v>0</v>
      </c>
      <c r="AC166">
        <v>0</v>
      </c>
      <c r="AD166">
        <v>0</v>
      </c>
      <c r="AE166">
        <v>519.79999999999995</v>
      </c>
      <c r="AF166">
        <v>0</v>
      </c>
      <c r="AG166">
        <v>0</v>
      </c>
      <c r="AH166">
        <v>0</v>
      </c>
      <c r="AI166">
        <v>8.7100000000000009</v>
      </c>
      <c r="AJ166">
        <v>1</v>
      </c>
      <c r="AK166">
        <v>1</v>
      </c>
      <c r="AL166">
        <v>1</v>
      </c>
      <c r="AM166">
        <v>4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-0.24</v>
      </c>
      <c r="AU166" t="s">
        <v>3</v>
      </c>
      <c r="AV166">
        <v>0</v>
      </c>
      <c r="AW166">
        <v>2</v>
      </c>
      <c r="AX166">
        <v>145040885</v>
      </c>
      <c r="AY166">
        <v>1</v>
      </c>
      <c r="AZ166">
        <v>6144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ROUND(Y166*Source!I92,9)</f>
        <v>-0.17280000000000001</v>
      </c>
      <c r="CY166">
        <f>AA166</f>
        <v>4527.46</v>
      </c>
      <c r="CZ166">
        <f>AE166</f>
        <v>519.79999999999995</v>
      </c>
      <c r="DA166">
        <f>AI166</f>
        <v>8.7100000000000009</v>
      </c>
      <c r="DB166">
        <f>ROUND(ROUND(AT166*CZ166,2),2)</f>
        <v>-124.75</v>
      </c>
      <c r="DC166">
        <f>ROUND(ROUND(AT166*AG166,2),2)</f>
        <v>0</v>
      </c>
      <c r="DD166" t="s">
        <v>3</v>
      </c>
      <c r="DE166" t="s">
        <v>3</v>
      </c>
      <c r="DF166">
        <f>ROUND(ROUND(AE166*AI166,2)*CX166,2)</f>
        <v>-782.35</v>
      </c>
      <c r="DG166">
        <f>ROUND(ROUND(AF166,2)*CX166,2)</f>
        <v>0</v>
      </c>
      <c r="DH166">
        <f>ROUND(ROUND(AG166,2)*CX166,2)</f>
        <v>0</v>
      </c>
      <c r="DI166">
        <f>ROUND(ROUND(AH166,2)*CX166,2)</f>
        <v>0</v>
      </c>
      <c r="DJ166">
        <f>DF166</f>
        <v>-782.35</v>
      </c>
      <c r="DK166">
        <v>0</v>
      </c>
      <c r="DL166" t="s">
        <v>3</v>
      </c>
      <c r="DM166">
        <v>0</v>
      </c>
      <c r="DN166" t="s">
        <v>3</v>
      </c>
      <c r="DO166">
        <v>0</v>
      </c>
    </row>
    <row r="167" spans="1:119" x14ac:dyDescent="0.2">
      <c r="A167">
        <f>ROW(Source!A92)</f>
        <v>92</v>
      </c>
      <c r="B167">
        <v>145033679</v>
      </c>
      <c r="C167">
        <v>145040882</v>
      </c>
      <c r="D167">
        <v>140761785</v>
      </c>
      <c r="E167">
        <v>70</v>
      </c>
      <c r="F167">
        <v>1</v>
      </c>
      <c r="G167">
        <v>1</v>
      </c>
      <c r="H167">
        <v>3</v>
      </c>
      <c r="I167" t="s">
        <v>917</v>
      </c>
      <c r="J167" t="s">
        <v>3</v>
      </c>
      <c r="K167" t="s">
        <v>918</v>
      </c>
      <c r="L167">
        <v>1407</v>
      </c>
      <c r="N167">
        <v>1013</v>
      </c>
      <c r="O167" t="s">
        <v>175</v>
      </c>
      <c r="P167" t="s">
        <v>175</v>
      </c>
      <c r="Q167">
        <v>1</v>
      </c>
      <c r="W167">
        <v>0</v>
      </c>
      <c r="X167">
        <v>1006587949</v>
      </c>
      <c r="Y167">
        <f>AT167</f>
        <v>0.4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8.7100000000000009</v>
      </c>
      <c r="AJ167">
        <v>1</v>
      </c>
      <c r="AK167">
        <v>1</v>
      </c>
      <c r="AL167">
        <v>1</v>
      </c>
      <c r="AM167">
        <v>4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3</v>
      </c>
      <c r="AT167">
        <v>0.4</v>
      </c>
      <c r="AU167" t="s">
        <v>3</v>
      </c>
      <c r="AV167">
        <v>0</v>
      </c>
      <c r="AW167">
        <v>2</v>
      </c>
      <c r="AX167">
        <v>145040886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ROUND(Y167*Source!I92,9)</f>
        <v>0.28799999999999998</v>
      </c>
      <c r="CY167">
        <f>AA167</f>
        <v>0</v>
      </c>
      <c r="CZ167">
        <f>AE167</f>
        <v>0</v>
      </c>
      <c r="DA167">
        <f>AI167</f>
        <v>8.7100000000000009</v>
      </c>
      <c r="DB167">
        <f>ROUND(ROUND(AT167*CZ167,2),2)</f>
        <v>0</v>
      </c>
      <c r="DC167">
        <f>ROUND(ROUND(AT167*AG167,2),2)</f>
        <v>0</v>
      </c>
      <c r="DD167" t="s">
        <v>3</v>
      </c>
      <c r="DE167" t="s">
        <v>3</v>
      </c>
      <c r="DF167">
        <f>ROUND(ROUND(AE167*AI167,2)*CX167,2)</f>
        <v>0</v>
      </c>
      <c r="DG167">
        <f>ROUND(ROUND(AF167,2)*CX167,2)</f>
        <v>0</v>
      </c>
      <c r="DH167">
        <f>ROUND(ROUND(AG167,2)*CX167,2)</f>
        <v>0</v>
      </c>
      <c r="DI167">
        <f>ROUND(ROUND(AH167,2)*CX167,2)</f>
        <v>0</v>
      </c>
      <c r="DJ167">
        <f>DF167</f>
        <v>0</v>
      </c>
      <c r="DK167">
        <v>0</v>
      </c>
      <c r="DL167" t="s">
        <v>3</v>
      </c>
      <c r="DM167">
        <v>0</v>
      </c>
      <c r="DN167" t="s">
        <v>3</v>
      </c>
      <c r="DO167">
        <v>0</v>
      </c>
    </row>
    <row r="168" spans="1:119" x14ac:dyDescent="0.2">
      <c r="A168">
        <f>ROW(Source!A96)</f>
        <v>96</v>
      </c>
      <c r="B168">
        <v>145033679</v>
      </c>
      <c r="C168">
        <v>145040890</v>
      </c>
      <c r="D168">
        <v>140759979</v>
      </c>
      <c r="E168">
        <v>70</v>
      </c>
      <c r="F168">
        <v>1</v>
      </c>
      <c r="G168">
        <v>1</v>
      </c>
      <c r="H168">
        <v>1</v>
      </c>
      <c r="I168" t="s">
        <v>745</v>
      </c>
      <c r="J168" t="s">
        <v>3</v>
      </c>
      <c r="K168" t="s">
        <v>746</v>
      </c>
      <c r="L168">
        <v>1191</v>
      </c>
      <c r="N168">
        <v>1013</v>
      </c>
      <c r="O168" t="s">
        <v>725</v>
      </c>
      <c r="P168" t="s">
        <v>725</v>
      </c>
      <c r="Q168">
        <v>1</v>
      </c>
      <c r="W168">
        <v>0</v>
      </c>
      <c r="X168">
        <v>1049124552</v>
      </c>
      <c r="Y168">
        <f>(AT168*1.15)</f>
        <v>6.1639999999999997</v>
      </c>
      <c r="AA168">
        <v>0</v>
      </c>
      <c r="AB168">
        <v>0</v>
      </c>
      <c r="AC168">
        <v>0</v>
      </c>
      <c r="AD168">
        <v>260.51</v>
      </c>
      <c r="AE168">
        <v>0</v>
      </c>
      <c r="AF168">
        <v>0</v>
      </c>
      <c r="AG168">
        <v>0</v>
      </c>
      <c r="AH168">
        <v>8.5299999999999994</v>
      </c>
      <c r="AI168">
        <v>1</v>
      </c>
      <c r="AJ168">
        <v>1</v>
      </c>
      <c r="AK168">
        <v>1</v>
      </c>
      <c r="AL168">
        <v>30.54</v>
      </c>
      <c r="AM168">
        <v>4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5.36</v>
      </c>
      <c r="AU168" t="s">
        <v>21</v>
      </c>
      <c r="AV168">
        <v>1</v>
      </c>
      <c r="AW168">
        <v>2</v>
      </c>
      <c r="AX168">
        <v>145040891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ROUND(Y168*Source!I96,9)</f>
        <v>1.97248</v>
      </c>
      <c r="CY168">
        <f>AD168</f>
        <v>260.51</v>
      </c>
      <c r="CZ168">
        <f>AH168</f>
        <v>8.5299999999999994</v>
      </c>
      <c r="DA168">
        <f>AL168</f>
        <v>30.54</v>
      </c>
      <c r="DB168">
        <f>ROUND((ROUND(AT168*CZ168,2)*1.15),2)</f>
        <v>52.58</v>
      </c>
      <c r="DC168">
        <f>ROUND((ROUND(AT168*AG168,2)*1.15),2)</f>
        <v>0</v>
      </c>
      <c r="DD168" t="s">
        <v>3</v>
      </c>
      <c r="DE168" t="s">
        <v>3</v>
      </c>
      <c r="DF168">
        <f>ROUND(ROUND(AE168,2)*CX168,2)</f>
        <v>0</v>
      </c>
      <c r="DG168">
        <f>ROUND(ROUND(AF168,2)*CX168,2)</f>
        <v>0</v>
      </c>
      <c r="DH168">
        <f>ROUND(ROUND(AG168,2)*CX168,2)</f>
        <v>0</v>
      </c>
      <c r="DI168">
        <f>ROUND(ROUND(AH168*AL168,2)*CX168,2)</f>
        <v>513.85</v>
      </c>
      <c r="DJ168">
        <f>DI168</f>
        <v>513.85</v>
      </c>
      <c r="DK168">
        <v>0</v>
      </c>
      <c r="DL168" t="s">
        <v>3</v>
      </c>
      <c r="DM168">
        <v>0</v>
      </c>
      <c r="DN168" t="s">
        <v>3</v>
      </c>
      <c r="DO168">
        <v>0</v>
      </c>
    </row>
    <row r="169" spans="1:119" x14ac:dyDescent="0.2">
      <c r="A169">
        <f>ROW(Source!A96)</f>
        <v>96</v>
      </c>
      <c r="B169">
        <v>145033679</v>
      </c>
      <c r="C169">
        <v>145040890</v>
      </c>
      <c r="D169">
        <v>140765020</v>
      </c>
      <c r="E169">
        <v>70</v>
      </c>
      <c r="F169">
        <v>1</v>
      </c>
      <c r="G169">
        <v>1</v>
      </c>
      <c r="H169">
        <v>3</v>
      </c>
      <c r="I169" t="s">
        <v>726</v>
      </c>
      <c r="J169" t="s">
        <v>3</v>
      </c>
      <c r="K169" t="s">
        <v>727</v>
      </c>
      <c r="L169">
        <v>1348</v>
      </c>
      <c r="N169">
        <v>1009</v>
      </c>
      <c r="O169" t="s">
        <v>105</v>
      </c>
      <c r="P169" t="s">
        <v>105</v>
      </c>
      <c r="Q169">
        <v>1000</v>
      </c>
      <c r="W169">
        <v>0</v>
      </c>
      <c r="X169">
        <v>2102561428</v>
      </c>
      <c r="Y169">
        <f>AT169</f>
        <v>6.0000000000000001E-3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8.7100000000000009</v>
      </c>
      <c r="AJ169">
        <v>1</v>
      </c>
      <c r="AK169">
        <v>1</v>
      </c>
      <c r="AL169">
        <v>1</v>
      </c>
      <c r="AM169">
        <v>4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3</v>
      </c>
      <c r="AT169">
        <v>6.0000000000000001E-3</v>
      </c>
      <c r="AU169" t="s">
        <v>3</v>
      </c>
      <c r="AV169">
        <v>0</v>
      </c>
      <c r="AW169">
        <v>2</v>
      </c>
      <c r="AX169">
        <v>145040892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ROUND(Y169*Source!I96,9)</f>
        <v>1.92E-3</v>
      </c>
      <c r="CY169">
        <f>AA169</f>
        <v>0</v>
      </c>
      <c r="CZ169">
        <f>AE169</f>
        <v>0</v>
      </c>
      <c r="DA169">
        <f>AI169</f>
        <v>8.7100000000000009</v>
      </c>
      <c r="DB169">
        <f>ROUND(ROUND(AT169*CZ169,2),2)</f>
        <v>0</v>
      </c>
      <c r="DC169">
        <f>ROUND(ROUND(AT169*AG169,2),2)</f>
        <v>0</v>
      </c>
      <c r="DD169" t="s">
        <v>3</v>
      </c>
      <c r="DE169" t="s">
        <v>3</v>
      </c>
      <c r="DF169">
        <f>ROUND(ROUND(AE169*AI169,2)*CX169,2)</f>
        <v>0</v>
      </c>
      <c r="DG169">
        <f>ROUND(ROUND(AF169,2)*CX169,2)</f>
        <v>0</v>
      </c>
      <c r="DH169">
        <f>ROUND(ROUND(AG169,2)*CX169,2)</f>
        <v>0</v>
      </c>
      <c r="DI169">
        <f>ROUND(ROUND(AH169,2)*CX169,2)</f>
        <v>0</v>
      </c>
      <c r="DJ169">
        <f>DF169</f>
        <v>0</v>
      </c>
      <c r="DK169">
        <v>0</v>
      </c>
      <c r="DL169" t="s">
        <v>3</v>
      </c>
      <c r="DM169">
        <v>0</v>
      </c>
      <c r="DN169" t="s">
        <v>3</v>
      </c>
      <c r="DO169">
        <v>0</v>
      </c>
    </row>
    <row r="170" spans="1:119" x14ac:dyDescent="0.2">
      <c r="A170">
        <f>ROW(Source!A98)</f>
        <v>98</v>
      </c>
      <c r="B170">
        <v>145033679</v>
      </c>
      <c r="C170">
        <v>145040896</v>
      </c>
      <c r="D170">
        <v>140759956</v>
      </c>
      <c r="E170">
        <v>70</v>
      </c>
      <c r="F170">
        <v>1</v>
      </c>
      <c r="G170">
        <v>1</v>
      </c>
      <c r="H170">
        <v>1</v>
      </c>
      <c r="I170" t="s">
        <v>912</v>
      </c>
      <c r="J170" t="s">
        <v>3</v>
      </c>
      <c r="K170" t="s">
        <v>913</v>
      </c>
      <c r="L170">
        <v>1191</v>
      </c>
      <c r="N170">
        <v>1013</v>
      </c>
      <c r="O170" t="s">
        <v>725</v>
      </c>
      <c r="P170" t="s">
        <v>725</v>
      </c>
      <c r="Q170">
        <v>1</v>
      </c>
      <c r="W170">
        <v>0</v>
      </c>
      <c r="X170">
        <v>388411409</v>
      </c>
      <c r="Y170">
        <f>(AT170*1.15)</f>
        <v>8.1649999999999991</v>
      </c>
      <c r="AA170">
        <v>0</v>
      </c>
      <c r="AB170">
        <v>0</v>
      </c>
      <c r="AC170">
        <v>0</v>
      </c>
      <c r="AD170">
        <v>249.51</v>
      </c>
      <c r="AE170">
        <v>0</v>
      </c>
      <c r="AF170">
        <v>0</v>
      </c>
      <c r="AG170">
        <v>0</v>
      </c>
      <c r="AH170">
        <v>8.17</v>
      </c>
      <c r="AI170">
        <v>1</v>
      </c>
      <c r="AJ170">
        <v>1</v>
      </c>
      <c r="AK170">
        <v>1</v>
      </c>
      <c r="AL170">
        <v>30.54</v>
      </c>
      <c r="AM170">
        <v>4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7.1</v>
      </c>
      <c r="AU170" t="s">
        <v>21</v>
      </c>
      <c r="AV170">
        <v>1</v>
      </c>
      <c r="AW170">
        <v>2</v>
      </c>
      <c r="AX170">
        <v>145040906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ROUND(Y170*Source!I98,9)</f>
        <v>52.4193</v>
      </c>
      <c r="CY170">
        <f>AD170</f>
        <v>249.51</v>
      </c>
      <c r="CZ170">
        <f>AH170</f>
        <v>8.17</v>
      </c>
      <c r="DA170">
        <f>AL170</f>
        <v>30.54</v>
      </c>
      <c r="DB170">
        <f>ROUND((ROUND(AT170*CZ170,2)*1.15),2)</f>
        <v>66.709999999999994</v>
      </c>
      <c r="DC170">
        <f>ROUND((ROUND(AT170*AG170,2)*1.15),2)</f>
        <v>0</v>
      </c>
      <c r="DD170" t="s">
        <v>3</v>
      </c>
      <c r="DE170" t="s">
        <v>3</v>
      </c>
      <c r="DF170">
        <f>ROUND(ROUND(AE170,2)*CX170,2)</f>
        <v>0</v>
      </c>
      <c r="DG170">
        <f>ROUND(ROUND(AF170,2)*CX170,2)</f>
        <v>0</v>
      </c>
      <c r="DH170">
        <f>ROUND(ROUND(AG170,2)*CX170,2)</f>
        <v>0</v>
      </c>
      <c r="DI170">
        <f>ROUND(ROUND(AH170*AL170,2)*CX170,2)</f>
        <v>13079.14</v>
      </c>
      <c r="DJ170">
        <f>DI170</f>
        <v>13079.14</v>
      </c>
      <c r="DK170">
        <v>0</v>
      </c>
      <c r="DL170" t="s">
        <v>3</v>
      </c>
      <c r="DM170">
        <v>0</v>
      </c>
      <c r="DN170" t="s">
        <v>3</v>
      </c>
      <c r="DO170">
        <v>0</v>
      </c>
    </row>
    <row r="171" spans="1:119" x14ac:dyDescent="0.2">
      <c r="A171">
        <f>ROW(Source!A98)</f>
        <v>98</v>
      </c>
      <c r="B171">
        <v>145033679</v>
      </c>
      <c r="C171">
        <v>145040896</v>
      </c>
      <c r="D171">
        <v>140923081</v>
      </c>
      <c r="E171">
        <v>1</v>
      </c>
      <c r="F171">
        <v>1</v>
      </c>
      <c r="G171">
        <v>1</v>
      </c>
      <c r="H171">
        <v>2</v>
      </c>
      <c r="I171" t="s">
        <v>914</v>
      </c>
      <c r="J171" t="s">
        <v>915</v>
      </c>
      <c r="K171" t="s">
        <v>916</v>
      </c>
      <c r="L171">
        <v>1367</v>
      </c>
      <c r="N171">
        <v>1011</v>
      </c>
      <c r="O171" t="s">
        <v>79</v>
      </c>
      <c r="P171" t="s">
        <v>79</v>
      </c>
      <c r="Q171">
        <v>1</v>
      </c>
      <c r="W171">
        <v>0</v>
      </c>
      <c r="X171">
        <v>-1424865896</v>
      </c>
      <c r="Y171">
        <f>(AT171*1.15)</f>
        <v>0.36799999999999999</v>
      </c>
      <c r="AA171">
        <v>0</v>
      </c>
      <c r="AB171">
        <v>80.790000000000006</v>
      </c>
      <c r="AC171">
        <v>0</v>
      </c>
      <c r="AD171">
        <v>0</v>
      </c>
      <c r="AE171">
        <v>0</v>
      </c>
      <c r="AF171">
        <v>6.66</v>
      </c>
      <c r="AG171">
        <v>0</v>
      </c>
      <c r="AH171">
        <v>0</v>
      </c>
      <c r="AI171">
        <v>1</v>
      </c>
      <c r="AJ171">
        <v>12.13</v>
      </c>
      <c r="AK171">
        <v>30.54</v>
      </c>
      <c r="AL171">
        <v>1</v>
      </c>
      <c r="AM171">
        <v>4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0.32</v>
      </c>
      <c r="AU171" t="s">
        <v>21</v>
      </c>
      <c r="AV171">
        <v>0</v>
      </c>
      <c r="AW171">
        <v>2</v>
      </c>
      <c r="AX171">
        <v>145040907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ROUND(Y171*Source!I98,9)</f>
        <v>2.3625600000000002</v>
      </c>
      <c r="CY171">
        <f>AB171</f>
        <v>80.790000000000006</v>
      </c>
      <c r="CZ171">
        <f>AF171</f>
        <v>6.66</v>
      </c>
      <c r="DA171">
        <f>AJ171</f>
        <v>12.13</v>
      </c>
      <c r="DB171">
        <f>ROUND((ROUND(AT171*CZ171,2)*1.15),2)</f>
        <v>2.4500000000000002</v>
      </c>
      <c r="DC171">
        <f>ROUND((ROUND(AT171*AG171,2)*1.15),2)</f>
        <v>0</v>
      </c>
      <c r="DD171" t="s">
        <v>3</v>
      </c>
      <c r="DE171" t="s">
        <v>3</v>
      </c>
      <c r="DF171">
        <f>ROUND(ROUND(AE171,2)*CX171,2)</f>
        <v>0</v>
      </c>
      <c r="DG171">
        <f>ROUND(ROUND(AF171*AJ171,2)*CX171,2)</f>
        <v>190.87</v>
      </c>
      <c r="DH171">
        <f>ROUND(ROUND(AG171*AK171,2)*CX171,2)</f>
        <v>0</v>
      </c>
      <c r="DI171">
        <f>ROUND(ROUND(AH171,2)*CX171,2)</f>
        <v>0</v>
      </c>
      <c r="DJ171">
        <f>DG171</f>
        <v>190.87</v>
      </c>
      <c r="DK171">
        <v>0</v>
      </c>
      <c r="DL171" t="s">
        <v>3</v>
      </c>
      <c r="DM171">
        <v>0</v>
      </c>
      <c r="DN171" t="s">
        <v>3</v>
      </c>
      <c r="DO171">
        <v>0</v>
      </c>
    </row>
    <row r="172" spans="1:119" x14ac:dyDescent="0.2">
      <c r="A172">
        <f>ROW(Source!A98)</f>
        <v>98</v>
      </c>
      <c r="B172">
        <v>145033679</v>
      </c>
      <c r="C172">
        <v>145040896</v>
      </c>
      <c r="D172">
        <v>140778120</v>
      </c>
      <c r="E172">
        <v>1</v>
      </c>
      <c r="F172">
        <v>1</v>
      </c>
      <c r="G172">
        <v>1</v>
      </c>
      <c r="H172">
        <v>3</v>
      </c>
      <c r="I172" t="s">
        <v>311</v>
      </c>
      <c r="J172" t="s">
        <v>313</v>
      </c>
      <c r="K172" t="s">
        <v>312</v>
      </c>
      <c r="L172">
        <v>1339</v>
      </c>
      <c r="N172">
        <v>1007</v>
      </c>
      <c r="O172" t="s">
        <v>66</v>
      </c>
      <c r="P172" t="s">
        <v>66</v>
      </c>
      <c r="Q172">
        <v>1</v>
      </c>
      <c r="W172">
        <v>1</v>
      </c>
      <c r="X172">
        <v>-1568863701</v>
      </c>
      <c r="Y172">
        <f>AT172</f>
        <v>-0.24</v>
      </c>
      <c r="AA172">
        <v>4527.46</v>
      </c>
      <c r="AB172">
        <v>0</v>
      </c>
      <c r="AC172">
        <v>0</v>
      </c>
      <c r="AD172">
        <v>0</v>
      </c>
      <c r="AE172">
        <v>519.79999999999995</v>
      </c>
      <c r="AF172">
        <v>0</v>
      </c>
      <c r="AG172">
        <v>0</v>
      </c>
      <c r="AH172">
        <v>0</v>
      </c>
      <c r="AI172">
        <v>8.7100000000000009</v>
      </c>
      <c r="AJ172">
        <v>1</v>
      </c>
      <c r="AK172">
        <v>1</v>
      </c>
      <c r="AL172">
        <v>1</v>
      </c>
      <c r="AM172">
        <v>4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-0.24</v>
      </c>
      <c r="AU172" t="s">
        <v>3</v>
      </c>
      <c r="AV172">
        <v>0</v>
      </c>
      <c r="AW172">
        <v>2</v>
      </c>
      <c r="AX172">
        <v>145040908</v>
      </c>
      <c r="AY172">
        <v>1</v>
      </c>
      <c r="AZ172">
        <v>6144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ROUND(Y172*Source!I98,9)</f>
        <v>-1.5407999999999999</v>
      </c>
      <c r="CY172">
        <f>AA172</f>
        <v>4527.46</v>
      </c>
      <c r="CZ172">
        <f>AE172</f>
        <v>519.79999999999995</v>
      </c>
      <c r="DA172">
        <f>AI172</f>
        <v>8.7100000000000009</v>
      </c>
      <c r="DB172">
        <f>ROUND(ROUND(AT172*CZ172,2),2)</f>
        <v>-124.75</v>
      </c>
      <c r="DC172">
        <f>ROUND(ROUND(AT172*AG172,2),2)</f>
        <v>0</v>
      </c>
      <c r="DD172" t="s">
        <v>3</v>
      </c>
      <c r="DE172" t="s">
        <v>3</v>
      </c>
      <c r="DF172">
        <f>ROUND(ROUND(AE172*AI172,2)*CX172,2)</f>
        <v>-6975.91</v>
      </c>
      <c r="DG172">
        <f>ROUND(ROUND(AF172,2)*CX172,2)</f>
        <v>0</v>
      </c>
      <c r="DH172">
        <f>ROUND(ROUND(AG172,2)*CX172,2)</f>
        <v>0</v>
      </c>
      <c r="DI172">
        <f>ROUND(ROUND(AH172,2)*CX172,2)</f>
        <v>0</v>
      </c>
      <c r="DJ172">
        <f>DF172</f>
        <v>-6975.91</v>
      </c>
      <c r="DK172">
        <v>0</v>
      </c>
      <c r="DL172" t="s">
        <v>3</v>
      </c>
      <c r="DM172">
        <v>0</v>
      </c>
      <c r="DN172" t="s">
        <v>3</v>
      </c>
      <c r="DO172">
        <v>0</v>
      </c>
    </row>
    <row r="173" spans="1:119" x14ac:dyDescent="0.2">
      <c r="A173">
        <f>ROW(Source!A98)</f>
        <v>98</v>
      </c>
      <c r="B173">
        <v>145033679</v>
      </c>
      <c r="C173">
        <v>145040896</v>
      </c>
      <c r="D173">
        <v>140761785</v>
      </c>
      <c r="E173">
        <v>70</v>
      </c>
      <c r="F173">
        <v>1</v>
      </c>
      <c r="G173">
        <v>1</v>
      </c>
      <c r="H173">
        <v>3</v>
      </c>
      <c r="I173" t="s">
        <v>917</v>
      </c>
      <c r="J173" t="s">
        <v>3</v>
      </c>
      <c r="K173" t="s">
        <v>918</v>
      </c>
      <c r="L173">
        <v>1407</v>
      </c>
      <c r="N173">
        <v>1013</v>
      </c>
      <c r="O173" t="s">
        <v>175</v>
      </c>
      <c r="P173" t="s">
        <v>175</v>
      </c>
      <c r="Q173">
        <v>1</v>
      </c>
      <c r="W173">
        <v>0</v>
      </c>
      <c r="X173">
        <v>1006587949</v>
      </c>
      <c r="Y173">
        <f>AT173</f>
        <v>0.4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8.7100000000000009</v>
      </c>
      <c r="AJ173">
        <v>1</v>
      </c>
      <c r="AK173">
        <v>1</v>
      </c>
      <c r="AL173">
        <v>1</v>
      </c>
      <c r="AM173">
        <v>4</v>
      </c>
      <c r="AN173">
        <v>0</v>
      </c>
      <c r="AO173">
        <v>0</v>
      </c>
      <c r="AP173">
        <v>1</v>
      </c>
      <c r="AQ173">
        <v>0</v>
      </c>
      <c r="AR173">
        <v>0</v>
      </c>
      <c r="AS173" t="s">
        <v>3</v>
      </c>
      <c r="AT173">
        <v>0.4</v>
      </c>
      <c r="AU173" t="s">
        <v>3</v>
      </c>
      <c r="AV173">
        <v>0</v>
      </c>
      <c r="AW173">
        <v>2</v>
      </c>
      <c r="AX173">
        <v>145040909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ROUND(Y173*Source!I98,9)</f>
        <v>2.5680000000000001</v>
      </c>
      <c r="CY173">
        <f>AA173</f>
        <v>0</v>
      </c>
      <c r="CZ173">
        <f>AE173</f>
        <v>0</v>
      </c>
      <c r="DA173">
        <f>AI173</f>
        <v>8.7100000000000009</v>
      </c>
      <c r="DB173">
        <f>ROUND(ROUND(AT173*CZ173,2),2)</f>
        <v>0</v>
      </c>
      <c r="DC173">
        <f>ROUND(ROUND(AT173*AG173,2),2)</f>
        <v>0</v>
      </c>
      <c r="DD173" t="s">
        <v>3</v>
      </c>
      <c r="DE173" t="s">
        <v>3</v>
      </c>
      <c r="DF173">
        <f>ROUND(ROUND(AE173*AI173,2)*CX173,2)</f>
        <v>0</v>
      </c>
      <c r="DG173">
        <f>ROUND(ROUND(AF173,2)*CX173,2)</f>
        <v>0</v>
      </c>
      <c r="DH173">
        <f>ROUND(ROUND(AG173,2)*CX173,2)</f>
        <v>0</v>
      </c>
      <c r="DI173">
        <f>ROUND(ROUND(AH173,2)*CX173,2)</f>
        <v>0</v>
      </c>
      <c r="DJ173">
        <f>DF173</f>
        <v>0</v>
      </c>
      <c r="DK173">
        <v>0</v>
      </c>
      <c r="DL173" t="s">
        <v>3</v>
      </c>
      <c r="DM173">
        <v>0</v>
      </c>
      <c r="DN173" t="s">
        <v>3</v>
      </c>
      <c r="DO173">
        <v>0</v>
      </c>
    </row>
    <row r="174" spans="1:119" x14ac:dyDescent="0.2">
      <c r="A174">
        <f>ROW(Source!A102)</f>
        <v>102</v>
      </c>
      <c r="B174">
        <v>145033679</v>
      </c>
      <c r="C174">
        <v>145070827</v>
      </c>
      <c r="D174">
        <v>140759985</v>
      </c>
      <c r="E174">
        <v>70</v>
      </c>
      <c r="F174">
        <v>1</v>
      </c>
      <c r="G174">
        <v>1</v>
      </c>
      <c r="H174">
        <v>1</v>
      </c>
      <c r="I174" t="s">
        <v>848</v>
      </c>
      <c r="J174" t="s">
        <v>3</v>
      </c>
      <c r="K174" t="s">
        <v>849</v>
      </c>
      <c r="L174">
        <v>1191</v>
      </c>
      <c r="N174">
        <v>1013</v>
      </c>
      <c r="O174" t="s">
        <v>725</v>
      </c>
      <c r="P174" t="s">
        <v>725</v>
      </c>
      <c r="Q174">
        <v>1</v>
      </c>
      <c r="W174">
        <v>0</v>
      </c>
      <c r="X174">
        <v>784619160</v>
      </c>
      <c r="Y174">
        <f>((AT174*1.15)*1.15)</f>
        <v>178.18042499999996</v>
      </c>
      <c r="AA174">
        <v>0</v>
      </c>
      <c r="AB174">
        <v>0</v>
      </c>
      <c r="AC174">
        <v>0</v>
      </c>
      <c r="AD174">
        <v>266.92</v>
      </c>
      <c r="AE174">
        <v>0</v>
      </c>
      <c r="AF174">
        <v>0</v>
      </c>
      <c r="AG174">
        <v>0</v>
      </c>
      <c r="AH174">
        <v>8.74</v>
      </c>
      <c r="AI174">
        <v>1</v>
      </c>
      <c r="AJ174">
        <v>1</v>
      </c>
      <c r="AK174">
        <v>1</v>
      </c>
      <c r="AL174">
        <v>30.54</v>
      </c>
      <c r="AM174">
        <v>4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134.72999999999999</v>
      </c>
      <c r="AU174" t="s">
        <v>91</v>
      </c>
      <c r="AV174">
        <v>1</v>
      </c>
      <c r="AW174">
        <v>2</v>
      </c>
      <c r="AX174">
        <v>145070828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ROUND(Y174*Source!I102,9)</f>
        <v>30.967757864999999</v>
      </c>
      <c r="CY174">
        <f>AD174</f>
        <v>266.92</v>
      </c>
      <c r="CZ174">
        <f>AH174</f>
        <v>8.74</v>
      </c>
      <c r="DA174">
        <f>AL174</f>
        <v>30.54</v>
      </c>
      <c r="DB174">
        <f>ROUND(((ROUND(AT174*CZ174,2)*1.15)*1.15),2)</f>
        <v>1557.3</v>
      </c>
      <c r="DC174">
        <f>ROUND(((ROUND(AT174*AG174,2)*1.15)*1.15),2)</f>
        <v>0</v>
      </c>
      <c r="DD174" t="s">
        <v>3</v>
      </c>
      <c r="DE174" t="s">
        <v>3</v>
      </c>
      <c r="DF174">
        <f>ROUND(ROUND(AE174,2)*CX174,2)</f>
        <v>0</v>
      </c>
      <c r="DG174">
        <f>ROUND(ROUND(AF174,2)*CX174,2)</f>
        <v>0</v>
      </c>
      <c r="DH174">
        <f>ROUND(ROUND(AG174,2)*CX174,2)</f>
        <v>0</v>
      </c>
      <c r="DI174">
        <f>ROUND(ROUND(AH174*AL174,2)*CX174,2)</f>
        <v>8265.91</v>
      </c>
      <c r="DJ174">
        <f>DI174</f>
        <v>8265.91</v>
      </c>
      <c r="DK174">
        <v>0</v>
      </c>
      <c r="DL174" t="s">
        <v>3</v>
      </c>
      <c r="DM174">
        <v>0</v>
      </c>
      <c r="DN174" t="s">
        <v>3</v>
      </c>
      <c r="DO174">
        <v>0</v>
      </c>
    </row>
    <row r="175" spans="1:119" x14ac:dyDescent="0.2">
      <c r="A175">
        <f>ROW(Source!A102)</f>
        <v>102</v>
      </c>
      <c r="B175">
        <v>145033679</v>
      </c>
      <c r="C175">
        <v>145070827</v>
      </c>
      <c r="D175">
        <v>140760225</v>
      </c>
      <c r="E175">
        <v>70</v>
      </c>
      <c r="F175">
        <v>1</v>
      </c>
      <c r="G175">
        <v>1</v>
      </c>
      <c r="H175">
        <v>1</v>
      </c>
      <c r="I175" t="s">
        <v>730</v>
      </c>
      <c r="J175" t="s">
        <v>3</v>
      </c>
      <c r="K175" t="s">
        <v>731</v>
      </c>
      <c r="L175">
        <v>1191</v>
      </c>
      <c r="N175">
        <v>1013</v>
      </c>
      <c r="O175" t="s">
        <v>725</v>
      </c>
      <c r="P175" t="s">
        <v>725</v>
      </c>
      <c r="Q175">
        <v>1</v>
      </c>
      <c r="W175">
        <v>0</v>
      </c>
      <c r="X175">
        <v>-1417349443</v>
      </c>
      <c r="Y175">
        <f>((AT175*1.15)*1.25)</f>
        <v>5.6637499999999994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30.54</v>
      </c>
      <c r="AL175">
        <v>1</v>
      </c>
      <c r="AM175">
        <v>4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3.94</v>
      </c>
      <c r="AU175" t="s">
        <v>339</v>
      </c>
      <c r="AV175">
        <v>2</v>
      </c>
      <c r="AW175">
        <v>2</v>
      </c>
      <c r="AX175">
        <v>145070829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ROUND(Y175*Source!I102,9)</f>
        <v>0.98435974999999998</v>
      </c>
      <c r="CY175">
        <f>AD175</f>
        <v>0</v>
      </c>
      <c r="CZ175">
        <f>AH175</f>
        <v>0</v>
      </c>
      <c r="DA175">
        <f>AL175</f>
        <v>1</v>
      </c>
      <c r="DB175">
        <f>ROUND(((ROUND(AT175*CZ175,2)*1.15)*1.25),2)</f>
        <v>0</v>
      </c>
      <c r="DC175">
        <f>ROUND(((ROUND(AT175*AG175,2)*1.15)*1.25),2)</f>
        <v>0</v>
      </c>
      <c r="DD175" t="s">
        <v>3</v>
      </c>
      <c r="DE175" t="s">
        <v>3</v>
      </c>
      <c r="DF175">
        <f>ROUND(ROUND(AE175,2)*CX175,2)</f>
        <v>0</v>
      </c>
      <c r="DG175">
        <f>ROUND(ROUND(AF175,2)*CX175,2)</f>
        <v>0</v>
      </c>
      <c r="DH175">
        <f>ROUND(ROUND(AG175*AK175,2)*CX175,2)</f>
        <v>0</v>
      </c>
      <c r="DI175">
        <f t="shared" ref="DI175:DI184" si="41">ROUND(ROUND(AH175,2)*CX175,2)</f>
        <v>0</v>
      </c>
      <c r="DJ175">
        <f>DI175</f>
        <v>0</v>
      </c>
      <c r="DK175">
        <v>0</v>
      </c>
      <c r="DL175" t="s">
        <v>3</v>
      </c>
      <c r="DM175">
        <v>0</v>
      </c>
      <c r="DN175" t="s">
        <v>3</v>
      </c>
      <c r="DO175">
        <v>0</v>
      </c>
    </row>
    <row r="176" spans="1:119" x14ac:dyDescent="0.2">
      <c r="A176">
        <f>ROW(Source!A102)</f>
        <v>102</v>
      </c>
      <c r="B176">
        <v>145033679</v>
      </c>
      <c r="C176">
        <v>145070827</v>
      </c>
      <c r="D176">
        <v>140923145</v>
      </c>
      <c r="E176">
        <v>1</v>
      </c>
      <c r="F176">
        <v>1</v>
      </c>
      <c r="G176">
        <v>1</v>
      </c>
      <c r="H176">
        <v>2</v>
      </c>
      <c r="I176" t="s">
        <v>826</v>
      </c>
      <c r="J176" t="s">
        <v>827</v>
      </c>
      <c r="K176" t="s">
        <v>828</v>
      </c>
      <c r="L176">
        <v>1367</v>
      </c>
      <c r="N176">
        <v>1011</v>
      </c>
      <c r="O176" t="s">
        <v>79</v>
      </c>
      <c r="P176" t="s">
        <v>79</v>
      </c>
      <c r="Q176">
        <v>1</v>
      </c>
      <c r="W176">
        <v>0</v>
      </c>
      <c r="X176">
        <v>1232162608</v>
      </c>
      <c r="Y176">
        <f>((AT176*1.15)*1.25)</f>
        <v>0.94874999999999998</v>
      </c>
      <c r="AA176">
        <v>0</v>
      </c>
      <c r="AB176">
        <v>379.18</v>
      </c>
      <c r="AC176">
        <v>412.29</v>
      </c>
      <c r="AD176">
        <v>0</v>
      </c>
      <c r="AE176">
        <v>0</v>
      </c>
      <c r="AF176">
        <v>31.26</v>
      </c>
      <c r="AG176">
        <v>13.5</v>
      </c>
      <c r="AH176">
        <v>0</v>
      </c>
      <c r="AI176">
        <v>1</v>
      </c>
      <c r="AJ176">
        <v>12.13</v>
      </c>
      <c r="AK176">
        <v>30.54</v>
      </c>
      <c r="AL176">
        <v>1</v>
      </c>
      <c r="AM176">
        <v>4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0.66</v>
      </c>
      <c r="AU176" t="s">
        <v>339</v>
      </c>
      <c r="AV176">
        <v>0</v>
      </c>
      <c r="AW176">
        <v>2</v>
      </c>
      <c r="AX176">
        <v>145070830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ROUND(Y176*Source!I102,9)</f>
        <v>0.16489275</v>
      </c>
      <c r="CY176">
        <f>AB176</f>
        <v>379.18</v>
      </c>
      <c r="CZ176">
        <f>AF176</f>
        <v>31.26</v>
      </c>
      <c r="DA176">
        <f>AJ176</f>
        <v>12.13</v>
      </c>
      <c r="DB176">
        <f>ROUND(((ROUND(AT176*CZ176,2)*1.15)*1.25),2)</f>
        <v>29.66</v>
      </c>
      <c r="DC176">
        <f>ROUND(((ROUND(AT176*AG176,2)*1.15)*1.25),2)</f>
        <v>12.81</v>
      </c>
      <c r="DD176" t="s">
        <v>3</v>
      </c>
      <c r="DE176" t="s">
        <v>3</v>
      </c>
      <c r="DF176">
        <f>ROUND(ROUND(AE176,2)*CX176,2)</f>
        <v>0</v>
      </c>
      <c r="DG176">
        <f>ROUND(ROUND(AF176*AJ176,2)*CX176,2)</f>
        <v>62.52</v>
      </c>
      <c r="DH176">
        <f>ROUND(ROUND(AG176*AK176,2)*CX176,2)</f>
        <v>67.98</v>
      </c>
      <c r="DI176">
        <f t="shared" si="41"/>
        <v>0</v>
      </c>
      <c r="DJ176">
        <f>DG176</f>
        <v>62.52</v>
      </c>
      <c r="DK176">
        <v>0</v>
      </c>
      <c r="DL176" t="s">
        <v>3</v>
      </c>
      <c r="DM176">
        <v>0</v>
      </c>
      <c r="DN176" t="s">
        <v>3</v>
      </c>
      <c r="DO176">
        <v>0</v>
      </c>
    </row>
    <row r="177" spans="1:119" x14ac:dyDescent="0.2">
      <c r="A177">
        <f>ROW(Source!A102)</f>
        <v>102</v>
      </c>
      <c r="B177">
        <v>145033679</v>
      </c>
      <c r="C177">
        <v>145070827</v>
      </c>
      <c r="D177">
        <v>140923885</v>
      </c>
      <c r="E177">
        <v>1</v>
      </c>
      <c r="F177">
        <v>1</v>
      </c>
      <c r="G177">
        <v>1</v>
      </c>
      <c r="H177">
        <v>2</v>
      </c>
      <c r="I177" t="s">
        <v>732</v>
      </c>
      <c r="J177" t="s">
        <v>733</v>
      </c>
      <c r="K177" t="s">
        <v>734</v>
      </c>
      <c r="L177">
        <v>1367</v>
      </c>
      <c r="N177">
        <v>1011</v>
      </c>
      <c r="O177" t="s">
        <v>79</v>
      </c>
      <c r="P177" t="s">
        <v>79</v>
      </c>
      <c r="Q177">
        <v>1</v>
      </c>
      <c r="W177">
        <v>0</v>
      </c>
      <c r="X177">
        <v>509054691</v>
      </c>
      <c r="Y177">
        <f>((AT177*1.15)*1.25)</f>
        <v>4.714999999999999</v>
      </c>
      <c r="AA177">
        <v>0</v>
      </c>
      <c r="AB177">
        <v>797.06</v>
      </c>
      <c r="AC177">
        <v>354.26</v>
      </c>
      <c r="AD177">
        <v>0</v>
      </c>
      <c r="AE177">
        <v>0</v>
      </c>
      <c r="AF177">
        <v>65.709999999999994</v>
      </c>
      <c r="AG177">
        <v>11.6</v>
      </c>
      <c r="AH177">
        <v>0</v>
      </c>
      <c r="AI177">
        <v>1</v>
      </c>
      <c r="AJ177">
        <v>12.13</v>
      </c>
      <c r="AK177">
        <v>30.54</v>
      </c>
      <c r="AL177">
        <v>1</v>
      </c>
      <c r="AM177">
        <v>4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3.28</v>
      </c>
      <c r="AU177" t="s">
        <v>339</v>
      </c>
      <c r="AV177">
        <v>0</v>
      </c>
      <c r="AW177">
        <v>2</v>
      </c>
      <c r="AX177">
        <v>145070831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ROUND(Y177*Source!I102,9)</f>
        <v>0.81946699999999995</v>
      </c>
      <c r="CY177">
        <f>AB177</f>
        <v>797.06</v>
      </c>
      <c r="CZ177">
        <f>AF177</f>
        <v>65.709999999999994</v>
      </c>
      <c r="DA177">
        <f>AJ177</f>
        <v>12.13</v>
      </c>
      <c r="DB177">
        <f>ROUND(((ROUND(AT177*CZ177,2)*1.15)*1.25),2)</f>
        <v>309.82</v>
      </c>
      <c r="DC177">
        <f>ROUND(((ROUND(AT177*AG177,2)*1.15)*1.25),2)</f>
        <v>54.7</v>
      </c>
      <c r="DD177" t="s">
        <v>3</v>
      </c>
      <c r="DE177" t="s">
        <v>3</v>
      </c>
      <c r="DF177">
        <f>ROUND(ROUND(AE177,2)*CX177,2)</f>
        <v>0</v>
      </c>
      <c r="DG177">
        <f>ROUND(ROUND(AF177*AJ177,2)*CX177,2)</f>
        <v>653.16</v>
      </c>
      <c r="DH177">
        <f>ROUND(ROUND(AG177*AK177,2)*CX177,2)</f>
        <v>290.3</v>
      </c>
      <c r="DI177">
        <f t="shared" si="41"/>
        <v>0</v>
      </c>
      <c r="DJ177">
        <f>DG177</f>
        <v>653.16</v>
      </c>
      <c r="DK177">
        <v>0</v>
      </c>
      <c r="DL177" t="s">
        <v>3</v>
      </c>
      <c r="DM177">
        <v>0</v>
      </c>
      <c r="DN177" t="s">
        <v>3</v>
      </c>
      <c r="DO177">
        <v>0</v>
      </c>
    </row>
    <row r="178" spans="1:119" x14ac:dyDescent="0.2">
      <c r="A178">
        <f>ROW(Source!A102)</f>
        <v>102</v>
      </c>
      <c r="B178">
        <v>145033679</v>
      </c>
      <c r="C178">
        <v>145070827</v>
      </c>
      <c r="D178">
        <v>140772930</v>
      </c>
      <c r="E178">
        <v>1</v>
      </c>
      <c r="F178">
        <v>1</v>
      </c>
      <c r="G178">
        <v>1</v>
      </c>
      <c r="H178">
        <v>3</v>
      </c>
      <c r="I178" t="s">
        <v>919</v>
      </c>
      <c r="J178" t="s">
        <v>920</v>
      </c>
      <c r="K178" t="s">
        <v>921</v>
      </c>
      <c r="L178">
        <v>1301</v>
      </c>
      <c r="N178">
        <v>1003</v>
      </c>
      <c r="O178" t="s">
        <v>213</v>
      </c>
      <c r="P178" t="s">
        <v>213</v>
      </c>
      <c r="Q178">
        <v>1</v>
      </c>
      <c r="W178">
        <v>0</v>
      </c>
      <c r="X178">
        <v>1264737560</v>
      </c>
      <c r="Y178">
        <f t="shared" ref="Y178:Y184" si="42">AT178</f>
        <v>230</v>
      </c>
      <c r="AA178">
        <v>55.57</v>
      </c>
      <c r="AB178">
        <v>0</v>
      </c>
      <c r="AC178">
        <v>0</v>
      </c>
      <c r="AD178">
        <v>0</v>
      </c>
      <c r="AE178">
        <v>6.38</v>
      </c>
      <c r="AF178">
        <v>0</v>
      </c>
      <c r="AG178">
        <v>0</v>
      </c>
      <c r="AH178">
        <v>0</v>
      </c>
      <c r="AI178">
        <v>8.7100000000000009</v>
      </c>
      <c r="AJ178">
        <v>1</v>
      </c>
      <c r="AK178">
        <v>1</v>
      </c>
      <c r="AL178">
        <v>1</v>
      </c>
      <c r="AM178">
        <v>4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230</v>
      </c>
      <c r="AU178" t="s">
        <v>3</v>
      </c>
      <c r="AV178">
        <v>0</v>
      </c>
      <c r="AW178">
        <v>2</v>
      </c>
      <c r="AX178">
        <v>145070832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ROUND(Y178*Source!I102,9)</f>
        <v>39.973999999999997</v>
      </c>
      <c r="CY178">
        <f t="shared" ref="CY178:CY184" si="43">AA178</f>
        <v>55.57</v>
      </c>
      <c r="CZ178">
        <f t="shared" ref="CZ178:CZ184" si="44">AE178</f>
        <v>6.38</v>
      </c>
      <c r="DA178">
        <f t="shared" ref="DA178:DA184" si="45">AI178</f>
        <v>8.7100000000000009</v>
      </c>
      <c r="DB178">
        <f t="shared" ref="DB178:DB184" si="46">ROUND(ROUND(AT178*CZ178,2),2)</f>
        <v>1467.4</v>
      </c>
      <c r="DC178">
        <f t="shared" ref="DC178:DC184" si="47">ROUND(ROUND(AT178*AG178,2),2)</f>
        <v>0</v>
      </c>
      <c r="DD178" t="s">
        <v>3</v>
      </c>
      <c r="DE178" t="s">
        <v>3</v>
      </c>
      <c r="DF178">
        <f t="shared" ref="DF178:DF184" si="48">ROUND(ROUND(AE178*AI178,2)*CX178,2)</f>
        <v>2221.36</v>
      </c>
      <c r="DG178">
        <f t="shared" ref="DG178:DG186" si="49">ROUND(ROUND(AF178,2)*CX178,2)</f>
        <v>0</v>
      </c>
      <c r="DH178">
        <f t="shared" ref="DH178:DH185" si="50">ROUND(ROUND(AG178,2)*CX178,2)</f>
        <v>0</v>
      </c>
      <c r="DI178">
        <f t="shared" si="41"/>
        <v>0</v>
      </c>
      <c r="DJ178">
        <f t="shared" ref="DJ178:DJ184" si="51">DF178</f>
        <v>2221.36</v>
      </c>
      <c r="DK178">
        <v>0</v>
      </c>
      <c r="DL178" t="s">
        <v>3</v>
      </c>
      <c r="DM178">
        <v>0</v>
      </c>
      <c r="DN178" t="s">
        <v>3</v>
      </c>
      <c r="DO178">
        <v>0</v>
      </c>
    </row>
    <row r="179" spans="1:119" x14ac:dyDescent="0.2">
      <c r="A179">
        <f>ROW(Source!A102)</f>
        <v>102</v>
      </c>
      <c r="B179">
        <v>145033679</v>
      </c>
      <c r="C179">
        <v>145070827</v>
      </c>
      <c r="D179">
        <v>140772931</v>
      </c>
      <c r="E179">
        <v>1</v>
      </c>
      <c r="F179">
        <v>1</v>
      </c>
      <c r="G179">
        <v>1</v>
      </c>
      <c r="H179">
        <v>3</v>
      </c>
      <c r="I179" t="s">
        <v>922</v>
      </c>
      <c r="J179" t="s">
        <v>923</v>
      </c>
      <c r="K179" t="s">
        <v>924</v>
      </c>
      <c r="L179">
        <v>1301</v>
      </c>
      <c r="N179">
        <v>1003</v>
      </c>
      <c r="O179" t="s">
        <v>213</v>
      </c>
      <c r="P179" t="s">
        <v>213</v>
      </c>
      <c r="Q179">
        <v>1</v>
      </c>
      <c r="W179">
        <v>0</v>
      </c>
      <c r="X179">
        <v>2137999826</v>
      </c>
      <c r="Y179">
        <f t="shared" si="42"/>
        <v>50</v>
      </c>
      <c r="AA179">
        <v>69.239999999999995</v>
      </c>
      <c r="AB179">
        <v>0</v>
      </c>
      <c r="AC179">
        <v>0</v>
      </c>
      <c r="AD179">
        <v>0</v>
      </c>
      <c r="AE179">
        <v>7.95</v>
      </c>
      <c r="AF179">
        <v>0</v>
      </c>
      <c r="AG179">
        <v>0</v>
      </c>
      <c r="AH179">
        <v>0</v>
      </c>
      <c r="AI179">
        <v>8.7100000000000009</v>
      </c>
      <c r="AJ179">
        <v>1</v>
      </c>
      <c r="AK179">
        <v>1</v>
      </c>
      <c r="AL179">
        <v>1</v>
      </c>
      <c r="AM179">
        <v>4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50</v>
      </c>
      <c r="AU179" t="s">
        <v>3</v>
      </c>
      <c r="AV179">
        <v>0</v>
      </c>
      <c r="AW179">
        <v>2</v>
      </c>
      <c r="AX179">
        <v>145070833</v>
      </c>
      <c r="AY179">
        <v>1</v>
      </c>
      <c r="AZ179">
        <v>0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ROUND(Y179*Source!I102,9)</f>
        <v>8.69</v>
      </c>
      <c r="CY179">
        <f t="shared" si="43"/>
        <v>69.239999999999995</v>
      </c>
      <c r="CZ179">
        <f t="shared" si="44"/>
        <v>7.95</v>
      </c>
      <c r="DA179">
        <f t="shared" si="45"/>
        <v>8.7100000000000009</v>
      </c>
      <c r="DB179">
        <f t="shared" si="46"/>
        <v>397.5</v>
      </c>
      <c r="DC179">
        <f t="shared" si="47"/>
        <v>0</v>
      </c>
      <c r="DD179" t="s">
        <v>3</v>
      </c>
      <c r="DE179" t="s">
        <v>3</v>
      </c>
      <c r="DF179">
        <f t="shared" si="48"/>
        <v>601.70000000000005</v>
      </c>
      <c r="DG179">
        <f t="shared" si="49"/>
        <v>0</v>
      </c>
      <c r="DH179">
        <f t="shared" si="50"/>
        <v>0</v>
      </c>
      <c r="DI179">
        <f t="shared" si="41"/>
        <v>0</v>
      </c>
      <c r="DJ179">
        <f t="shared" si="51"/>
        <v>601.70000000000005</v>
      </c>
      <c r="DK179">
        <v>0</v>
      </c>
      <c r="DL179" t="s">
        <v>3</v>
      </c>
      <c r="DM179">
        <v>0</v>
      </c>
      <c r="DN179" t="s">
        <v>3</v>
      </c>
      <c r="DO179">
        <v>0</v>
      </c>
    </row>
    <row r="180" spans="1:119" x14ac:dyDescent="0.2">
      <c r="A180">
        <f>ROW(Source!A102)</f>
        <v>102</v>
      </c>
      <c r="B180">
        <v>145033679</v>
      </c>
      <c r="C180">
        <v>145070827</v>
      </c>
      <c r="D180">
        <v>140773017</v>
      </c>
      <c r="E180">
        <v>1</v>
      </c>
      <c r="F180">
        <v>1</v>
      </c>
      <c r="G180">
        <v>1</v>
      </c>
      <c r="H180">
        <v>3</v>
      </c>
      <c r="I180" t="s">
        <v>925</v>
      </c>
      <c r="J180" t="s">
        <v>926</v>
      </c>
      <c r="K180" t="s">
        <v>927</v>
      </c>
      <c r="L180">
        <v>1302</v>
      </c>
      <c r="N180">
        <v>1003</v>
      </c>
      <c r="O180" t="s">
        <v>928</v>
      </c>
      <c r="P180" t="s">
        <v>928</v>
      </c>
      <c r="Q180">
        <v>10</v>
      </c>
      <c r="W180">
        <v>0</v>
      </c>
      <c r="X180">
        <v>1385349247</v>
      </c>
      <c r="Y180">
        <f t="shared" si="42"/>
        <v>15</v>
      </c>
      <c r="AA180">
        <v>558.30999999999995</v>
      </c>
      <c r="AB180">
        <v>0</v>
      </c>
      <c r="AC180">
        <v>0</v>
      </c>
      <c r="AD180">
        <v>0</v>
      </c>
      <c r="AE180">
        <v>64.099999999999994</v>
      </c>
      <c r="AF180">
        <v>0</v>
      </c>
      <c r="AG180">
        <v>0</v>
      </c>
      <c r="AH180">
        <v>0</v>
      </c>
      <c r="AI180">
        <v>8.7100000000000009</v>
      </c>
      <c r="AJ180">
        <v>1</v>
      </c>
      <c r="AK180">
        <v>1</v>
      </c>
      <c r="AL180">
        <v>1</v>
      </c>
      <c r="AM180">
        <v>4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15</v>
      </c>
      <c r="AU180" t="s">
        <v>3</v>
      </c>
      <c r="AV180">
        <v>0</v>
      </c>
      <c r="AW180">
        <v>2</v>
      </c>
      <c r="AX180">
        <v>145070834</v>
      </c>
      <c r="AY180">
        <v>1</v>
      </c>
      <c r="AZ180">
        <v>0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ROUND(Y180*Source!I102,9)</f>
        <v>2.6070000000000002</v>
      </c>
      <c r="CY180">
        <f t="shared" si="43"/>
        <v>558.30999999999995</v>
      </c>
      <c r="CZ180">
        <f t="shared" si="44"/>
        <v>64.099999999999994</v>
      </c>
      <c r="DA180">
        <f t="shared" si="45"/>
        <v>8.7100000000000009</v>
      </c>
      <c r="DB180">
        <f t="shared" si="46"/>
        <v>961.5</v>
      </c>
      <c r="DC180">
        <f t="shared" si="47"/>
        <v>0</v>
      </c>
      <c r="DD180" t="s">
        <v>3</v>
      </c>
      <c r="DE180" t="s">
        <v>3</v>
      </c>
      <c r="DF180">
        <f t="shared" si="48"/>
        <v>1455.51</v>
      </c>
      <c r="DG180">
        <f t="shared" si="49"/>
        <v>0</v>
      </c>
      <c r="DH180">
        <f t="shared" si="50"/>
        <v>0</v>
      </c>
      <c r="DI180">
        <f t="shared" si="41"/>
        <v>0</v>
      </c>
      <c r="DJ180">
        <f t="shared" si="51"/>
        <v>1455.51</v>
      </c>
      <c r="DK180">
        <v>0</v>
      </c>
      <c r="DL180" t="s">
        <v>3</v>
      </c>
      <c r="DM180">
        <v>0</v>
      </c>
      <c r="DN180" t="s">
        <v>3</v>
      </c>
      <c r="DO180">
        <v>0</v>
      </c>
    </row>
    <row r="181" spans="1:119" x14ac:dyDescent="0.2">
      <c r="A181">
        <f>ROW(Source!A102)</f>
        <v>102</v>
      </c>
      <c r="B181">
        <v>145033679</v>
      </c>
      <c r="C181">
        <v>145070827</v>
      </c>
      <c r="D181">
        <v>140775142</v>
      </c>
      <c r="E181">
        <v>1</v>
      </c>
      <c r="F181">
        <v>1</v>
      </c>
      <c r="G181">
        <v>1</v>
      </c>
      <c r="H181">
        <v>3</v>
      </c>
      <c r="I181" t="s">
        <v>929</v>
      </c>
      <c r="J181" t="s">
        <v>930</v>
      </c>
      <c r="K181" t="s">
        <v>931</v>
      </c>
      <c r="L181">
        <v>1455</v>
      </c>
      <c r="N181">
        <v>1013</v>
      </c>
      <c r="O181" t="s">
        <v>855</v>
      </c>
      <c r="P181" t="s">
        <v>855</v>
      </c>
      <c r="Q181">
        <v>1</v>
      </c>
      <c r="W181">
        <v>0</v>
      </c>
      <c r="X181">
        <v>-525291310</v>
      </c>
      <c r="Y181">
        <f t="shared" si="42"/>
        <v>30</v>
      </c>
      <c r="AA181">
        <v>61.23</v>
      </c>
      <c r="AB181">
        <v>0</v>
      </c>
      <c r="AC181">
        <v>0</v>
      </c>
      <c r="AD181">
        <v>0</v>
      </c>
      <c r="AE181">
        <v>7.03</v>
      </c>
      <c r="AF181">
        <v>0</v>
      </c>
      <c r="AG181">
        <v>0</v>
      </c>
      <c r="AH181">
        <v>0</v>
      </c>
      <c r="AI181">
        <v>8.7100000000000009</v>
      </c>
      <c r="AJ181">
        <v>1</v>
      </c>
      <c r="AK181">
        <v>1</v>
      </c>
      <c r="AL181">
        <v>1</v>
      </c>
      <c r="AM181">
        <v>4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30</v>
      </c>
      <c r="AU181" t="s">
        <v>3</v>
      </c>
      <c r="AV181">
        <v>0</v>
      </c>
      <c r="AW181">
        <v>2</v>
      </c>
      <c r="AX181">
        <v>145070835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ROUND(Y181*Source!I102,9)</f>
        <v>5.2140000000000004</v>
      </c>
      <c r="CY181">
        <f t="shared" si="43"/>
        <v>61.23</v>
      </c>
      <c r="CZ181">
        <f t="shared" si="44"/>
        <v>7.03</v>
      </c>
      <c r="DA181">
        <f t="shared" si="45"/>
        <v>8.7100000000000009</v>
      </c>
      <c r="DB181">
        <f t="shared" si="46"/>
        <v>210.9</v>
      </c>
      <c r="DC181">
        <f t="shared" si="47"/>
        <v>0</v>
      </c>
      <c r="DD181" t="s">
        <v>3</v>
      </c>
      <c r="DE181" t="s">
        <v>3</v>
      </c>
      <c r="DF181">
        <f t="shared" si="48"/>
        <v>319.25</v>
      </c>
      <c r="DG181">
        <f t="shared" si="49"/>
        <v>0</v>
      </c>
      <c r="DH181">
        <f t="shared" si="50"/>
        <v>0</v>
      </c>
      <c r="DI181">
        <f t="shared" si="41"/>
        <v>0</v>
      </c>
      <c r="DJ181">
        <f t="shared" si="51"/>
        <v>319.25</v>
      </c>
      <c r="DK181">
        <v>0</v>
      </c>
      <c r="DL181" t="s">
        <v>3</v>
      </c>
      <c r="DM181">
        <v>0</v>
      </c>
      <c r="DN181" t="s">
        <v>3</v>
      </c>
      <c r="DO181">
        <v>0</v>
      </c>
    </row>
    <row r="182" spans="1:119" x14ac:dyDescent="0.2">
      <c r="A182">
        <f>ROW(Source!A102)</f>
        <v>102</v>
      </c>
      <c r="B182">
        <v>145033679</v>
      </c>
      <c r="C182">
        <v>145070827</v>
      </c>
      <c r="D182">
        <v>140762772</v>
      </c>
      <c r="E182">
        <v>70</v>
      </c>
      <c r="F182">
        <v>1</v>
      </c>
      <c r="G182">
        <v>1</v>
      </c>
      <c r="H182">
        <v>3</v>
      </c>
      <c r="I182" t="s">
        <v>932</v>
      </c>
      <c r="J182" t="s">
        <v>3</v>
      </c>
      <c r="K182" t="s">
        <v>933</v>
      </c>
      <c r="L182">
        <v>1327</v>
      </c>
      <c r="N182">
        <v>1005</v>
      </c>
      <c r="O182" t="s">
        <v>131</v>
      </c>
      <c r="P182" t="s">
        <v>131</v>
      </c>
      <c r="Q182">
        <v>1</v>
      </c>
      <c r="W182">
        <v>0</v>
      </c>
      <c r="X182">
        <v>1219964505</v>
      </c>
      <c r="Y182">
        <f t="shared" si="42"/>
        <v>100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8.7100000000000009</v>
      </c>
      <c r="AJ182">
        <v>1</v>
      </c>
      <c r="AK182">
        <v>1</v>
      </c>
      <c r="AL182">
        <v>1</v>
      </c>
      <c r="AM182">
        <v>4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3</v>
      </c>
      <c r="AT182">
        <v>100</v>
      </c>
      <c r="AU182" t="s">
        <v>3</v>
      </c>
      <c r="AV182">
        <v>0</v>
      </c>
      <c r="AW182">
        <v>2</v>
      </c>
      <c r="AX182">
        <v>145070836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ROUND(Y182*Source!I102,9)</f>
        <v>17.38</v>
      </c>
      <c r="CY182">
        <f t="shared" si="43"/>
        <v>0</v>
      </c>
      <c r="CZ182">
        <f t="shared" si="44"/>
        <v>0</v>
      </c>
      <c r="DA182">
        <f t="shared" si="45"/>
        <v>8.7100000000000009</v>
      </c>
      <c r="DB182">
        <f t="shared" si="46"/>
        <v>0</v>
      </c>
      <c r="DC182">
        <f t="shared" si="47"/>
        <v>0</v>
      </c>
      <c r="DD182" t="s">
        <v>3</v>
      </c>
      <c r="DE182" t="s">
        <v>3</v>
      </c>
      <c r="DF182">
        <f t="shared" si="48"/>
        <v>0</v>
      </c>
      <c r="DG182">
        <f t="shared" si="49"/>
        <v>0</v>
      </c>
      <c r="DH182">
        <f t="shared" si="50"/>
        <v>0</v>
      </c>
      <c r="DI182">
        <f t="shared" si="41"/>
        <v>0</v>
      </c>
      <c r="DJ182">
        <f t="shared" si="51"/>
        <v>0</v>
      </c>
      <c r="DK182">
        <v>0</v>
      </c>
      <c r="DL182" t="s">
        <v>3</v>
      </c>
      <c r="DM182">
        <v>0</v>
      </c>
      <c r="DN182" t="s">
        <v>3</v>
      </c>
      <c r="DO182">
        <v>0</v>
      </c>
    </row>
    <row r="183" spans="1:119" x14ac:dyDescent="0.2">
      <c r="A183">
        <f>ROW(Source!A102)</f>
        <v>102</v>
      </c>
      <c r="B183">
        <v>145033679</v>
      </c>
      <c r="C183">
        <v>145070827</v>
      </c>
      <c r="D183">
        <v>140798319</v>
      </c>
      <c r="E183">
        <v>1</v>
      </c>
      <c r="F183">
        <v>1</v>
      </c>
      <c r="G183">
        <v>1</v>
      </c>
      <c r="H183">
        <v>3</v>
      </c>
      <c r="I183" t="s">
        <v>934</v>
      </c>
      <c r="J183" t="s">
        <v>935</v>
      </c>
      <c r="K183" t="s">
        <v>936</v>
      </c>
      <c r="L183">
        <v>1425</v>
      </c>
      <c r="N183">
        <v>1013</v>
      </c>
      <c r="O183" t="s">
        <v>270</v>
      </c>
      <c r="P183" t="s">
        <v>270</v>
      </c>
      <c r="Q183">
        <v>1</v>
      </c>
      <c r="W183">
        <v>0</v>
      </c>
      <c r="X183">
        <v>-1857225731</v>
      </c>
      <c r="Y183">
        <f t="shared" si="42"/>
        <v>8</v>
      </c>
      <c r="AA183">
        <v>435.5</v>
      </c>
      <c r="AB183">
        <v>0</v>
      </c>
      <c r="AC183">
        <v>0</v>
      </c>
      <c r="AD183">
        <v>0</v>
      </c>
      <c r="AE183">
        <v>50</v>
      </c>
      <c r="AF183">
        <v>0</v>
      </c>
      <c r="AG183">
        <v>0</v>
      </c>
      <c r="AH183">
        <v>0</v>
      </c>
      <c r="AI183">
        <v>8.7100000000000009</v>
      </c>
      <c r="AJ183">
        <v>1</v>
      </c>
      <c r="AK183">
        <v>1</v>
      </c>
      <c r="AL183">
        <v>1</v>
      </c>
      <c r="AM183">
        <v>4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8</v>
      </c>
      <c r="AU183" t="s">
        <v>3</v>
      </c>
      <c r="AV183">
        <v>0</v>
      </c>
      <c r="AW183">
        <v>2</v>
      </c>
      <c r="AX183">
        <v>145070837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ROUND(Y183*Source!I102,9)</f>
        <v>1.3904000000000001</v>
      </c>
      <c r="CY183">
        <f t="shared" si="43"/>
        <v>435.5</v>
      </c>
      <c r="CZ183">
        <f t="shared" si="44"/>
        <v>50</v>
      </c>
      <c r="DA183">
        <f t="shared" si="45"/>
        <v>8.7100000000000009</v>
      </c>
      <c r="DB183">
        <f t="shared" si="46"/>
        <v>400</v>
      </c>
      <c r="DC183">
        <f t="shared" si="47"/>
        <v>0</v>
      </c>
      <c r="DD183" t="s">
        <v>3</v>
      </c>
      <c r="DE183" t="s">
        <v>3</v>
      </c>
      <c r="DF183">
        <f t="shared" si="48"/>
        <v>605.52</v>
      </c>
      <c r="DG183">
        <f t="shared" si="49"/>
        <v>0</v>
      </c>
      <c r="DH183">
        <f t="shared" si="50"/>
        <v>0</v>
      </c>
      <c r="DI183">
        <f t="shared" si="41"/>
        <v>0</v>
      </c>
      <c r="DJ183">
        <f t="shared" si="51"/>
        <v>605.52</v>
      </c>
      <c r="DK183">
        <v>0</v>
      </c>
      <c r="DL183" t="s">
        <v>3</v>
      </c>
      <c r="DM183">
        <v>0</v>
      </c>
      <c r="DN183" t="s">
        <v>3</v>
      </c>
      <c r="DO183">
        <v>0</v>
      </c>
    </row>
    <row r="184" spans="1:119" x14ac:dyDescent="0.2">
      <c r="A184">
        <f>ROW(Source!A102)</f>
        <v>102</v>
      </c>
      <c r="B184">
        <v>145033679</v>
      </c>
      <c r="C184">
        <v>145070827</v>
      </c>
      <c r="D184">
        <v>140804861</v>
      </c>
      <c r="E184">
        <v>1</v>
      </c>
      <c r="F184">
        <v>1</v>
      </c>
      <c r="G184">
        <v>1</v>
      </c>
      <c r="H184">
        <v>3</v>
      </c>
      <c r="I184" t="s">
        <v>937</v>
      </c>
      <c r="J184" t="s">
        <v>938</v>
      </c>
      <c r="K184" t="s">
        <v>939</v>
      </c>
      <c r="L184">
        <v>1296</v>
      </c>
      <c r="N184">
        <v>1002</v>
      </c>
      <c r="O184" t="s">
        <v>147</v>
      </c>
      <c r="P184" t="s">
        <v>147</v>
      </c>
      <c r="Q184">
        <v>1</v>
      </c>
      <c r="W184">
        <v>0</v>
      </c>
      <c r="X184">
        <v>-310994662</v>
      </c>
      <c r="Y184">
        <f t="shared" si="42"/>
        <v>49.5</v>
      </c>
      <c r="AA184">
        <v>408.15</v>
      </c>
      <c r="AB184">
        <v>0</v>
      </c>
      <c r="AC184">
        <v>0</v>
      </c>
      <c r="AD184">
        <v>0</v>
      </c>
      <c r="AE184">
        <v>46.86</v>
      </c>
      <c r="AF184">
        <v>0</v>
      </c>
      <c r="AG184">
        <v>0</v>
      </c>
      <c r="AH184">
        <v>0</v>
      </c>
      <c r="AI184">
        <v>8.7100000000000009</v>
      </c>
      <c r="AJ184">
        <v>1</v>
      </c>
      <c r="AK184">
        <v>1</v>
      </c>
      <c r="AL184">
        <v>1</v>
      </c>
      <c r="AM184">
        <v>4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49.5</v>
      </c>
      <c r="AU184" t="s">
        <v>3</v>
      </c>
      <c r="AV184">
        <v>0</v>
      </c>
      <c r="AW184">
        <v>2</v>
      </c>
      <c r="AX184">
        <v>145070838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ROUND(Y184*Source!I102,9)</f>
        <v>8.6030999999999995</v>
      </c>
      <c r="CY184">
        <f t="shared" si="43"/>
        <v>408.15</v>
      </c>
      <c r="CZ184">
        <f t="shared" si="44"/>
        <v>46.86</v>
      </c>
      <c r="DA184">
        <f t="shared" si="45"/>
        <v>8.7100000000000009</v>
      </c>
      <c r="DB184">
        <f t="shared" si="46"/>
        <v>2319.5700000000002</v>
      </c>
      <c r="DC184">
        <f t="shared" si="47"/>
        <v>0</v>
      </c>
      <c r="DD184" t="s">
        <v>3</v>
      </c>
      <c r="DE184" t="s">
        <v>3</v>
      </c>
      <c r="DF184">
        <f t="shared" si="48"/>
        <v>3511.36</v>
      </c>
      <c r="DG184">
        <f t="shared" si="49"/>
        <v>0</v>
      </c>
      <c r="DH184">
        <f t="shared" si="50"/>
        <v>0</v>
      </c>
      <c r="DI184">
        <f t="shared" si="41"/>
        <v>0</v>
      </c>
      <c r="DJ184">
        <f t="shared" si="51"/>
        <v>3511.36</v>
      </c>
      <c r="DK184">
        <v>0</v>
      </c>
      <c r="DL184" t="s">
        <v>3</v>
      </c>
      <c r="DM184">
        <v>0</v>
      </c>
      <c r="DN184" t="s">
        <v>3</v>
      </c>
      <c r="DO184">
        <v>0</v>
      </c>
    </row>
    <row r="185" spans="1:119" x14ac:dyDescent="0.2">
      <c r="A185">
        <f>ROW(Source!A104)</f>
        <v>104</v>
      </c>
      <c r="B185">
        <v>145033679</v>
      </c>
      <c r="C185">
        <v>145041065</v>
      </c>
      <c r="D185">
        <v>140759985</v>
      </c>
      <c r="E185">
        <v>70</v>
      </c>
      <c r="F185">
        <v>1</v>
      </c>
      <c r="G185">
        <v>1</v>
      </c>
      <c r="H185">
        <v>1</v>
      </c>
      <c r="I185" t="s">
        <v>848</v>
      </c>
      <c r="J185" t="s">
        <v>3</v>
      </c>
      <c r="K185" t="s">
        <v>849</v>
      </c>
      <c r="L185">
        <v>1191</v>
      </c>
      <c r="N185">
        <v>1013</v>
      </c>
      <c r="O185" t="s">
        <v>725</v>
      </c>
      <c r="P185" t="s">
        <v>725</v>
      </c>
      <c r="Q185">
        <v>1</v>
      </c>
      <c r="W185">
        <v>0</v>
      </c>
      <c r="X185">
        <v>784619160</v>
      </c>
      <c r="Y185">
        <f>((AT185*1.15)*1.15)</f>
        <v>221.34682499999997</v>
      </c>
      <c r="AA185">
        <v>0</v>
      </c>
      <c r="AB185">
        <v>0</v>
      </c>
      <c r="AC185">
        <v>0</v>
      </c>
      <c r="AD185">
        <v>266.92</v>
      </c>
      <c r="AE185">
        <v>0</v>
      </c>
      <c r="AF185">
        <v>0</v>
      </c>
      <c r="AG185">
        <v>0</v>
      </c>
      <c r="AH185">
        <v>8.74</v>
      </c>
      <c r="AI185">
        <v>1</v>
      </c>
      <c r="AJ185">
        <v>1</v>
      </c>
      <c r="AK185">
        <v>1</v>
      </c>
      <c r="AL185">
        <v>30.54</v>
      </c>
      <c r="AM185">
        <v>4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167.37</v>
      </c>
      <c r="AU185" t="s">
        <v>91</v>
      </c>
      <c r="AV185">
        <v>1</v>
      </c>
      <c r="AW185">
        <v>2</v>
      </c>
      <c r="AX185">
        <v>145070839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ROUND(Y185*Source!I104,9)</f>
        <v>25.388480827999999</v>
      </c>
      <c r="CY185">
        <f>AD185</f>
        <v>266.92</v>
      </c>
      <c r="CZ185">
        <f>AH185</f>
        <v>8.74</v>
      </c>
      <c r="DA185">
        <f>AL185</f>
        <v>30.54</v>
      </c>
      <c r="DB185">
        <f>ROUND(((ROUND(AT185*CZ185,2)*1.15)*1.15),2)</f>
        <v>1934.57</v>
      </c>
      <c r="DC185">
        <f>ROUND(((ROUND(AT185*AG185,2)*1.15)*1.15),2)</f>
        <v>0</v>
      </c>
      <c r="DD185" t="s">
        <v>3</v>
      </c>
      <c r="DE185" t="s">
        <v>3</v>
      </c>
      <c r="DF185">
        <f>ROUND(ROUND(AE185,2)*CX185,2)</f>
        <v>0</v>
      </c>
      <c r="DG185">
        <f t="shared" si="49"/>
        <v>0</v>
      </c>
      <c r="DH185">
        <f t="shared" si="50"/>
        <v>0</v>
      </c>
      <c r="DI185">
        <f>ROUND(ROUND(AH185*AL185,2)*CX185,2)</f>
        <v>6776.69</v>
      </c>
      <c r="DJ185">
        <f>DI185</f>
        <v>6776.69</v>
      </c>
      <c r="DK185">
        <v>0</v>
      </c>
      <c r="DL185" t="s">
        <v>3</v>
      </c>
      <c r="DM185">
        <v>0</v>
      </c>
      <c r="DN185" t="s">
        <v>3</v>
      </c>
      <c r="DO185">
        <v>0</v>
      </c>
    </row>
    <row r="186" spans="1:119" x14ac:dyDescent="0.2">
      <c r="A186">
        <f>ROW(Source!A104)</f>
        <v>104</v>
      </c>
      <c r="B186">
        <v>145033679</v>
      </c>
      <c r="C186">
        <v>145041065</v>
      </c>
      <c r="D186">
        <v>140760225</v>
      </c>
      <c r="E186">
        <v>70</v>
      </c>
      <c r="F186">
        <v>1</v>
      </c>
      <c r="G186">
        <v>1</v>
      </c>
      <c r="H186">
        <v>1</v>
      </c>
      <c r="I186" t="s">
        <v>730</v>
      </c>
      <c r="J186" t="s">
        <v>3</v>
      </c>
      <c r="K186" t="s">
        <v>731</v>
      </c>
      <c r="L186">
        <v>1191</v>
      </c>
      <c r="N186">
        <v>1013</v>
      </c>
      <c r="O186" t="s">
        <v>725</v>
      </c>
      <c r="P186" t="s">
        <v>725</v>
      </c>
      <c r="Q186">
        <v>1</v>
      </c>
      <c r="W186">
        <v>0</v>
      </c>
      <c r="X186">
        <v>-1417349443</v>
      </c>
      <c r="Y186">
        <f>((AT186*1.15)*1.25)</f>
        <v>7.2449999999999992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30.54</v>
      </c>
      <c r="AL186">
        <v>1</v>
      </c>
      <c r="AM186">
        <v>4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5.04</v>
      </c>
      <c r="AU186" t="s">
        <v>339</v>
      </c>
      <c r="AV186">
        <v>2</v>
      </c>
      <c r="AW186">
        <v>2</v>
      </c>
      <c r="AX186">
        <v>145070840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ROUND(Y186*Source!I104,9)</f>
        <v>0.83100149999999995</v>
      </c>
      <c r="CY186">
        <f>AD186</f>
        <v>0</v>
      </c>
      <c r="CZ186">
        <f>AH186</f>
        <v>0</v>
      </c>
      <c r="DA186">
        <f>AL186</f>
        <v>1</v>
      </c>
      <c r="DB186">
        <f>ROUND(((ROUND(AT186*CZ186,2)*1.15)*1.25),2)</f>
        <v>0</v>
      </c>
      <c r="DC186">
        <f>ROUND(((ROUND(AT186*AG186,2)*1.15)*1.25),2)</f>
        <v>0</v>
      </c>
      <c r="DD186" t="s">
        <v>3</v>
      </c>
      <c r="DE186" t="s">
        <v>3</v>
      </c>
      <c r="DF186">
        <f>ROUND(ROUND(AE186,2)*CX186,2)</f>
        <v>0</v>
      </c>
      <c r="DG186">
        <f t="shared" si="49"/>
        <v>0</v>
      </c>
      <c r="DH186">
        <f>ROUND(ROUND(AG186*AK186,2)*CX186,2)</f>
        <v>0</v>
      </c>
      <c r="DI186">
        <f t="shared" ref="DI186:DI195" si="52">ROUND(ROUND(AH186,2)*CX186,2)</f>
        <v>0</v>
      </c>
      <c r="DJ186">
        <f>DI186</f>
        <v>0</v>
      </c>
      <c r="DK186">
        <v>0</v>
      </c>
      <c r="DL186" t="s">
        <v>3</v>
      </c>
      <c r="DM186">
        <v>0</v>
      </c>
      <c r="DN186" t="s">
        <v>3</v>
      </c>
      <c r="DO186">
        <v>0</v>
      </c>
    </row>
    <row r="187" spans="1:119" x14ac:dyDescent="0.2">
      <c r="A187">
        <f>ROW(Source!A104)</f>
        <v>104</v>
      </c>
      <c r="B187">
        <v>145033679</v>
      </c>
      <c r="C187">
        <v>145041065</v>
      </c>
      <c r="D187">
        <v>140923145</v>
      </c>
      <c r="E187">
        <v>1</v>
      </c>
      <c r="F187">
        <v>1</v>
      </c>
      <c r="G187">
        <v>1</v>
      </c>
      <c r="H187">
        <v>2</v>
      </c>
      <c r="I187" t="s">
        <v>826</v>
      </c>
      <c r="J187" t="s">
        <v>827</v>
      </c>
      <c r="K187" t="s">
        <v>828</v>
      </c>
      <c r="L187">
        <v>1367</v>
      </c>
      <c r="N187">
        <v>1011</v>
      </c>
      <c r="O187" t="s">
        <v>79</v>
      </c>
      <c r="P187" t="s">
        <v>79</v>
      </c>
      <c r="Q187">
        <v>1</v>
      </c>
      <c r="W187">
        <v>0</v>
      </c>
      <c r="X187">
        <v>1232162608</v>
      </c>
      <c r="Y187">
        <f>((AT187*1.15)*1.25)</f>
        <v>2.5300000000000002</v>
      </c>
      <c r="AA187">
        <v>0</v>
      </c>
      <c r="AB187">
        <v>379.18</v>
      </c>
      <c r="AC187">
        <v>412.29</v>
      </c>
      <c r="AD187">
        <v>0</v>
      </c>
      <c r="AE187">
        <v>0</v>
      </c>
      <c r="AF187">
        <v>31.26</v>
      </c>
      <c r="AG187">
        <v>13.5</v>
      </c>
      <c r="AH187">
        <v>0</v>
      </c>
      <c r="AI187">
        <v>1</v>
      </c>
      <c r="AJ187">
        <v>12.13</v>
      </c>
      <c r="AK187">
        <v>30.54</v>
      </c>
      <c r="AL187">
        <v>1</v>
      </c>
      <c r="AM187">
        <v>4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1.76</v>
      </c>
      <c r="AU187" t="s">
        <v>339</v>
      </c>
      <c r="AV187">
        <v>0</v>
      </c>
      <c r="AW187">
        <v>2</v>
      </c>
      <c r="AX187">
        <v>145070841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ROUND(Y187*Source!I104,9)</f>
        <v>0.29019099999999998</v>
      </c>
      <c r="CY187">
        <f>AB187</f>
        <v>379.18</v>
      </c>
      <c r="CZ187">
        <f>AF187</f>
        <v>31.26</v>
      </c>
      <c r="DA187">
        <f>AJ187</f>
        <v>12.13</v>
      </c>
      <c r="DB187">
        <f>ROUND(((ROUND(AT187*CZ187,2)*1.15)*1.25),2)</f>
        <v>79.09</v>
      </c>
      <c r="DC187">
        <f>ROUND(((ROUND(AT187*AG187,2)*1.15)*1.25),2)</f>
        <v>34.159999999999997</v>
      </c>
      <c r="DD187" t="s">
        <v>3</v>
      </c>
      <c r="DE187" t="s">
        <v>3</v>
      </c>
      <c r="DF187">
        <f>ROUND(ROUND(AE187,2)*CX187,2)</f>
        <v>0</v>
      </c>
      <c r="DG187">
        <f>ROUND(ROUND(AF187*AJ187,2)*CX187,2)</f>
        <v>110.03</v>
      </c>
      <c r="DH187">
        <f>ROUND(ROUND(AG187*AK187,2)*CX187,2)</f>
        <v>119.64</v>
      </c>
      <c r="DI187">
        <f t="shared" si="52"/>
        <v>0</v>
      </c>
      <c r="DJ187">
        <f>DG187</f>
        <v>110.03</v>
      </c>
      <c r="DK187">
        <v>0</v>
      </c>
      <c r="DL187" t="s">
        <v>3</v>
      </c>
      <c r="DM187">
        <v>0</v>
      </c>
      <c r="DN187" t="s">
        <v>3</v>
      </c>
      <c r="DO187">
        <v>0</v>
      </c>
    </row>
    <row r="188" spans="1:119" x14ac:dyDescent="0.2">
      <c r="A188">
        <f>ROW(Source!A104)</f>
        <v>104</v>
      </c>
      <c r="B188">
        <v>145033679</v>
      </c>
      <c r="C188">
        <v>145041065</v>
      </c>
      <c r="D188">
        <v>140923885</v>
      </c>
      <c r="E188">
        <v>1</v>
      </c>
      <c r="F188">
        <v>1</v>
      </c>
      <c r="G188">
        <v>1</v>
      </c>
      <c r="H188">
        <v>2</v>
      </c>
      <c r="I188" t="s">
        <v>732</v>
      </c>
      <c r="J188" t="s">
        <v>733</v>
      </c>
      <c r="K188" t="s">
        <v>734</v>
      </c>
      <c r="L188">
        <v>1367</v>
      </c>
      <c r="N188">
        <v>1011</v>
      </c>
      <c r="O188" t="s">
        <v>79</v>
      </c>
      <c r="P188" t="s">
        <v>79</v>
      </c>
      <c r="Q188">
        <v>1</v>
      </c>
      <c r="W188">
        <v>0</v>
      </c>
      <c r="X188">
        <v>509054691</v>
      </c>
      <c r="Y188">
        <f>((AT188*1.15)*1.25)</f>
        <v>4.714999999999999</v>
      </c>
      <c r="AA188">
        <v>0</v>
      </c>
      <c r="AB188">
        <v>797.06</v>
      </c>
      <c r="AC188">
        <v>354.26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12.13</v>
      </c>
      <c r="AK188">
        <v>30.54</v>
      </c>
      <c r="AL188">
        <v>1</v>
      </c>
      <c r="AM188">
        <v>4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3.28</v>
      </c>
      <c r="AU188" t="s">
        <v>339</v>
      </c>
      <c r="AV188">
        <v>0</v>
      </c>
      <c r="AW188">
        <v>2</v>
      </c>
      <c r="AX188">
        <v>145070842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ROUND(Y188*Source!I104,9)</f>
        <v>0.54081049999999997</v>
      </c>
      <c r="CY188">
        <f>AB188</f>
        <v>797.06</v>
      </c>
      <c r="CZ188">
        <f>AF188</f>
        <v>65.709999999999994</v>
      </c>
      <c r="DA188">
        <f>AJ188</f>
        <v>12.13</v>
      </c>
      <c r="DB188">
        <f>ROUND(((ROUND(AT188*CZ188,2)*1.15)*1.25),2)</f>
        <v>309.82</v>
      </c>
      <c r="DC188">
        <f>ROUND(((ROUND(AT188*AG188,2)*1.15)*1.25),2)</f>
        <v>54.7</v>
      </c>
      <c r="DD188" t="s">
        <v>3</v>
      </c>
      <c r="DE188" t="s">
        <v>3</v>
      </c>
      <c r="DF188">
        <f>ROUND(ROUND(AE188,2)*CX188,2)</f>
        <v>0</v>
      </c>
      <c r="DG188">
        <f>ROUND(ROUND(AF188*AJ188,2)*CX188,2)</f>
        <v>431.06</v>
      </c>
      <c r="DH188">
        <f>ROUND(ROUND(AG188*AK188,2)*CX188,2)</f>
        <v>191.59</v>
      </c>
      <c r="DI188">
        <f t="shared" si="52"/>
        <v>0</v>
      </c>
      <c r="DJ188">
        <f>DG188</f>
        <v>431.06</v>
      </c>
      <c r="DK188">
        <v>0</v>
      </c>
      <c r="DL188" t="s">
        <v>3</v>
      </c>
      <c r="DM188">
        <v>0</v>
      </c>
      <c r="DN188" t="s">
        <v>3</v>
      </c>
      <c r="DO188">
        <v>0</v>
      </c>
    </row>
    <row r="189" spans="1:119" x14ac:dyDescent="0.2">
      <c r="A189">
        <f>ROW(Source!A104)</f>
        <v>104</v>
      </c>
      <c r="B189">
        <v>145033679</v>
      </c>
      <c r="C189">
        <v>145041065</v>
      </c>
      <c r="D189">
        <v>140772930</v>
      </c>
      <c r="E189">
        <v>1</v>
      </c>
      <c r="F189">
        <v>1</v>
      </c>
      <c r="G189">
        <v>1</v>
      </c>
      <c r="H189">
        <v>3</v>
      </c>
      <c r="I189" t="s">
        <v>919</v>
      </c>
      <c r="J189" t="s">
        <v>920</v>
      </c>
      <c r="K189" t="s">
        <v>921</v>
      </c>
      <c r="L189">
        <v>1301</v>
      </c>
      <c r="N189">
        <v>1003</v>
      </c>
      <c r="O189" t="s">
        <v>213</v>
      </c>
      <c r="P189" t="s">
        <v>213</v>
      </c>
      <c r="Q189">
        <v>1</v>
      </c>
      <c r="W189">
        <v>0</v>
      </c>
      <c r="X189">
        <v>1264737560</v>
      </c>
      <c r="Y189">
        <f t="shared" ref="Y189:Y195" si="53">AT189</f>
        <v>347</v>
      </c>
      <c r="AA189">
        <v>55.57</v>
      </c>
      <c r="AB189">
        <v>0</v>
      </c>
      <c r="AC189">
        <v>0</v>
      </c>
      <c r="AD189">
        <v>0</v>
      </c>
      <c r="AE189">
        <v>6.38</v>
      </c>
      <c r="AF189">
        <v>0</v>
      </c>
      <c r="AG189">
        <v>0</v>
      </c>
      <c r="AH189">
        <v>0</v>
      </c>
      <c r="AI189">
        <v>8.7100000000000009</v>
      </c>
      <c r="AJ189">
        <v>1</v>
      </c>
      <c r="AK189">
        <v>1</v>
      </c>
      <c r="AL189">
        <v>1</v>
      </c>
      <c r="AM189">
        <v>4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347</v>
      </c>
      <c r="AU189" t="s">
        <v>3</v>
      </c>
      <c r="AV189">
        <v>0</v>
      </c>
      <c r="AW189">
        <v>2</v>
      </c>
      <c r="AX189">
        <v>145070843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ROUND(Y189*Source!I104,9)</f>
        <v>39.800899999999999</v>
      </c>
      <c r="CY189">
        <f t="shared" ref="CY189:CY195" si="54">AA189</f>
        <v>55.57</v>
      </c>
      <c r="CZ189">
        <f t="shared" ref="CZ189:CZ195" si="55">AE189</f>
        <v>6.38</v>
      </c>
      <c r="DA189">
        <f t="shared" ref="DA189:DA195" si="56">AI189</f>
        <v>8.7100000000000009</v>
      </c>
      <c r="DB189">
        <f t="shared" ref="DB189:DB195" si="57">ROUND(ROUND(AT189*CZ189,2),2)</f>
        <v>2213.86</v>
      </c>
      <c r="DC189">
        <f t="shared" ref="DC189:DC195" si="58">ROUND(ROUND(AT189*AG189,2),2)</f>
        <v>0</v>
      </c>
      <c r="DD189" t="s">
        <v>3</v>
      </c>
      <c r="DE189" t="s">
        <v>3</v>
      </c>
      <c r="DF189">
        <f t="shared" ref="DF189:DF195" si="59">ROUND(ROUND(AE189*AI189,2)*CX189,2)</f>
        <v>2211.7399999999998</v>
      </c>
      <c r="DG189">
        <f t="shared" ref="DG189:DG198" si="60">ROUND(ROUND(AF189,2)*CX189,2)</f>
        <v>0</v>
      </c>
      <c r="DH189">
        <f t="shared" ref="DH189:DH197" si="61">ROUND(ROUND(AG189,2)*CX189,2)</f>
        <v>0</v>
      </c>
      <c r="DI189">
        <f t="shared" si="52"/>
        <v>0</v>
      </c>
      <c r="DJ189">
        <f t="shared" ref="DJ189:DJ195" si="62">DF189</f>
        <v>2211.7399999999998</v>
      </c>
      <c r="DK189">
        <v>0</v>
      </c>
      <c r="DL189" t="s">
        <v>3</v>
      </c>
      <c r="DM189">
        <v>0</v>
      </c>
      <c r="DN189" t="s">
        <v>3</v>
      </c>
      <c r="DO189">
        <v>0</v>
      </c>
    </row>
    <row r="190" spans="1:119" x14ac:dyDescent="0.2">
      <c r="A190">
        <f>ROW(Source!A104)</f>
        <v>104</v>
      </c>
      <c r="B190">
        <v>145033679</v>
      </c>
      <c r="C190">
        <v>145041065</v>
      </c>
      <c r="D190">
        <v>140772931</v>
      </c>
      <c r="E190">
        <v>1</v>
      </c>
      <c r="F190">
        <v>1</v>
      </c>
      <c r="G190">
        <v>1</v>
      </c>
      <c r="H190">
        <v>3</v>
      </c>
      <c r="I190" t="s">
        <v>922</v>
      </c>
      <c r="J190" t="s">
        <v>923</v>
      </c>
      <c r="K190" t="s">
        <v>924</v>
      </c>
      <c r="L190">
        <v>1301</v>
      </c>
      <c r="N190">
        <v>1003</v>
      </c>
      <c r="O190" t="s">
        <v>213</v>
      </c>
      <c r="P190" t="s">
        <v>213</v>
      </c>
      <c r="Q190">
        <v>1</v>
      </c>
      <c r="W190">
        <v>0</v>
      </c>
      <c r="X190">
        <v>2137999826</v>
      </c>
      <c r="Y190">
        <f t="shared" si="53"/>
        <v>71</v>
      </c>
      <c r="AA190">
        <v>69.239999999999995</v>
      </c>
      <c r="AB190">
        <v>0</v>
      </c>
      <c r="AC190">
        <v>0</v>
      </c>
      <c r="AD190">
        <v>0</v>
      </c>
      <c r="AE190">
        <v>7.95</v>
      </c>
      <c r="AF190">
        <v>0</v>
      </c>
      <c r="AG190">
        <v>0</v>
      </c>
      <c r="AH190">
        <v>0</v>
      </c>
      <c r="AI190">
        <v>8.7100000000000009</v>
      </c>
      <c r="AJ190">
        <v>1</v>
      </c>
      <c r="AK190">
        <v>1</v>
      </c>
      <c r="AL190">
        <v>1</v>
      </c>
      <c r="AM190">
        <v>4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3</v>
      </c>
      <c r="AT190">
        <v>71</v>
      </c>
      <c r="AU190" t="s">
        <v>3</v>
      </c>
      <c r="AV190">
        <v>0</v>
      </c>
      <c r="AW190">
        <v>2</v>
      </c>
      <c r="AX190">
        <v>145070844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ROUND(Y190*Source!I104,9)</f>
        <v>8.1437000000000008</v>
      </c>
      <c r="CY190">
        <f t="shared" si="54"/>
        <v>69.239999999999995</v>
      </c>
      <c r="CZ190">
        <f t="shared" si="55"/>
        <v>7.95</v>
      </c>
      <c r="DA190">
        <f t="shared" si="56"/>
        <v>8.7100000000000009</v>
      </c>
      <c r="DB190">
        <f t="shared" si="57"/>
        <v>564.45000000000005</v>
      </c>
      <c r="DC190">
        <f t="shared" si="58"/>
        <v>0</v>
      </c>
      <c r="DD190" t="s">
        <v>3</v>
      </c>
      <c r="DE190" t="s">
        <v>3</v>
      </c>
      <c r="DF190">
        <f t="shared" si="59"/>
        <v>563.87</v>
      </c>
      <c r="DG190">
        <f t="shared" si="60"/>
        <v>0</v>
      </c>
      <c r="DH190">
        <f t="shared" si="61"/>
        <v>0</v>
      </c>
      <c r="DI190">
        <f t="shared" si="52"/>
        <v>0</v>
      </c>
      <c r="DJ190">
        <f t="shared" si="62"/>
        <v>563.87</v>
      </c>
      <c r="DK190">
        <v>0</v>
      </c>
      <c r="DL190" t="s">
        <v>3</v>
      </c>
      <c r="DM190">
        <v>0</v>
      </c>
      <c r="DN190" t="s">
        <v>3</v>
      </c>
      <c r="DO190">
        <v>0</v>
      </c>
    </row>
    <row r="191" spans="1:119" x14ac:dyDescent="0.2">
      <c r="A191">
        <f>ROW(Source!A104)</f>
        <v>104</v>
      </c>
      <c r="B191">
        <v>145033679</v>
      </c>
      <c r="C191">
        <v>145041065</v>
      </c>
      <c r="D191">
        <v>140773017</v>
      </c>
      <c r="E191">
        <v>1</v>
      </c>
      <c r="F191">
        <v>1</v>
      </c>
      <c r="G191">
        <v>1</v>
      </c>
      <c r="H191">
        <v>3</v>
      </c>
      <c r="I191" t="s">
        <v>925</v>
      </c>
      <c r="J191" t="s">
        <v>926</v>
      </c>
      <c r="K191" t="s">
        <v>927</v>
      </c>
      <c r="L191">
        <v>1302</v>
      </c>
      <c r="N191">
        <v>1003</v>
      </c>
      <c r="O191" t="s">
        <v>928</v>
      </c>
      <c r="P191" t="s">
        <v>928</v>
      </c>
      <c r="Q191">
        <v>10</v>
      </c>
      <c r="W191">
        <v>0</v>
      </c>
      <c r="X191">
        <v>1385349247</v>
      </c>
      <c r="Y191">
        <f t="shared" si="53"/>
        <v>21.4</v>
      </c>
      <c r="AA191">
        <v>558.30999999999995</v>
      </c>
      <c r="AB191">
        <v>0</v>
      </c>
      <c r="AC191">
        <v>0</v>
      </c>
      <c r="AD191">
        <v>0</v>
      </c>
      <c r="AE191">
        <v>64.099999999999994</v>
      </c>
      <c r="AF191">
        <v>0</v>
      </c>
      <c r="AG191">
        <v>0</v>
      </c>
      <c r="AH191">
        <v>0</v>
      </c>
      <c r="AI191">
        <v>8.7100000000000009</v>
      </c>
      <c r="AJ191">
        <v>1</v>
      </c>
      <c r="AK191">
        <v>1</v>
      </c>
      <c r="AL191">
        <v>1</v>
      </c>
      <c r="AM191">
        <v>4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3</v>
      </c>
      <c r="AT191">
        <v>21.4</v>
      </c>
      <c r="AU191" t="s">
        <v>3</v>
      </c>
      <c r="AV191">
        <v>0</v>
      </c>
      <c r="AW191">
        <v>2</v>
      </c>
      <c r="AX191">
        <v>145070845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ROUND(Y191*Source!I104,9)</f>
        <v>2.45458</v>
      </c>
      <c r="CY191">
        <f t="shared" si="54"/>
        <v>558.30999999999995</v>
      </c>
      <c r="CZ191">
        <f t="shared" si="55"/>
        <v>64.099999999999994</v>
      </c>
      <c r="DA191">
        <f t="shared" si="56"/>
        <v>8.7100000000000009</v>
      </c>
      <c r="DB191">
        <f t="shared" si="57"/>
        <v>1371.74</v>
      </c>
      <c r="DC191">
        <f t="shared" si="58"/>
        <v>0</v>
      </c>
      <c r="DD191" t="s">
        <v>3</v>
      </c>
      <c r="DE191" t="s">
        <v>3</v>
      </c>
      <c r="DF191">
        <f t="shared" si="59"/>
        <v>1370.42</v>
      </c>
      <c r="DG191">
        <f t="shared" si="60"/>
        <v>0</v>
      </c>
      <c r="DH191">
        <f t="shared" si="61"/>
        <v>0</v>
      </c>
      <c r="DI191">
        <f t="shared" si="52"/>
        <v>0</v>
      </c>
      <c r="DJ191">
        <f t="shared" si="62"/>
        <v>1370.42</v>
      </c>
      <c r="DK191">
        <v>0</v>
      </c>
      <c r="DL191" t="s">
        <v>3</v>
      </c>
      <c r="DM191">
        <v>0</v>
      </c>
      <c r="DN191" t="s">
        <v>3</v>
      </c>
      <c r="DO191">
        <v>0</v>
      </c>
    </row>
    <row r="192" spans="1:119" x14ac:dyDescent="0.2">
      <c r="A192">
        <f>ROW(Source!A104)</f>
        <v>104</v>
      </c>
      <c r="B192">
        <v>145033679</v>
      </c>
      <c r="C192">
        <v>145041065</v>
      </c>
      <c r="D192">
        <v>140775142</v>
      </c>
      <c r="E192">
        <v>1</v>
      </c>
      <c r="F192">
        <v>1</v>
      </c>
      <c r="G192">
        <v>1</v>
      </c>
      <c r="H192">
        <v>3</v>
      </c>
      <c r="I192" t="s">
        <v>929</v>
      </c>
      <c r="J192" t="s">
        <v>930</v>
      </c>
      <c r="K192" t="s">
        <v>931</v>
      </c>
      <c r="L192">
        <v>1455</v>
      </c>
      <c r="N192">
        <v>1013</v>
      </c>
      <c r="O192" t="s">
        <v>855</v>
      </c>
      <c r="P192" t="s">
        <v>855</v>
      </c>
      <c r="Q192">
        <v>1</v>
      </c>
      <c r="W192">
        <v>0</v>
      </c>
      <c r="X192">
        <v>-525291310</v>
      </c>
      <c r="Y192">
        <f t="shared" si="53"/>
        <v>30.6</v>
      </c>
      <c r="AA192">
        <v>61.23</v>
      </c>
      <c r="AB192">
        <v>0</v>
      </c>
      <c r="AC192">
        <v>0</v>
      </c>
      <c r="AD192">
        <v>0</v>
      </c>
      <c r="AE192">
        <v>7.03</v>
      </c>
      <c r="AF192">
        <v>0</v>
      </c>
      <c r="AG192">
        <v>0</v>
      </c>
      <c r="AH192">
        <v>0</v>
      </c>
      <c r="AI192">
        <v>8.7100000000000009</v>
      </c>
      <c r="AJ192">
        <v>1</v>
      </c>
      <c r="AK192">
        <v>1</v>
      </c>
      <c r="AL192">
        <v>1</v>
      </c>
      <c r="AM192">
        <v>4</v>
      </c>
      <c r="AN192">
        <v>0</v>
      </c>
      <c r="AO192">
        <v>1</v>
      </c>
      <c r="AP192">
        <v>1</v>
      </c>
      <c r="AQ192">
        <v>0</v>
      </c>
      <c r="AR192">
        <v>0</v>
      </c>
      <c r="AS192" t="s">
        <v>3</v>
      </c>
      <c r="AT192">
        <v>30.6</v>
      </c>
      <c r="AU192" t="s">
        <v>3</v>
      </c>
      <c r="AV192">
        <v>0</v>
      </c>
      <c r="AW192">
        <v>2</v>
      </c>
      <c r="AX192">
        <v>145070846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ROUND(Y192*Source!I104,9)</f>
        <v>3.5098199999999999</v>
      </c>
      <c r="CY192">
        <f t="shared" si="54"/>
        <v>61.23</v>
      </c>
      <c r="CZ192">
        <f t="shared" si="55"/>
        <v>7.03</v>
      </c>
      <c r="DA192">
        <f t="shared" si="56"/>
        <v>8.7100000000000009</v>
      </c>
      <c r="DB192">
        <f t="shared" si="57"/>
        <v>215.12</v>
      </c>
      <c r="DC192">
        <f t="shared" si="58"/>
        <v>0</v>
      </c>
      <c r="DD192" t="s">
        <v>3</v>
      </c>
      <c r="DE192" t="s">
        <v>3</v>
      </c>
      <c r="DF192">
        <f t="shared" si="59"/>
        <v>214.91</v>
      </c>
      <c r="DG192">
        <f t="shared" si="60"/>
        <v>0</v>
      </c>
      <c r="DH192">
        <f t="shared" si="61"/>
        <v>0</v>
      </c>
      <c r="DI192">
        <f t="shared" si="52"/>
        <v>0</v>
      </c>
      <c r="DJ192">
        <f t="shared" si="62"/>
        <v>214.91</v>
      </c>
      <c r="DK192">
        <v>0</v>
      </c>
      <c r="DL192" t="s">
        <v>3</v>
      </c>
      <c r="DM192">
        <v>0</v>
      </c>
      <c r="DN192" t="s">
        <v>3</v>
      </c>
      <c r="DO192">
        <v>0</v>
      </c>
    </row>
    <row r="193" spans="1:119" x14ac:dyDescent="0.2">
      <c r="A193">
        <f>ROW(Source!A104)</f>
        <v>104</v>
      </c>
      <c r="B193">
        <v>145033679</v>
      </c>
      <c r="C193">
        <v>145041065</v>
      </c>
      <c r="D193">
        <v>140762772</v>
      </c>
      <c r="E193">
        <v>70</v>
      </c>
      <c r="F193">
        <v>1</v>
      </c>
      <c r="G193">
        <v>1</v>
      </c>
      <c r="H193">
        <v>3</v>
      </c>
      <c r="I193" t="s">
        <v>932</v>
      </c>
      <c r="J193" t="s">
        <v>3</v>
      </c>
      <c r="K193" t="s">
        <v>933</v>
      </c>
      <c r="L193">
        <v>1327</v>
      </c>
      <c r="N193">
        <v>1005</v>
      </c>
      <c r="O193" t="s">
        <v>131</v>
      </c>
      <c r="P193" t="s">
        <v>131</v>
      </c>
      <c r="Q193">
        <v>1</v>
      </c>
      <c r="W193">
        <v>0</v>
      </c>
      <c r="X193">
        <v>1219964505</v>
      </c>
      <c r="Y193">
        <f t="shared" si="53"/>
        <v>100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8.7100000000000009</v>
      </c>
      <c r="AJ193">
        <v>1</v>
      </c>
      <c r="AK193">
        <v>1</v>
      </c>
      <c r="AL193">
        <v>1</v>
      </c>
      <c r="AM193">
        <v>4</v>
      </c>
      <c r="AN193">
        <v>0</v>
      </c>
      <c r="AO193">
        <v>0</v>
      </c>
      <c r="AP193">
        <v>1</v>
      </c>
      <c r="AQ193">
        <v>0</v>
      </c>
      <c r="AR193">
        <v>0</v>
      </c>
      <c r="AS193" t="s">
        <v>3</v>
      </c>
      <c r="AT193">
        <v>100</v>
      </c>
      <c r="AU193" t="s">
        <v>3</v>
      </c>
      <c r="AV193">
        <v>0</v>
      </c>
      <c r="AW193">
        <v>2</v>
      </c>
      <c r="AX193">
        <v>145070847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ROUND(Y193*Source!I104,9)</f>
        <v>11.47</v>
      </c>
      <c r="CY193">
        <f t="shared" si="54"/>
        <v>0</v>
      </c>
      <c r="CZ193">
        <f t="shared" si="55"/>
        <v>0</v>
      </c>
      <c r="DA193">
        <f t="shared" si="56"/>
        <v>8.7100000000000009</v>
      </c>
      <c r="DB193">
        <f t="shared" si="57"/>
        <v>0</v>
      </c>
      <c r="DC193">
        <f t="shared" si="58"/>
        <v>0</v>
      </c>
      <c r="DD193" t="s">
        <v>3</v>
      </c>
      <c r="DE193" t="s">
        <v>3</v>
      </c>
      <c r="DF193">
        <f t="shared" si="59"/>
        <v>0</v>
      </c>
      <c r="DG193">
        <f t="shared" si="60"/>
        <v>0</v>
      </c>
      <c r="DH193">
        <f t="shared" si="61"/>
        <v>0</v>
      </c>
      <c r="DI193">
        <f t="shared" si="52"/>
        <v>0</v>
      </c>
      <c r="DJ193">
        <f t="shared" si="62"/>
        <v>0</v>
      </c>
      <c r="DK193">
        <v>0</v>
      </c>
      <c r="DL193" t="s">
        <v>3</v>
      </c>
      <c r="DM193">
        <v>0</v>
      </c>
      <c r="DN193" t="s">
        <v>3</v>
      </c>
      <c r="DO193">
        <v>0</v>
      </c>
    </row>
    <row r="194" spans="1:119" x14ac:dyDescent="0.2">
      <c r="A194">
        <f>ROW(Source!A104)</f>
        <v>104</v>
      </c>
      <c r="B194">
        <v>145033679</v>
      </c>
      <c r="C194">
        <v>145041065</v>
      </c>
      <c r="D194">
        <v>140798319</v>
      </c>
      <c r="E194">
        <v>1</v>
      </c>
      <c r="F194">
        <v>1</v>
      </c>
      <c r="G194">
        <v>1</v>
      </c>
      <c r="H194">
        <v>3</v>
      </c>
      <c r="I194" t="s">
        <v>934</v>
      </c>
      <c r="J194" t="s">
        <v>935</v>
      </c>
      <c r="K194" t="s">
        <v>936</v>
      </c>
      <c r="L194">
        <v>1425</v>
      </c>
      <c r="N194">
        <v>1013</v>
      </c>
      <c r="O194" t="s">
        <v>270</v>
      </c>
      <c r="P194" t="s">
        <v>270</v>
      </c>
      <c r="Q194">
        <v>1</v>
      </c>
      <c r="W194">
        <v>0</v>
      </c>
      <c r="X194">
        <v>-1857225731</v>
      </c>
      <c r="Y194">
        <f t="shared" si="53"/>
        <v>8</v>
      </c>
      <c r="AA194">
        <v>435.5</v>
      </c>
      <c r="AB194">
        <v>0</v>
      </c>
      <c r="AC194">
        <v>0</v>
      </c>
      <c r="AD194">
        <v>0</v>
      </c>
      <c r="AE194">
        <v>50</v>
      </c>
      <c r="AF194">
        <v>0</v>
      </c>
      <c r="AG194">
        <v>0</v>
      </c>
      <c r="AH194">
        <v>0</v>
      </c>
      <c r="AI194">
        <v>8.7100000000000009</v>
      </c>
      <c r="AJ194">
        <v>1</v>
      </c>
      <c r="AK194">
        <v>1</v>
      </c>
      <c r="AL194">
        <v>1</v>
      </c>
      <c r="AM194">
        <v>4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3</v>
      </c>
      <c r="AT194">
        <v>8</v>
      </c>
      <c r="AU194" t="s">
        <v>3</v>
      </c>
      <c r="AV194">
        <v>0</v>
      </c>
      <c r="AW194">
        <v>2</v>
      </c>
      <c r="AX194">
        <v>145070848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ROUND(Y194*Source!I104,9)</f>
        <v>0.91759999999999997</v>
      </c>
      <c r="CY194">
        <f t="shared" si="54"/>
        <v>435.5</v>
      </c>
      <c r="CZ194">
        <f t="shared" si="55"/>
        <v>50</v>
      </c>
      <c r="DA194">
        <f t="shared" si="56"/>
        <v>8.7100000000000009</v>
      </c>
      <c r="DB194">
        <f t="shared" si="57"/>
        <v>400</v>
      </c>
      <c r="DC194">
        <f t="shared" si="58"/>
        <v>0</v>
      </c>
      <c r="DD194" t="s">
        <v>3</v>
      </c>
      <c r="DE194" t="s">
        <v>3</v>
      </c>
      <c r="DF194">
        <f t="shared" si="59"/>
        <v>399.61</v>
      </c>
      <c r="DG194">
        <f t="shared" si="60"/>
        <v>0</v>
      </c>
      <c r="DH194">
        <f t="shared" si="61"/>
        <v>0</v>
      </c>
      <c r="DI194">
        <f t="shared" si="52"/>
        <v>0</v>
      </c>
      <c r="DJ194">
        <f t="shared" si="62"/>
        <v>399.61</v>
      </c>
      <c r="DK194">
        <v>0</v>
      </c>
      <c r="DL194" t="s">
        <v>3</v>
      </c>
      <c r="DM194">
        <v>0</v>
      </c>
      <c r="DN194" t="s">
        <v>3</v>
      </c>
      <c r="DO194">
        <v>0</v>
      </c>
    </row>
    <row r="195" spans="1:119" x14ac:dyDescent="0.2">
      <c r="A195">
        <f>ROW(Source!A104)</f>
        <v>104</v>
      </c>
      <c r="B195">
        <v>145033679</v>
      </c>
      <c r="C195">
        <v>145041065</v>
      </c>
      <c r="D195">
        <v>140804861</v>
      </c>
      <c r="E195">
        <v>1</v>
      </c>
      <c r="F195">
        <v>1</v>
      </c>
      <c r="G195">
        <v>1</v>
      </c>
      <c r="H195">
        <v>3</v>
      </c>
      <c r="I195" t="s">
        <v>937</v>
      </c>
      <c r="J195" t="s">
        <v>938</v>
      </c>
      <c r="K195" t="s">
        <v>939</v>
      </c>
      <c r="L195">
        <v>1296</v>
      </c>
      <c r="N195">
        <v>1002</v>
      </c>
      <c r="O195" t="s">
        <v>147</v>
      </c>
      <c r="P195" t="s">
        <v>147</v>
      </c>
      <c r="Q195">
        <v>1</v>
      </c>
      <c r="W195">
        <v>0</v>
      </c>
      <c r="X195">
        <v>-310994662</v>
      </c>
      <c r="Y195">
        <f t="shared" si="53"/>
        <v>69</v>
      </c>
      <c r="AA195">
        <v>408.15</v>
      </c>
      <c r="AB195">
        <v>0</v>
      </c>
      <c r="AC195">
        <v>0</v>
      </c>
      <c r="AD195">
        <v>0</v>
      </c>
      <c r="AE195">
        <v>46.86</v>
      </c>
      <c r="AF195">
        <v>0</v>
      </c>
      <c r="AG195">
        <v>0</v>
      </c>
      <c r="AH195">
        <v>0</v>
      </c>
      <c r="AI195">
        <v>8.7100000000000009</v>
      </c>
      <c r="AJ195">
        <v>1</v>
      </c>
      <c r="AK195">
        <v>1</v>
      </c>
      <c r="AL195">
        <v>1</v>
      </c>
      <c r="AM195">
        <v>4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69</v>
      </c>
      <c r="AU195" t="s">
        <v>3</v>
      </c>
      <c r="AV195">
        <v>0</v>
      </c>
      <c r="AW195">
        <v>2</v>
      </c>
      <c r="AX195">
        <v>145070849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ROUND(Y195*Source!I104,9)</f>
        <v>7.9142999999999999</v>
      </c>
      <c r="CY195">
        <f t="shared" si="54"/>
        <v>408.15</v>
      </c>
      <c r="CZ195">
        <f t="shared" si="55"/>
        <v>46.86</v>
      </c>
      <c r="DA195">
        <f t="shared" si="56"/>
        <v>8.7100000000000009</v>
      </c>
      <c r="DB195">
        <f t="shared" si="57"/>
        <v>3233.34</v>
      </c>
      <c r="DC195">
        <f t="shared" si="58"/>
        <v>0</v>
      </c>
      <c r="DD195" t="s">
        <v>3</v>
      </c>
      <c r="DE195" t="s">
        <v>3</v>
      </c>
      <c r="DF195">
        <f t="shared" si="59"/>
        <v>3230.22</v>
      </c>
      <c r="DG195">
        <f t="shared" si="60"/>
        <v>0</v>
      </c>
      <c r="DH195">
        <f t="shared" si="61"/>
        <v>0</v>
      </c>
      <c r="DI195">
        <f t="shared" si="52"/>
        <v>0</v>
      </c>
      <c r="DJ195">
        <f t="shared" si="62"/>
        <v>3230.22</v>
      </c>
      <c r="DK195">
        <v>0</v>
      </c>
      <c r="DL195" t="s">
        <v>3</v>
      </c>
      <c r="DM195">
        <v>0</v>
      </c>
      <c r="DN195" t="s">
        <v>3</v>
      </c>
      <c r="DO195">
        <v>0</v>
      </c>
    </row>
    <row r="196" spans="1:119" x14ac:dyDescent="0.2">
      <c r="A196">
        <f>ROW(Source!A106)</f>
        <v>106</v>
      </c>
      <c r="B196">
        <v>145033679</v>
      </c>
      <c r="C196">
        <v>145041104</v>
      </c>
      <c r="D196">
        <v>140759909</v>
      </c>
      <c r="E196">
        <v>70</v>
      </c>
      <c r="F196">
        <v>1</v>
      </c>
      <c r="G196">
        <v>1</v>
      </c>
      <c r="H196">
        <v>1</v>
      </c>
      <c r="I196" t="s">
        <v>808</v>
      </c>
      <c r="J196" t="s">
        <v>3</v>
      </c>
      <c r="K196" t="s">
        <v>809</v>
      </c>
      <c r="L196">
        <v>1191</v>
      </c>
      <c r="N196">
        <v>1013</v>
      </c>
      <c r="O196" t="s">
        <v>725</v>
      </c>
      <c r="P196" t="s">
        <v>725</v>
      </c>
      <c r="Q196">
        <v>1</v>
      </c>
      <c r="W196">
        <v>0</v>
      </c>
      <c r="X196">
        <v>980964037</v>
      </c>
      <c r="Y196">
        <f>(AT196*1.15)</f>
        <v>0.66699999999999993</v>
      </c>
      <c r="AA196">
        <v>0</v>
      </c>
      <c r="AB196">
        <v>0</v>
      </c>
      <c r="AC196">
        <v>0</v>
      </c>
      <c r="AD196">
        <v>230.88</v>
      </c>
      <c r="AE196">
        <v>0</v>
      </c>
      <c r="AF196">
        <v>0</v>
      </c>
      <c r="AG196">
        <v>0</v>
      </c>
      <c r="AH196">
        <v>7.56</v>
      </c>
      <c r="AI196">
        <v>1</v>
      </c>
      <c r="AJ196">
        <v>1</v>
      </c>
      <c r="AK196">
        <v>1</v>
      </c>
      <c r="AL196">
        <v>30.54</v>
      </c>
      <c r="AM196">
        <v>4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0.57999999999999996</v>
      </c>
      <c r="AU196" t="s">
        <v>21</v>
      </c>
      <c r="AV196">
        <v>1</v>
      </c>
      <c r="AW196">
        <v>2</v>
      </c>
      <c r="AX196">
        <v>145041105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ROUND(Y196*Source!I106,9)</f>
        <v>5.7028499999999998</v>
      </c>
      <c r="CY196">
        <f>AD196</f>
        <v>230.88</v>
      </c>
      <c r="CZ196">
        <f>AH196</f>
        <v>7.56</v>
      </c>
      <c r="DA196">
        <f>AL196</f>
        <v>30.54</v>
      </c>
      <c r="DB196">
        <f>ROUND((ROUND(AT196*CZ196,2)*1.15),2)</f>
        <v>5.04</v>
      </c>
      <c r="DC196">
        <f>ROUND((ROUND(AT196*AG196,2)*1.15),2)</f>
        <v>0</v>
      </c>
      <c r="DD196" t="s">
        <v>3</v>
      </c>
      <c r="DE196" t="s">
        <v>3</v>
      </c>
      <c r="DF196">
        <f t="shared" ref="DF196:DF201" si="63">ROUND(ROUND(AE196,2)*CX196,2)</f>
        <v>0</v>
      </c>
      <c r="DG196">
        <f t="shared" si="60"/>
        <v>0</v>
      </c>
      <c r="DH196">
        <f t="shared" si="61"/>
        <v>0</v>
      </c>
      <c r="DI196">
        <f>ROUND(ROUND(AH196*AL196,2)*CX196,2)</f>
        <v>1316.67</v>
      </c>
      <c r="DJ196">
        <f>DI196</f>
        <v>1316.67</v>
      </c>
      <c r="DK196">
        <v>0</v>
      </c>
      <c r="DL196" t="s">
        <v>3</v>
      </c>
      <c r="DM196">
        <v>0</v>
      </c>
      <c r="DN196" t="s">
        <v>3</v>
      </c>
      <c r="DO196">
        <v>0</v>
      </c>
    </row>
    <row r="197" spans="1:119" x14ac:dyDescent="0.2">
      <c r="A197">
        <f>ROW(Source!A107)</f>
        <v>107</v>
      </c>
      <c r="B197">
        <v>145033679</v>
      </c>
      <c r="C197">
        <v>145041126</v>
      </c>
      <c r="D197">
        <v>140759979</v>
      </c>
      <c r="E197">
        <v>70</v>
      </c>
      <c r="F197">
        <v>1</v>
      </c>
      <c r="G197">
        <v>1</v>
      </c>
      <c r="H197">
        <v>1</v>
      </c>
      <c r="I197" t="s">
        <v>745</v>
      </c>
      <c r="J197" t="s">
        <v>3</v>
      </c>
      <c r="K197" t="s">
        <v>746</v>
      </c>
      <c r="L197">
        <v>1191</v>
      </c>
      <c r="N197">
        <v>1013</v>
      </c>
      <c r="O197" t="s">
        <v>725</v>
      </c>
      <c r="P197" t="s">
        <v>725</v>
      </c>
      <c r="Q197">
        <v>1</v>
      </c>
      <c r="W197">
        <v>0</v>
      </c>
      <c r="X197">
        <v>1049124552</v>
      </c>
      <c r="Y197">
        <f>((AT197*1.15)*1.15)</f>
        <v>110.65357499999999</v>
      </c>
      <c r="AA197">
        <v>0</v>
      </c>
      <c r="AB197">
        <v>0</v>
      </c>
      <c r="AC197">
        <v>0</v>
      </c>
      <c r="AD197">
        <v>260.51</v>
      </c>
      <c r="AE197">
        <v>0</v>
      </c>
      <c r="AF197">
        <v>0</v>
      </c>
      <c r="AG197">
        <v>0</v>
      </c>
      <c r="AH197">
        <v>8.5299999999999994</v>
      </c>
      <c r="AI197">
        <v>1</v>
      </c>
      <c r="AJ197">
        <v>1</v>
      </c>
      <c r="AK197">
        <v>1</v>
      </c>
      <c r="AL197">
        <v>30.54</v>
      </c>
      <c r="AM197">
        <v>4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3</v>
      </c>
      <c r="AT197">
        <v>83.67</v>
      </c>
      <c r="AU197" t="s">
        <v>91</v>
      </c>
      <c r="AV197">
        <v>1</v>
      </c>
      <c r="AW197">
        <v>2</v>
      </c>
      <c r="AX197">
        <v>145041127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ROUND(Y197*Source!I107,9)</f>
        <v>9.4608806629999993</v>
      </c>
      <c r="CY197">
        <f>AD197</f>
        <v>260.51</v>
      </c>
      <c r="CZ197">
        <f>AH197</f>
        <v>8.5299999999999994</v>
      </c>
      <c r="DA197">
        <f>AL197</f>
        <v>30.54</v>
      </c>
      <c r="DB197">
        <f>ROUND(((ROUND(AT197*CZ197,2)*1.15)*1.15),2)</f>
        <v>943.88</v>
      </c>
      <c r="DC197">
        <f>ROUND(((ROUND(AT197*AG197,2)*1.15)*1.15),2)</f>
        <v>0</v>
      </c>
      <c r="DD197" t="s">
        <v>3</v>
      </c>
      <c r="DE197" t="s">
        <v>3</v>
      </c>
      <c r="DF197">
        <f t="shared" si="63"/>
        <v>0</v>
      </c>
      <c r="DG197">
        <f t="shared" si="60"/>
        <v>0</v>
      </c>
      <c r="DH197">
        <f t="shared" si="61"/>
        <v>0</v>
      </c>
      <c r="DI197">
        <f>ROUND(ROUND(AH197*AL197,2)*CX197,2)</f>
        <v>2464.65</v>
      </c>
      <c r="DJ197">
        <f>DI197</f>
        <v>2464.65</v>
      </c>
      <c r="DK197">
        <v>0</v>
      </c>
      <c r="DL197" t="s">
        <v>3</v>
      </c>
      <c r="DM197">
        <v>0</v>
      </c>
      <c r="DN197" t="s">
        <v>3</v>
      </c>
      <c r="DO197">
        <v>0</v>
      </c>
    </row>
    <row r="198" spans="1:119" x14ac:dyDescent="0.2">
      <c r="A198">
        <f>ROW(Source!A107)</f>
        <v>107</v>
      </c>
      <c r="B198">
        <v>145033679</v>
      </c>
      <c r="C198">
        <v>145041126</v>
      </c>
      <c r="D198">
        <v>140760225</v>
      </c>
      <c r="E198">
        <v>70</v>
      </c>
      <c r="F198">
        <v>1</v>
      </c>
      <c r="G198">
        <v>1</v>
      </c>
      <c r="H198">
        <v>1</v>
      </c>
      <c r="I198" t="s">
        <v>730</v>
      </c>
      <c r="J198" t="s">
        <v>3</v>
      </c>
      <c r="K198" t="s">
        <v>731</v>
      </c>
      <c r="L198">
        <v>1191</v>
      </c>
      <c r="N198">
        <v>1013</v>
      </c>
      <c r="O198" t="s">
        <v>725</v>
      </c>
      <c r="P198" t="s">
        <v>725</v>
      </c>
      <c r="Q198">
        <v>1</v>
      </c>
      <c r="W198">
        <v>0</v>
      </c>
      <c r="X198">
        <v>-1417349443</v>
      </c>
      <c r="Y198">
        <f>((AT198*1.25)*1.15)</f>
        <v>1.9262499999999998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30.54</v>
      </c>
      <c r="AL198">
        <v>1</v>
      </c>
      <c r="AM198">
        <v>4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1.34</v>
      </c>
      <c r="AU198" t="s">
        <v>90</v>
      </c>
      <c r="AV198">
        <v>2</v>
      </c>
      <c r="AW198">
        <v>2</v>
      </c>
      <c r="AX198">
        <v>145041128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ROUND(Y198*Source!I107,9)</f>
        <v>0.164694375</v>
      </c>
      <c r="CY198">
        <f>AD198</f>
        <v>0</v>
      </c>
      <c r="CZ198">
        <f>AH198</f>
        <v>0</v>
      </c>
      <c r="DA198">
        <f>AL198</f>
        <v>1</v>
      </c>
      <c r="DB198">
        <f>ROUND(((ROUND(AT198*CZ198,2)*1.25)*1.15),2)</f>
        <v>0</v>
      </c>
      <c r="DC198">
        <f>ROUND(((ROUND(AT198*AG198,2)*1.25)*1.15),2)</f>
        <v>0</v>
      </c>
      <c r="DD198" t="s">
        <v>3</v>
      </c>
      <c r="DE198" t="s">
        <v>3</v>
      </c>
      <c r="DF198">
        <f t="shared" si="63"/>
        <v>0</v>
      </c>
      <c r="DG198">
        <f t="shared" si="60"/>
        <v>0</v>
      </c>
      <c r="DH198">
        <f>ROUND(ROUND(AG198*AK198,2)*CX198,2)</f>
        <v>0</v>
      </c>
      <c r="DI198">
        <f t="shared" ref="DI198:DI204" si="64">ROUND(ROUND(AH198,2)*CX198,2)</f>
        <v>0</v>
      </c>
      <c r="DJ198">
        <f>DI198</f>
        <v>0</v>
      </c>
      <c r="DK198">
        <v>0</v>
      </c>
      <c r="DL198" t="s">
        <v>3</v>
      </c>
      <c r="DM198">
        <v>0</v>
      </c>
      <c r="DN198" t="s">
        <v>3</v>
      </c>
      <c r="DO198">
        <v>0</v>
      </c>
    </row>
    <row r="199" spans="1:119" x14ac:dyDescent="0.2">
      <c r="A199">
        <f>ROW(Source!A107)</f>
        <v>107</v>
      </c>
      <c r="B199">
        <v>145033679</v>
      </c>
      <c r="C199">
        <v>145041126</v>
      </c>
      <c r="D199">
        <v>140923105</v>
      </c>
      <c r="E199">
        <v>1</v>
      </c>
      <c r="F199">
        <v>1</v>
      </c>
      <c r="G199">
        <v>1</v>
      </c>
      <c r="H199">
        <v>2</v>
      </c>
      <c r="I199" t="s">
        <v>823</v>
      </c>
      <c r="J199" t="s">
        <v>824</v>
      </c>
      <c r="K199" t="s">
        <v>825</v>
      </c>
      <c r="L199">
        <v>1367</v>
      </c>
      <c r="N199">
        <v>1011</v>
      </c>
      <c r="O199" t="s">
        <v>79</v>
      </c>
      <c r="P199" t="s">
        <v>79</v>
      </c>
      <c r="Q199">
        <v>1</v>
      </c>
      <c r="W199">
        <v>0</v>
      </c>
      <c r="X199">
        <v>-896236776</v>
      </c>
      <c r="Y199">
        <f>((AT199*1.25)*1.15)</f>
        <v>2.8749999999999998E-2</v>
      </c>
      <c r="AA199">
        <v>0</v>
      </c>
      <c r="AB199">
        <v>1091.58</v>
      </c>
      <c r="AC199">
        <v>307.23</v>
      </c>
      <c r="AD199">
        <v>0</v>
      </c>
      <c r="AE199">
        <v>0</v>
      </c>
      <c r="AF199">
        <v>89.99</v>
      </c>
      <c r="AG199">
        <v>10.06</v>
      </c>
      <c r="AH199">
        <v>0</v>
      </c>
      <c r="AI199">
        <v>1</v>
      </c>
      <c r="AJ199">
        <v>12.13</v>
      </c>
      <c r="AK199">
        <v>30.54</v>
      </c>
      <c r="AL199">
        <v>1</v>
      </c>
      <c r="AM199">
        <v>4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0.02</v>
      </c>
      <c r="AU199" t="s">
        <v>90</v>
      </c>
      <c r="AV199">
        <v>0</v>
      </c>
      <c r="AW199">
        <v>2</v>
      </c>
      <c r="AX199">
        <v>145041129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ROUND(Y199*Source!I107,9)</f>
        <v>2.4581249999999998E-3</v>
      </c>
      <c r="CY199">
        <f>AB199</f>
        <v>1091.58</v>
      </c>
      <c r="CZ199">
        <f>AF199</f>
        <v>89.99</v>
      </c>
      <c r="DA199">
        <f>AJ199</f>
        <v>12.13</v>
      </c>
      <c r="DB199">
        <f>ROUND(((ROUND(AT199*CZ199,2)*1.25)*1.15),2)</f>
        <v>2.59</v>
      </c>
      <c r="DC199">
        <f>ROUND(((ROUND(AT199*AG199,2)*1.25)*1.15),2)</f>
        <v>0.28999999999999998</v>
      </c>
      <c r="DD199" t="s">
        <v>3</v>
      </c>
      <c r="DE199" t="s">
        <v>3</v>
      </c>
      <c r="DF199">
        <f t="shared" si="63"/>
        <v>0</v>
      </c>
      <c r="DG199">
        <f>ROUND(ROUND(AF199*AJ199,2)*CX199,2)</f>
        <v>2.68</v>
      </c>
      <c r="DH199">
        <f>ROUND(ROUND(AG199*AK199,2)*CX199,2)</f>
        <v>0.76</v>
      </c>
      <c r="DI199">
        <f t="shared" si="64"/>
        <v>0</v>
      </c>
      <c r="DJ199">
        <f>DG199</f>
        <v>2.68</v>
      </c>
      <c r="DK199">
        <v>0</v>
      </c>
      <c r="DL199" t="s">
        <v>3</v>
      </c>
      <c r="DM199">
        <v>0</v>
      </c>
      <c r="DN199" t="s">
        <v>3</v>
      </c>
      <c r="DO199">
        <v>0</v>
      </c>
    </row>
    <row r="200" spans="1:119" x14ac:dyDescent="0.2">
      <c r="A200">
        <f>ROW(Source!A107)</f>
        <v>107</v>
      </c>
      <c r="B200">
        <v>145033679</v>
      </c>
      <c r="C200">
        <v>145041126</v>
      </c>
      <c r="D200">
        <v>140923145</v>
      </c>
      <c r="E200">
        <v>1</v>
      </c>
      <c r="F200">
        <v>1</v>
      </c>
      <c r="G200">
        <v>1</v>
      </c>
      <c r="H200">
        <v>2</v>
      </c>
      <c r="I200" t="s">
        <v>826</v>
      </c>
      <c r="J200" t="s">
        <v>827</v>
      </c>
      <c r="K200" t="s">
        <v>828</v>
      </c>
      <c r="L200">
        <v>1367</v>
      </c>
      <c r="N200">
        <v>1011</v>
      </c>
      <c r="O200" t="s">
        <v>79</v>
      </c>
      <c r="P200" t="s">
        <v>79</v>
      </c>
      <c r="Q200">
        <v>1</v>
      </c>
      <c r="W200">
        <v>0</v>
      </c>
      <c r="X200">
        <v>1232162608</v>
      </c>
      <c r="Y200">
        <f>((AT200*1.25)*1.15)</f>
        <v>0.43124999999999997</v>
      </c>
      <c r="AA200">
        <v>0</v>
      </c>
      <c r="AB200">
        <v>379.18</v>
      </c>
      <c r="AC200">
        <v>412.29</v>
      </c>
      <c r="AD200">
        <v>0</v>
      </c>
      <c r="AE200">
        <v>0</v>
      </c>
      <c r="AF200">
        <v>31.26</v>
      </c>
      <c r="AG200">
        <v>13.5</v>
      </c>
      <c r="AH200">
        <v>0</v>
      </c>
      <c r="AI200">
        <v>1</v>
      </c>
      <c r="AJ200">
        <v>12.13</v>
      </c>
      <c r="AK200">
        <v>30.54</v>
      </c>
      <c r="AL200">
        <v>1</v>
      </c>
      <c r="AM200">
        <v>4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0.3</v>
      </c>
      <c r="AU200" t="s">
        <v>90</v>
      </c>
      <c r="AV200">
        <v>0</v>
      </c>
      <c r="AW200">
        <v>2</v>
      </c>
      <c r="AX200">
        <v>145041130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ROUND(Y200*Source!I107,9)</f>
        <v>3.6871874999999998E-2</v>
      </c>
      <c r="CY200">
        <f>AB200</f>
        <v>379.18</v>
      </c>
      <c r="CZ200">
        <f>AF200</f>
        <v>31.26</v>
      </c>
      <c r="DA200">
        <f>AJ200</f>
        <v>12.13</v>
      </c>
      <c r="DB200">
        <f>ROUND(((ROUND(AT200*CZ200,2)*1.25)*1.15),2)</f>
        <v>13.48</v>
      </c>
      <c r="DC200">
        <f>ROUND(((ROUND(AT200*AG200,2)*1.25)*1.15),2)</f>
        <v>5.82</v>
      </c>
      <c r="DD200" t="s">
        <v>3</v>
      </c>
      <c r="DE200" t="s">
        <v>3</v>
      </c>
      <c r="DF200">
        <f t="shared" si="63"/>
        <v>0</v>
      </c>
      <c r="DG200">
        <f>ROUND(ROUND(AF200*AJ200,2)*CX200,2)</f>
        <v>13.98</v>
      </c>
      <c r="DH200">
        <f>ROUND(ROUND(AG200*AK200,2)*CX200,2)</f>
        <v>15.2</v>
      </c>
      <c r="DI200">
        <f t="shared" si="64"/>
        <v>0</v>
      </c>
      <c r="DJ200">
        <f>DG200</f>
        <v>13.98</v>
      </c>
      <c r="DK200">
        <v>0</v>
      </c>
      <c r="DL200" t="s">
        <v>3</v>
      </c>
      <c r="DM200">
        <v>0</v>
      </c>
      <c r="DN200" t="s">
        <v>3</v>
      </c>
      <c r="DO200">
        <v>0</v>
      </c>
    </row>
    <row r="201" spans="1:119" x14ac:dyDescent="0.2">
      <c r="A201">
        <f>ROW(Source!A107)</f>
        <v>107</v>
      </c>
      <c r="B201">
        <v>145033679</v>
      </c>
      <c r="C201">
        <v>145041126</v>
      </c>
      <c r="D201">
        <v>140923268</v>
      </c>
      <c r="E201">
        <v>1</v>
      </c>
      <c r="F201">
        <v>1</v>
      </c>
      <c r="G201">
        <v>1</v>
      </c>
      <c r="H201">
        <v>2</v>
      </c>
      <c r="I201" t="s">
        <v>837</v>
      </c>
      <c r="J201" t="s">
        <v>838</v>
      </c>
      <c r="K201" t="s">
        <v>839</v>
      </c>
      <c r="L201">
        <v>1367</v>
      </c>
      <c r="N201">
        <v>1011</v>
      </c>
      <c r="O201" t="s">
        <v>79</v>
      </c>
      <c r="P201" t="s">
        <v>79</v>
      </c>
      <c r="Q201">
        <v>1</v>
      </c>
      <c r="W201">
        <v>0</v>
      </c>
      <c r="X201">
        <v>1385328552</v>
      </c>
      <c r="Y201">
        <f>((AT201*1.25)*1.15)</f>
        <v>1.4662499999999998</v>
      </c>
      <c r="AA201">
        <v>0</v>
      </c>
      <c r="AB201">
        <v>150.29</v>
      </c>
      <c r="AC201">
        <v>307.23</v>
      </c>
      <c r="AD201">
        <v>0</v>
      </c>
      <c r="AE201">
        <v>0</v>
      </c>
      <c r="AF201">
        <v>12.39</v>
      </c>
      <c r="AG201">
        <v>10.06</v>
      </c>
      <c r="AH201">
        <v>0</v>
      </c>
      <c r="AI201">
        <v>1</v>
      </c>
      <c r="AJ201">
        <v>12.13</v>
      </c>
      <c r="AK201">
        <v>30.54</v>
      </c>
      <c r="AL201">
        <v>1</v>
      </c>
      <c r="AM201">
        <v>4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1.02</v>
      </c>
      <c r="AU201" t="s">
        <v>90</v>
      </c>
      <c r="AV201">
        <v>0</v>
      </c>
      <c r="AW201">
        <v>2</v>
      </c>
      <c r="AX201">
        <v>145041131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ROUND(Y201*Source!I107,9)</f>
        <v>0.125364375</v>
      </c>
      <c r="CY201">
        <f>AB201</f>
        <v>150.29</v>
      </c>
      <c r="CZ201">
        <f>AF201</f>
        <v>12.39</v>
      </c>
      <c r="DA201">
        <f>AJ201</f>
        <v>12.13</v>
      </c>
      <c r="DB201">
        <f>ROUND(((ROUND(AT201*CZ201,2)*1.25)*1.15),2)</f>
        <v>18.170000000000002</v>
      </c>
      <c r="DC201">
        <f>ROUND(((ROUND(AT201*AG201,2)*1.25)*1.15),2)</f>
        <v>14.75</v>
      </c>
      <c r="DD201" t="s">
        <v>3</v>
      </c>
      <c r="DE201" t="s">
        <v>3</v>
      </c>
      <c r="DF201">
        <f t="shared" si="63"/>
        <v>0</v>
      </c>
      <c r="DG201">
        <f>ROUND(ROUND(AF201*AJ201,2)*CX201,2)</f>
        <v>18.84</v>
      </c>
      <c r="DH201">
        <f>ROUND(ROUND(AG201*AK201,2)*CX201,2)</f>
        <v>38.520000000000003</v>
      </c>
      <c r="DI201">
        <f t="shared" si="64"/>
        <v>0</v>
      </c>
      <c r="DJ201">
        <f>DG201</f>
        <v>18.84</v>
      </c>
      <c r="DK201">
        <v>0</v>
      </c>
      <c r="DL201" t="s">
        <v>3</v>
      </c>
      <c r="DM201">
        <v>0</v>
      </c>
      <c r="DN201" t="s">
        <v>3</v>
      </c>
      <c r="DO201">
        <v>0</v>
      </c>
    </row>
    <row r="202" spans="1:119" x14ac:dyDescent="0.2">
      <c r="A202">
        <f>ROW(Source!A107)</f>
        <v>107</v>
      </c>
      <c r="B202">
        <v>145033679</v>
      </c>
      <c r="C202">
        <v>145041126</v>
      </c>
      <c r="D202">
        <v>140772680</v>
      </c>
      <c r="E202">
        <v>1</v>
      </c>
      <c r="F202">
        <v>1</v>
      </c>
      <c r="G202">
        <v>1</v>
      </c>
      <c r="H202">
        <v>3</v>
      </c>
      <c r="I202" t="s">
        <v>735</v>
      </c>
      <c r="J202" t="s">
        <v>736</v>
      </c>
      <c r="K202" t="s">
        <v>737</v>
      </c>
      <c r="L202">
        <v>1339</v>
      </c>
      <c r="N202">
        <v>1007</v>
      </c>
      <c r="O202" t="s">
        <v>66</v>
      </c>
      <c r="P202" t="s">
        <v>66</v>
      </c>
      <c r="Q202">
        <v>1</v>
      </c>
      <c r="W202">
        <v>0</v>
      </c>
      <c r="X202">
        <v>-143474561</v>
      </c>
      <c r="Y202">
        <f>AT202</f>
        <v>0.74</v>
      </c>
      <c r="AA202">
        <v>21.25</v>
      </c>
      <c r="AB202">
        <v>0</v>
      </c>
      <c r="AC202">
        <v>0</v>
      </c>
      <c r="AD202">
        <v>0</v>
      </c>
      <c r="AE202">
        <v>2.44</v>
      </c>
      <c r="AF202">
        <v>0</v>
      </c>
      <c r="AG202">
        <v>0</v>
      </c>
      <c r="AH202">
        <v>0</v>
      </c>
      <c r="AI202">
        <v>8.7100000000000009</v>
      </c>
      <c r="AJ202">
        <v>1</v>
      </c>
      <c r="AK202">
        <v>1</v>
      </c>
      <c r="AL202">
        <v>1</v>
      </c>
      <c r="AM202">
        <v>4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0.74</v>
      </c>
      <c r="AU202" t="s">
        <v>3</v>
      </c>
      <c r="AV202">
        <v>0</v>
      </c>
      <c r="AW202">
        <v>2</v>
      </c>
      <c r="AX202">
        <v>145041132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ROUND(Y202*Source!I107,9)</f>
        <v>6.3270000000000007E-2</v>
      </c>
      <c r="CY202">
        <f>AA202</f>
        <v>21.25</v>
      </c>
      <c r="CZ202">
        <f>AE202</f>
        <v>2.44</v>
      </c>
      <c r="DA202">
        <f>AI202</f>
        <v>8.7100000000000009</v>
      </c>
      <c r="DB202">
        <f>ROUND(ROUND(AT202*CZ202,2),2)</f>
        <v>1.81</v>
      </c>
      <c r="DC202">
        <f>ROUND(ROUND(AT202*AG202,2),2)</f>
        <v>0</v>
      </c>
      <c r="DD202" t="s">
        <v>3</v>
      </c>
      <c r="DE202" t="s">
        <v>3</v>
      </c>
      <c r="DF202">
        <f>ROUND(ROUND(AE202*AI202,2)*CX202,2)</f>
        <v>1.34</v>
      </c>
      <c r="DG202">
        <f>ROUND(ROUND(AF202,2)*CX202,2)</f>
        <v>0</v>
      </c>
      <c r="DH202">
        <f>ROUND(ROUND(AG202,2)*CX202,2)</f>
        <v>0</v>
      </c>
      <c r="DI202">
        <f t="shared" si="64"/>
        <v>0</v>
      </c>
      <c r="DJ202">
        <f>DF202</f>
        <v>1.34</v>
      </c>
      <c r="DK202">
        <v>0</v>
      </c>
      <c r="DL202" t="s">
        <v>3</v>
      </c>
      <c r="DM202">
        <v>0</v>
      </c>
      <c r="DN202" t="s">
        <v>3</v>
      </c>
      <c r="DO202">
        <v>0</v>
      </c>
    </row>
    <row r="203" spans="1:119" x14ac:dyDescent="0.2">
      <c r="A203">
        <f>ROW(Source!A107)</f>
        <v>107</v>
      </c>
      <c r="B203">
        <v>145033679</v>
      </c>
      <c r="C203">
        <v>145041126</v>
      </c>
      <c r="D203">
        <v>140761160</v>
      </c>
      <c r="E203">
        <v>70</v>
      </c>
      <c r="F203">
        <v>1</v>
      </c>
      <c r="G203">
        <v>1</v>
      </c>
      <c r="H203">
        <v>3</v>
      </c>
      <c r="I203" t="s">
        <v>843</v>
      </c>
      <c r="J203" t="s">
        <v>3</v>
      </c>
      <c r="K203" t="s">
        <v>844</v>
      </c>
      <c r="L203">
        <v>1348</v>
      </c>
      <c r="N203">
        <v>1009</v>
      </c>
      <c r="O203" t="s">
        <v>105</v>
      </c>
      <c r="P203" t="s">
        <v>105</v>
      </c>
      <c r="Q203">
        <v>1000</v>
      </c>
      <c r="W203">
        <v>0</v>
      </c>
      <c r="X203">
        <v>1880203204</v>
      </c>
      <c r="Y203">
        <f>AT203</f>
        <v>1.23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8.7100000000000009</v>
      </c>
      <c r="AJ203">
        <v>1</v>
      </c>
      <c r="AK203">
        <v>1</v>
      </c>
      <c r="AL203">
        <v>1</v>
      </c>
      <c r="AM203">
        <v>4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3</v>
      </c>
      <c r="AT203">
        <v>1.23</v>
      </c>
      <c r="AU203" t="s">
        <v>3</v>
      </c>
      <c r="AV203">
        <v>0</v>
      </c>
      <c r="AW203">
        <v>2</v>
      </c>
      <c r="AX203">
        <v>145041133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ROUND(Y203*Source!I107,9)</f>
        <v>0.10516499999999999</v>
      </c>
      <c r="CY203">
        <f>AA203</f>
        <v>0</v>
      </c>
      <c r="CZ203">
        <f>AE203</f>
        <v>0</v>
      </c>
      <c r="DA203">
        <f>AI203</f>
        <v>8.7100000000000009</v>
      </c>
      <c r="DB203">
        <f>ROUND(ROUND(AT203*CZ203,2),2)</f>
        <v>0</v>
      </c>
      <c r="DC203">
        <f>ROUND(ROUND(AT203*AG203,2),2)</f>
        <v>0</v>
      </c>
      <c r="DD203" t="s">
        <v>3</v>
      </c>
      <c r="DE203" t="s">
        <v>3</v>
      </c>
      <c r="DF203">
        <f>ROUND(ROUND(AE203*AI203,2)*CX203,2)</f>
        <v>0</v>
      </c>
      <c r="DG203">
        <f>ROUND(ROUND(AF203,2)*CX203,2)</f>
        <v>0</v>
      </c>
      <c r="DH203">
        <f>ROUND(ROUND(AG203,2)*CX203,2)</f>
        <v>0</v>
      </c>
      <c r="DI203">
        <f t="shared" si="64"/>
        <v>0</v>
      </c>
      <c r="DJ203">
        <f>DF203</f>
        <v>0</v>
      </c>
      <c r="DK203">
        <v>0</v>
      </c>
      <c r="DL203" t="s">
        <v>3</v>
      </c>
      <c r="DM203">
        <v>0</v>
      </c>
      <c r="DN203" t="s">
        <v>3</v>
      </c>
      <c r="DO203">
        <v>0</v>
      </c>
    </row>
    <row r="204" spans="1:119" x14ac:dyDescent="0.2">
      <c r="A204">
        <f>ROW(Source!A107)</f>
        <v>107</v>
      </c>
      <c r="B204">
        <v>145033679</v>
      </c>
      <c r="C204">
        <v>145041126</v>
      </c>
      <c r="D204">
        <v>140763302</v>
      </c>
      <c r="E204">
        <v>70</v>
      </c>
      <c r="F204">
        <v>1</v>
      </c>
      <c r="G204">
        <v>1</v>
      </c>
      <c r="H204">
        <v>3</v>
      </c>
      <c r="I204" t="s">
        <v>940</v>
      </c>
      <c r="J204" t="s">
        <v>3</v>
      </c>
      <c r="K204" t="s">
        <v>941</v>
      </c>
      <c r="L204">
        <v>1348</v>
      </c>
      <c r="N204">
        <v>1009</v>
      </c>
      <c r="O204" t="s">
        <v>105</v>
      </c>
      <c r="P204" t="s">
        <v>105</v>
      </c>
      <c r="Q204">
        <v>1000</v>
      </c>
      <c r="W204">
        <v>0</v>
      </c>
      <c r="X204">
        <v>-1212923053</v>
      </c>
      <c r="Y204">
        <f>AT204</f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8.7100000000000009</v>
      </c>
      <c r="AJ204">
        <v>1</v>
      </c>
      <c r="AK204">
        <v>1</v>
      </c>
      <c r="AL204">
        <v>1</v>
      </c>
      <c r="AM204">
        <v>4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3</v>
      </c>
      <c r="AT204">
        <v>0</v>
      </c>
      <c r="AU204" t="s">
        <v>3</v>
      </c>
      <c r="AV204">
        <v>0</v>
      </c>
      <c r="AW204">
        <v>2</v>
      </c>
      <c r="AX204">
        <v>145041134</v>
      </c>
      <c r="AY204">
        <v>1</v>
      </c>
      <c r="AZ204">
        <v>0</v>
      </c>
      <c r="BA204">
        <v>204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ROUND(Y204*Source!I107,9)</f>
        <v>0</v>
      </c>
      <c r="CY204">
        <f>AA204</f>
        <v>0</v>
      </c>
      <c r="CZ204">
        <f>AE204</f>
        <v>0</v>
      </c>
      <c r="DA204">
        <f>AI204</f>
        <v>8.7100000000000009</v>
      </c>
      <c r="DB204">
        <f>ROUND(ROUND(AT204*CZ204,2),2)</f>
        <v>0</v>
      </c>
      <c r="DC204">
        <f>ROUND(ROUND(AT204*AG204,2),2)</f>
        <v>0</v>
      </c>
      <c r="DD204" t="s">
        <v>3</v>
      </c>
      <c r="DE204" t="s">
        <v>3</v>
      </c>
      <c r="DF204">
        <f>ROUND(ROUND(AE204*AI204,2)*CX204,2)</f>
        <v>0</v>
      </c>
      <c r="DG204">
        <f>ROUND(ROUND(AF204,2)*CX204,2)</f>
        <v>0</v>
      </c>
      <c r="DH204">
        <f>ROUND(ROUND(AG204,2)*CX204,2)</f>
        <v>0</v>
      </c>
      <c r="DI204">
        <f t="shared" si="64"/>
        <v>0</v>
      </c>
      <c r="DJ204">
        <f>DF204</f>
        <v>0</v>
      </c>
      <c r="DK204">
        <v>0</v>
      </c>
      <c r="DL204" t="s">
        <v>3</v>
      </c>
      <c r="DM204">
        <v>0</v>
      </c>
      <c r="DN204" t="s">
        <v>3</v>
      </c>
      <c r="DO204">
        <v>0</v>
      </c>
    </row>
    <row r="205" spans="1:119" x14ac:dyDescent="0.2">
      <c r="A205">
        <f>ROW(Source!A108)</f>
        <v>108</v>
      </c>
      <c r="B205">
        <v>145033679</v>
      </c>
      <c r="C205">
        <v>145041830</v>
      </c>
      <c r="D205">
        <v>140759979</v>
      </c>
      <c r="E205">
        <v>70</v>
      </c>
      <c r="F205">
        <v>1</v>
      </c>
      <c r="G205">
        <v>1</v>
      </c>
      <c r="H205">
        <v>1</v>
      </c>
      <c r="I205" t="s">
        <v>745</v>
      </c>
      <c r="J205" t="s">
        <v>3</v>
      </c>
      <c r="K205" t="s">
        <v>746</v>
      </c>
      <c r="L205">
        <v>1191</v>
      </c>
      <c r="N205">
        <v>1013</v>
      </c>
      <c r="O205" t="s">
        <v>725</v>
      </c>
      <c r="P205" t="s">
        <v>725</v>
      </c>
      <c r="Q205">
        <v>1</v>
      </c>
      <c r="W205">
        <v>0</v>
      </c>
      <c r="X205">
        <v>1049124552</v>
      </c>
      <c r="Y205">
        <f>(((AT205*1.15)*1.15)*5)</f>
        <v>54.354749999999996</v>
      </c>
      <c r="AA205">
        <v>0</v>
      </c>
      <c r="AB205">
        <v>0</v>
      </c>
      <c r="AC205">
        <v>0</v>
      </c>
      <c r="AD205">
        <v>260.51</v>
      </c>
      <c r="AE205">
        <v>0</v>
      </c>
      <c r="AF205">
        <v>0</v>
      </c>
      <c r="AG205">
        <v>0</v>
      </c>
      <c r="AH205">
        <v>8.5299999999999994</v>
      </c>
      <c r="AI205">
        <v>1</v>
      </c>
      <c r="AJ205">
        <v>1</v>
      </c>
      <c r="AK205">
        <v>1</v>
      </c>
      <c r="AL205">
        <v>30.54</v>
      </c>
      <c r="AM205">
        <v>4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8.2200000000000006</v>
      </c>
      <c r="AU205" t="s">
        <v>366</v>
      </c>
      <c r="AV205">
        <v>1</v>
      </c>
      <c r="AW205">
        <v>2</v>
      </c>
      <c r="AX205">
        <v>145041831</v>
      </c>
      <c r="AY205">
        <v>1</v>
      </c>
      <c r="AZ205">
        <v>0</v>
      </c>
      <c r="BA205">
        <v>205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ROUND(Y205*Source!I108,9)</f>
        <v>4.647331125</v>
      </c>
      <c r="CY205">
        <f>AD205</f>
        <v>260.51</v>
      </c>
      <c r="CZ205">
        <f>AH205</f>
        <v>8.5299999999999994</v>
      </c>
      <c r="DA205">
        <f>AL205</f>
        <v>30.54</v>
      </c>
      <c r="DB205">
        <f>ROUND((((ROUND(AT205*CZ205,2)*1.15)*1.15)*5),2)</f>
        <v>463.67</v>
      </c>
      <c r="DC205">
        <f>ROUND((((ROUND(AT205*AG205,2)*1.15)*1.15)*5),2)</f>
        <v>0</v>
      </c>
      <c r="DD205" t="s">
        <v>3</v>
      </c>
      <c r="DE205" t="s">
        <v>3</v>
      </c>
      <c r="DF205">
        <f>ROUND(ROUND(AE205,2)*CX205,2)</f>
        <v>0</v>
      </c>
      <c r="DG205">
        <f>ROUND(ROUND(AF205,2)*CX205,2)</f>
        <v>0</v>
      </c>
      <c r="DH205">
        <f>ROUND(ROUND(AG205,2)*CX205,2)</f>
        <v>0</v>
      </c>
      <c r="DI205">
        <f>ROUND(ROUND(AH205*AL205,2)*CX205,2)</f>
        <v>1210.68</v>
      </c>
      <c r="DJ205">
        <f>DI205</f>
        <v>1210.68</v>
      </c>
      <c r="DK205">
        <v>0</v>
      </c>
      <c r="DL205" t="s">
        <v>3</v>
      </c>
      <c r="DM205">
        <v>0</v>
      </c>
      <c r="DN205" t="s">
        <v>3</v>
      </c>
      <c r="DO205">
        <v>0</v>
      </c>
    </row>
    <row r="206" spans="1:119" x14ac:dyDescent="0.2">
      <c r="A206">
        <f>ROW(Source!A108)</f>
        <v>108</v>
      </c>
      <c r="B206">
        <v>145033679</v>
      </c>
      <c r="C206">
        <v>145041830</v>
      </c>
      <c r="D206">
        <v>140760225</v>
      </c>
      <c r="E206">
        <v>70</v>
      </c>
      <c r="F206">
        <v>1</v>
      </c>
      <c r="G206">
        <v>1</v>
      </c>
      <c r="H206">
        <v>1</v>
      </c>
      <c r="I206" t="s">
        <v>730</v>
      </c>
      <c r="J206" t="s">
        <v>3</v>
      </c>
      <c r="K206" t="s">
        <v>731</v>
      </c>
      <c r="L206">
        <v>1191</v>
      </c>
      <c r="N206">
        <v>1013</v>
      </c>
      <c r="O206" t="s">
        <v>725</v>
      </c>
      <c r="P206" t="s">
        <v>725</v>
      </c>
      <c r="Q206">
        <v>1</v>
      </c>
      <c r="W206">
        <v>0</v>
      </c>
      <c r="X206">
        <v>-1417349443</v>
      </c>
      <c r="Y206">
        <f>(((AT206*1.25)*1.15)*5)</f>
        <v>0.93437499999999996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30.54</v>
      </c>
      <c r="AL206">
        <v>1</v>
      </c>
      <c r="AM206">
        <v>4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0.13</v>
      </c>
      <c r="AU206" t="s">
        <v>365</v>
      </c>
      <c r="AV206">
        <v>2</v>
      </c>
      <c r="AW206">
        <v>2</v>
      </c>
      <c r="AX206">
        <v>145041832</v>
      </c>
      <c r="AY206">
        <v>1</v>
      </c>
      <c r="AZ206">
        <v>0</v>
      </c>
      <c r="BA206">
        <v>206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ROUND(Y206*Source!I108,9)</f>
        <v>7.9889062999999996E-2</v>
      </c>
      <c r="CY206">
        <f>AD206</f>
        <v>0</v>
      </c>
      <c r="CZ206">
        <f>AH206</f>
        <v>0</v>
      </c>
      <c r="DA206">
        <f>AL206</f>
        <v>1</v>
      </c>
      <c r="DB206">
        <f>ROUND((((ROUND(AT206*CZ206,2)*1.25)*1.15)*5),2)</f>
        <v>0</v>
      </c>
      <c r="DC206">
        <f>ROUND((((ROUND(AT206*AG206,2)*1.25)*1.15)*5),2)</f>
        <v>0</v>
      </c>
      <c r="DD206" t="s">
        <v>3</v>
      </c>
      <c r="DE206" t="s">
        <v>3</v>
      </c>
      <c r="DF206">
        <f>ROUND(ROUND(AE206,2)*CX206,2)</f>
        <v>0</v>
      </c>
      <c r="DG206">
        <f>ROUND(ROUND(AF206,2)*CX206,2)</f>
        <v>0</v>
      </c>
      <c r="DH206">
        <f>ROUND(ROUND(AG206*AK206,2)*CX206,2)</f>
        <v>0</v>
      </c>
      <c r="DI206">
        <f t="shared" ref="DI206:DI211" si="65">ROUND(ROUND(AH206,2)*CX206,2)</f>
        <v>0</v>
      </c>
      <c r="DJ206">
        <f>DI206</f>
        <v>0</v>
      </c>
      <c r="DK206">
        <v>0</v>
      </c>
      <c r="DL206" t="s">
        <v>3</v>
      </c>
      <c r="DM206">
        <v>0</v>
      </c>
      <c r="DN206" t="s">
        <v>3</v>
      </c>
      <c r="DO206">
        <v>0</v>
      </c>
    </row>
    <row r="207" spans="1:119" x14ac:dyDescent="0.2">
      <c r="A207">
        <f>ROW(Source!A108)</f>
        <v>108</v>
      </c>
      <c r="B207">
        <v>145033679</v>
      </c>
      <c r="C207">
        <v>145041830</v>
      </c>
      <c r="D207">
        <v>140923105</v>
      </c>
      <c r="E207">
        <v>1</v>
      </c>
      <c r="F207">
        <v>1</v>
      </c>
      <c r="G207">
        <v>1</v>
      </c>
      <c r="H207">
        <v>2</v>
      </c>
      <c r="I207" t="s">
        <v>823</v>
      </c>
      <c r="J207" t="s">
        <v>824</v>
      </c>
      <c r="K207" t="s">
        <v>825</v>
      </c>
      <c r="L207">
        <v>1367</v>
      </c>
      <c r="N207">
        <v>1011</v>
      </c>
      <c r="O207" t="s">
        <v>79</v>
      </c>
      <c r="P207" t="s">
        <v>79</v>
      </c>
      <c r="Q207">
        <v>1</v>
      </c>
      <c r="W207">
        <v>0</v>
      </c>
      <c r="X207">
        <v>-896236776</v>
      </c>
      <c r="Y207">
        <f>(((AT207*1.25)*1.15)*5)</f>
        <v>1.4374999999999999E-2</v>
      </c>
      <c r="AA207">
        <v>0</v>
      </c>
      <c r="AB207">
        <v>1091.58</v>
      </c>
      <c r="AC207">
        <v>307.23</v>
      </c>
      <c r="AD207">
        <v>0</v>
      </c>
      <c r="AE207">
        <v>0</v>
      </c>
      <c r="AF207">
        <v>89.99</v>
      </c>
      <c r="AG207">
        <v>10.06</v>
      </c>
      <c r="AH207">
        <v>0</v>
      </c>
      <c r="AI207">
        <v>1</v>
      </c>
      <c r="AJ207">
        <v>12.13</v>
      </c>
      <c r="AK207">
        <v>30.54</v>
      </c>
      <c r="AL207">
        <v>1</v>
      </c>
      <c r="AM207">
        <v>4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2E-3</v>
      </c>
      <c r="AU207" t="s">
        <v>365</v>
      </c>
      <c r="AV207">
        <v>0</v>
      </c>
      <c r="AW207">
        <v>2</v>
      </c>
      <c r="AX207">
        <v>145041833</v>
      </c>
      <c r="AY207">
        <v>1</v>
      </c>
      <c r="AZ207">
        <v>0</v>
      </c>
      <c r="BA207">
        <v>207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ROUND(Y207*Source!I108,9)</f>
        <v>1.2290630000000001E-3</v>
      </c>
      <c r="CY207">
        <f>AB207</f>
        <v>1091.58</v>
      </c>
      <c r="CZ207">
        <f>AF207</f>
        <v>89.99</v>
      </c>
      <c r="DA207">
        <f>AJ207</f>
        <v>12.13</v>
      </c>
      <c r="DB207">
        <f>ROUND((((ROUND(AT207*CZ207,2)*1.25)*1.15)*5),2)</f>
        <v>1.29</v>
      </c>
      <c r="DC207">
        <f>ROUND((((ROUND(AT207*AG207,2)*1.25)*1.15)*5),2)</f>
        <v>0.14000000000000001</v>
      </c>
      <c r="DD207" t="s">
        <v>3</v>
      </c>
      <c r="DE207" t="s">
        <v>3</v>
      </c>
      <c r="DF207">
        <f>ROUND(ROUND(AE207,2)*CX207,2)</f>
        <v>0</v>
      </c>
      <c r="DG207">
        <f>ROUND(ROUND(AF207*AJ207,2)*CX207,2)</f>
        <v>1.34</v>
      </c>
      <c r="DH207">
        <f>ROUND(ROUND(AG207*AK207,2)*CX207,2)</f>
        <v>0.38</v>
      </c>
      <c r="DI207">
        <f t="shared" si="65"/>
        <v>0</v>
      </c>
      <c r="DJ207">
        <f>DG207</f>
        <v>1.34</v>
      </c>
      <c r="DK207">
        <v>0</v>
      </c>
      <c r="DL207" t="s">
        <v>3</v>
      </c>
      <c r="DM207">
        <v>0</v>
      </c>
      <c r="DN207" t="s">
        <v>3</v>
      </c>
      <c r="DO207">
        <v>0</v>
      </c>
    </row>
    <row r="208" spans="1:119" x14ac:dyDescent="0.2">
      <c r="A208">
        <f>ROW(Source!A108)</f>
        <v>108</v>
      </c>
      <c r="B208">
        <v>145033679</v>
      </c>
      <c r="C208">
        <v>145041830</v>
      </c>
      <c r="D208">
        <v>140923145</v>
      </c>
      <c r="E208">
        <v>1</v>
      </c>
      <c r="F208">
        <v>1</v>
      </c>
      <c r="G208">
        <v>1</v>
      </c>
      <c r="H208">
        <v>2</v>
      </c>
      <c r="I208" t="s">
        <v>826</v>
      </c>
      <c r="J208" t="s">
        <v>827</v>
      </c>
      <c r="K208" t="s">
        <v>828</v>
      </c>
      <c r="L208">
        <v>1367</v>
      </c>
      <c r="N208">
        <v>1011</v>
      </c>
      <c r="O208" t="s">
        <v>79</v>
      </c>
      <c r="P208" t="s">
        <v>79</v>
      </c>
      <c r="Q208">
        <v>1</v>
      </c>
      <c r="W208">
        <v>0</v>
      </c>
      <c r="X208">
        <v>1232162608</v>
      </c>
      <c r="Y208">
        <f>(((AT208*1.25)*1.15)*5)</f>
        <v>0.21562499999999998</v>
      </c>
      <c r="AA208">
        <v>0</v>
      </c>
      <c r="AB208">
        <v>379.18</v>
      </c>
      <c r="AC208">
        <v>412.29</v>
      </c>
      <c r="AD208">
        <v>0</v>
      </c>
      <c r="AE208">
        <v>0</v>
      </c>
      <c r="AF208">
        <v>31.26</v>
      </c>
      <c r="AG208">
        <v>13.5</v>
      </c>
      <c r="AH208">
        <v>0</v>
      </c>
      <c r="AI208">
        <v>1</v>
      </c>
      <c r="AJ208">
        <v>12.13</v>
      </c>
      <c r="AK208">
        <v>30.54</v>
      </c>
      <c r="AL208">
        <v>1</v>
      </c>
      <c r="AM208">
        <v>4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0.03</v>
      </c>
      <c r="AU208" t="s">
        <v>365</v>
      </c>
      <c r="AV208">
        <v>0</v>
      </c>
      <c r="AW208">
        <v>2</v>
      </c>
      <c r="AX208">
        <v>145041834</v>
      </c>
      <c r="AY208">
        <v>1</v>
      </c>
      <c r="AZ208">
        <v>0</v>
      </c>
      <c r="BA208">
        <v>208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ROUND(Y208*Source!I108,9)</f>
        <v>1.8435937999999999E-2</v>
      </c>
      <c r="CY208">
        <f>AB208</f>
        <v>379.18</v>
      </c>
      <c r="CZ208">
        <f>AF208</f>
        <v>31.26</v>
      </c>
      <c r="DA208">
        <f>AJ208</f>
        <v>12.13</v>
      </c>
      <c r="DB208">
        <f>ROUND((((ROUND(AT208*CZ208,2)*1.25)*1.15)*5),2)</f>
        <v>6.76</v>
      </c>
      <c r="DC208">
        <f>ROUND((((ROUND(AT208*AG208,2)*1.25)*1.15)*5),2)</f>
        <v>2.95</v>
      </c>
      <c r="DD208" t="s">
        <v>3</v>
      </c>
      <c r="DE208" t="s">
        <v>3</v>
      </c>
      <c r="DF208">
        <f>ROUND(ROUND(AE208,2)*CX208,2)</f>
        <v>0</v>
      </c>
      <c r="DG208">
        <f>ROUND(ROUND(AF208*AJ208,2)*CX208,2)</f>
        <v>6.99</v>
      </c>
      <c r="DH208">
        <f>ROUND(ROUND(AG208*AK208,2)*CX208,2)</f>
        <v>7.6</v>
      </c>
      <c r="DI208">
        <f t="shared" si="65"/>
        <v>0</v>
      </c>
      <c r="DJ208">
        <f>DG208</f>
        <v>6.99</v>
      </c>
      <c r="DK208">
        <v>0</v>
      </c>
      <c r="DL208" t="s">
        <v>3</v>
      </c>
      <c r="DM208">
        <v>0</v>
      </c>
      <c r="DN208" t="s">
        <v>3</v>
      </c>
      <c r="DO208">
        <v>0</v>
      </c>
    </row>
    <row r="209" spans="1:119" x14ac:dyDescent="0.2">
      <c r="A209">
        <f>ROW(Source!A108)</f>
        <v>108</v>
      </c>
      <c r="B209">
        <v>145033679</v>
      </c>
      <c r="C209">
        <v>145041830</v>
      </c>
      <c r="D209">
        <v>140923268</v>
      </c>
      <c r="E209">
        <v>1</v>
      </c>
      <c r="F209">
        <v>1</v>
      </c>
      <c r="G209">
        <v>1</v>
      </c>
      <c r="H209">
        <v>2</v>
      </c>
      <c r="I209" t="s">
        <v>837</v>
      </c>
      <c r="J209" t="s">
        <v>838</v>
      </c>
      <c r="K209" t="s">
        <v>839</v>
      </c>
      <c r="L209">
        <v>1367</v>
      </c>
      <c r="N209">
        <v>1011</v>
      </c>
      <c r="O209" t="s">
        <v>79</v>
      </c>
      <c r="P209" t="s">
        <v>79</v>
      </c>
      <c r="Q209">
        <v>1</v>
      </c>
      <c r="W209">
        <v>0</v>
      </c>
      <c r="X209">
        <v>1385328552</v>
      </c>
      <c r="Y209">
        <f>(((AT209*1.25)*1.15)*5)</f>
        <v>0.71875</v>
      </c>
      <c r="AA209">
        <v>0</v>
      </c>
      <c r="AB209">
        <v>150.29</v>
      </c>
      <c r="AC209">
        <v>307.23</v>
      </c>
      <c r="AD209">
        <v>0</v>
      </c>
      <c r="AE209">
        <v>0</v>
      </c>
      <c r="AF209">
        <v>12.39</v>
      </c>
      <c r="AG209">
        <v>10.06</v>
      </c>
      <c r="AH209">
        <v>0</v>
      </c>
      <c r="AI209">
        <v>1</v>
      </c>
      <c r="AJ209">
        <v>12.13</v>
      </c>
      <c r="AK209">
        <v>30.54</v>
      </c>
      <c r="AL209">
        <v>1</v>
      </c>
      <c r="AM209">
        <v>4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3</v>
      </c>
      <c r="AT209">
        <v>0.1</v>
      </c>
      <c r="AU209" t="s">
        <v>365</v>
      </c>
      <c r="AV209">
        <v>0</v>
      </c>
      <c r="AW209">
        <v>2</v>
      </c>
      <c r="AX209">
        <v>145041835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ROUND(Y209*Source!I108,9)</f>
        <v>6.1453124999999997E-2</v>
      </c>
      <c r="CY209">
        <f>AB209</f>
        <v>150.29</v>
      </c>
      <c r="CZ209">
        <f>AF209</f>
        <v>12.39</v>
      </c>
      <c r="DA209">
        <f>AJ209</f>
        <v>12.13</v>
      </c>
      <c r="DB209">
        <f>ROUND((((ROUND(AT209*CZ209,2)*1.25)*1.15)*5),2)</f>
        <v>8.91</v>
      </c>
      <c r="DC209">
        <f>ROUND((((ROUND(AT209*AG209,2)*1.25)*1.15)*5),2)</f>
        <v>7.26</v>
      </c>
      <c r="DD209" t="s">
        <v>3</v>
      </c>
      <c r="DE209" t="s">
        <v>3</v>
      </c>
      <c r="DF209">
        <f>ROUND(ROUND(AE209,2)*CX209,2)</f>
        <v>0</v>
      </c>
      <c r="DG209">
        <f>ROUND(ROUND(AF209*AJ209,2)*CX209,2)</f>
        <v>9.24</v>
      </c>
      <c r="DH209">
        <f>ROUND(ROUND(AG209*AK209,2)*CX209,2)</f>
        <v>18.88</v>
      </c>
      <c r="DI209">
        <f t="shared" si="65"/>
        <v>0</v>
      </c>
      <c r="DJ209">
        <f>DG209</f>
        <v>9.24</v>
      </c>
      <c r="DK209">
        <v>0</v>
      </c>
      <c r="DL209" t="s">
        <v>3</v>
      </c>
      <c r="DM209">
        <v>0</v>
      </c>
      <c r="DN209" t="s">
        <v>3</v>
      </c>
      <c r="DO209">
        <v>0</v>
      </c>
    </row>
    <row r="210" spans="1:119" x14ac:dyDescent="0.2">
      <c r="A210">
        <f>ROW(Source!A108)</f>
        <v>108</v>
      </c>
      <c r="B210">
        <v>145033679</v>
      </c>
      <c r="C210">
        <v>145041830</v>
      </c>
      <c r="D210">
        <v>140772680</v>
      </c>
      <c r="E210">
        <v>1</v>
      </c>
      <c r="F210">
        <v>1</v>
      </c>
      <c r="G210">
        <v>1</v>
      </c>
      <c r="H210">
        <v>3</v>
      </c>
      <c r="I210" t="s">
        <v>735</v>
      </c>
      <c r="J210" t="s">
        <v>736</v>
      </c>
      <c r="K210" t="s">
        <v>737</v>
      </c>
      <c r="L210">
        <v>1339</v>
      </c>
      <c r="N210">
        <v>1007</v>
      </c>
      <c r="O210" t="s">
        <v>66</v>
      </c>
      <c r="P210" t="s">
        <v>66</v>
      </c>
      <c r="Q210">
        <v>1</v>
      </c>
      <c r="W210">
        <v>0</v>
      </c>
      <c r="X210">
        <v>-143474561</v>
      </c>
      <c r="Y210">
        <f>(AT210*5)</f>
        <v>0.37</v>
      </c>
      <c r="AA210">
        <v>21.25</v>
      </c>
      <c r="AB210">
        <v>0</v>
      </c>
      <c r="AC210">
        <v>0</v>
      </c>
      <c r="AD210">
        <v>0</v>
      </c>
      <c r="AE210">
        <v>2.44</v>
      </c>
      <c r="AF210">
        <v>0</v>
      </c>
      <c r="AG210">
        <v>0</v>
      </c>
      <c r="AH210">
        <v>0</v>
      </c>
      <c r="AI210">
        <v>8.7100000000000009</v>
      </c>
      <c r="AJ210">
        <v>1</v>
      </c>
      <c r="AK210">
        <v>1</v>
      </c>
      <c r="AL210">
        <v>1</v>
      </c>
      <c r="AM210">
        <v>4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7.3999999999999996E-2</v>
      </c>
      <c r="AU210" t="s">
        <v>364</v>
      </c>
      <c r="AV210">
        <v>0</v>
      </c>
      <c r="AW210">
        <v>2</v>
      </c>
      <c r="AX210">
        <v>145041836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ROUND(Y210*Source!I108,9)</f>
        <v>3.1635000000000003E-2</v>
      </c>
      <c r="CY210">
        <f>AA210</f>
        <v>21.25</v>
      </c>
      <c r="CZ210">
        <f>AE210</f>
        <v>2.44</v>
      </c>
      <c r="DA210">
        <f>AI210</f>
        <v>8.7100000000000009</v>
      </c>
      <c r="DB210">
        <f>ROUND((ROUND(AT210*CZ210,2)*5),2)</f>
        <v>0.9</v>
      </c>
      <c r="DC210">
        <f>ROUND((ROUND(AT210*AG210,2)*5),2)</f>
        <v>0</v>
      </c>
      <c r="DD210" t="s">
        <v>3</v>
      </c>
      <c r="DE210" t="s">
        <v>3</v>
      </c>
      <c r="DF210">
        <f>ROUND(ROUND(AE210*AI210,2)*CX210,2)</f>
        <v>0.67</v>
      </c>
      <c r="DG210">
        <f>ROUND(ROUND(AF210,2)*CX210,2)</f>
        <v>0</v>
      </c>
      <c r="DH210">
        <f>ROUND(ROUND(AG210,2)*CX210,2)</f>
        <v>0</v>
      </c>
      <c r="DI210">
        <f t="shared" si="65"/>
        <v>0</v>
      </c>
      <c r="DJ210">
        <f>DF210</f>
        <v>0.67</v>
      </c>
      <c r="DK210">
        <v>0</v>
      </c>
      <c r="DL210" t="s">
        <v>3</v>
      </c>
      <c r="DM210">
        <v>0</v>
      </c>
      <c r="DN210" t="s">
        <v>3</v>
      </c>
      <c r="DO210">
        <v>0</v>
      </c>
    </row>
    <row r="211" spans="1:119" x14ac:dyDescent="0.2">
      <c r="A211">
        <f>ROW(Source!A108)</f>
        <v>108</v>
      </c>
      <c r="B211">
        <v>145033679</v>
      </c>
      <c r="C211">
        <v>145041830</v>
      </c>
      <c r="D211">
        <v>140761160</v>
      </c>
      <c r="E211">
        <v>70</v>
      </c>
      <c r="F211">
        <v>1</v>
      </c>
      <c r="G211">
        <v>1</v>
      </c>
      <c r="H211">
        <v>3</v>
      </c>
      <c r="I211" t="s">
        <v>843</v>
      </c>
      <c r="J211" t="s">
        <v>3</v>
      </c>
      <c r="K211" t="s">
        <v>844</v>
      </c>
      <c r="L211">
        <v>1348</v>
      </c>
      <c r="N211">
        <v>1009</v>
      </c>
      <c r="O211" t="s">
        <v>105</v>
      </c>
      <c r="P211" t="s">
        <v>105</v>
      </c>
      <c r="Q211">
        <v>1000</v>
      </c>
      <c r="W211">
        <v>0</v>
      </c>
      <c r="X211">
        <v>1880203204</v>
      </c>
      <c r="Y211">
        <f>(AT211*5)</f>
        <v>0.61499999999999999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8.7100000000000009</v>
      </c>
      <c r="AJ211">
        <v>1</v>
      </c>
      <c r="AK211">
        <v>1</v>
      </c>
      <c r="AL211">
        <v>1</v>
      </c>
      <c r="AM211">
        <v>4</v>
      </c>
      <c r="AN211">
        <v>0</v>
      </c>
      <c r="AO211">
        <v>0</v>
      </c>
      <c r="AP211">
        <v>1</v>
      </c>
      <c r="AQ211">
        <v>0</v>
      </c>
      <c r="AR211">
        <v>0</v>
      </c>
      <c r="AS211" t="s">
        <v>3</v>
      </c>
      <c r="AT211">
        <v>0.123</v>
      </c>
      <c r="AU211" t="s">
        <v>364</v>
      </c>
      <c r="AV211">
        <v>0</v>
      </c>
      <c r="AW211">
        <v>2</v>
      </c>
      <c r="AX211">
        <v>145041837</v>
      </c>
      <c r="AY211">
        <v>1</v>
      </c>
      <c r="AZ211">
        <v>0</v>
      </c>
      <c r="BA211">
        <v>211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ROUND(Y211*Source!I108,9)</f>
        <v>5.2582499999999997E-2</v>
      </c>
      <c r="CY211">
        <f>AA211</f>
        <v>0</v>
      </c>
      <c r="CZ211">
        <f>AE211</f>
        <v>0</v>
      </c>
      <c r="DA211">
        <f>AI211</f>
        <v>8.7100000000000009</v>
      </c>
      <c r="DB211">
        <f>ROUND((ROUND(AT211*CZ211,2)*5),2)</f>
        <v>0</v>
      </c>
      <c r="DC211">
        <f>ROUND((ROUND(AT211*AG211,2)*5),2)</f>
        <v>0</v>
      </c>
      <c r="DD211" t="s">
        <v>3</v>
      </c>
      <c r="DE211" t="s">
        <v>3</v>
      </c>
      <c r="DF211">
        <f>ROUND(ROUND(AE211*AI211,2)*CX211,2)</f>
        <v>0</v>
      </c>
      <c r="DG211">
        <f>ROUND(ROUND(AF211,2)*CX211,2)</f>
        <v>0</v>
      </c>
      <c r="DH211">
        <f>ROUND(ROUND(AG211,2)*CX211,2)</f>
        <v>0</v>
      </c>
      <c r="DI211">
        <f t="shared" si="65"/>
        <v>0</v>
      </c>
      <c r="DJ211">
        <f>DF211</f>
        <v>0</v>
      </c>
      <c r="DK211">
        <v>0</v>
      </c>
      <c r="DL211" t="s">
        <v>3</v>
      </c>
      <c r="DM211">
        <v>0</v>
      </c>
      <c r="DN211" t="s">
        <v>3</v>
      </c>
      <c r="DO211">
        <v>0</v>
      </c>
    </row>
    <row r="212" spans="1:119" x14ac:dyDescent="0.2">
      <c r="A212">
        <f>ROW(Source!A111)</f>
        <v>111</v>
      </c>
      <c r="B212">
        <v>145033679</v>
      </c>
      <c r="C212">
        <v>145041840</v>
      </c>
      <c r="D212">
        <v>140759979</v>
      </c>
      <c r="E212">
        <v>70</v>
      </c>
      <c r="F212">
        <v>1</v>
      </c>
      <c r="G212">
        <v>1</v>
      </c>
      <c r="H212">
        <v>1</v>
      </c>
      <c r="I212" t="s">
        <v>745</v>
      </c>
      <c r="J212" t="s">
        <v>3</v>
      </c>
      <c r="K212" t="s">
        <v>746</v>
      </c>
      <c r="L212">
        <v>1191</v>
      </c>
      <c r="N212">
        <v>1013</v>
      </c>
      <c r="O212" t="s">
        <v>725</v>
      </c>
      <c r="P212" t="s">
        <v>725</v>
      </c>
      <c r="Q212">
        <v>1</v>
      </c>
      <c r="W212">
        <v>0</v>
      </c>
      <c r="X212">
        <v>1049124552</v>
      </c>
      <c r="Y212">
        <f>((AT212*1.15)*1.15)</f>
        <v>132.97737499999999</v>
      </c>
      <c r="AA212">
        <v>0</v>
      </c>
      <c r="AB212">
        <v>0</v>
      </c>
      <c r="AC212">
        <v>0</v>
      </c>
      <c r="AD212">
        <v>260.51</v>
      </c>
      <c r="AE212">
        <v>0</v>
      </c>
      <c r="AF212">
        <v>0</v>
      </c>
      <c r="AG212">
        <v>0</v>
      </c>
      <c r="AH212">
        <v>8.5299999999999994</v>
      </c>
      <c r="AI212">
        <v>1</v>
      </c>
      <c r="AJ212">
        <v>1</v>
      </c>
      <c r="AK212">
        <v>1</v>
      </c>
      <c r="AL212">
        <v>30.54</v>
      </c>
      <c r="AM212">
        <v>4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100.55</v>
      </c>
      <c r="AU212" t="s">
        <v>91</v>
      </c>
      <c r="AV212">
        <v>1</v>
      </c>
      <c r="AW212">
        <v>2</v>
      </c>
      <c r="AX212">
        <v>145041841</v>
      </c>
      <c r="AY212">
        <v>1</v>
      </c>
      <c r="AZ212">
        <v>0</v>
      </c>
      <c r="BA212">
        <v>212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ROUND(Y212*Source!I111,9)</f>
        <v>4.1887873129999997</v>
      </c>
      <c r="CY212">
        <f>AD212</f>
        <v>260.51</v>
      </c>
      <c r="CZ212">
        <f>AH212</f>
        <v>8.5299999999999994</v>
      </c>
      <c r="DA212">
        <f>AL212</f>
        <v>30.54</v>
      </c>
      <c r="DB212">
        <f>ROUND(((ROUND(AT212*CZ212,2)*1.15)*1.15),2)</f>
        <v>1134.3</v>
      </c>
      <c r="DC212">
        <f>ROUND(((ROUND(AT212*AG212,2)*1.15)*1.15),2)</f>
        <v>0</v>
      </c>
      <c r="DD212" t="s">
        <v>3</v>
      </c>
      <c r="DE212" t="s">
        <v>3</v>
      </c>
      <c r="DF212">
        <f>ROUND(ROUND(AE212,2)*CX212,2)</f>
        <v>0</v>
      </c>
      <c r="DG212">
        <f>ROUND(ROUND(AF212,2)*CX212,2)</f>
        <v>0</v>
      </c>
      <c r="DH212">
        <f>ROUND(ROUND(AG212,2)*CX212,2)</f>
        <v>0</v>
      </c>
      <c r="DI212">
        <f>ROUND(ROUND(AH212*AL212,2)*CX212,2)</f>
        <v>1091.22</v>
      </c>
      <c r="DJ212">
        <f>DI212</f>
        <v>1091.22</v>
      </c>
      <c r="DK212">
        <v>0</v>
      </c>
      <c r="DL212" t="s">
        <v>3</v>
      </c>
      <c r="DM212">
        <v>0</v>
      </c>
      <c r="DN212" t="s">
        <v>3</v>
      </c>
      <c r="DO212">
        <v>0</v>
      </c>
    </row>
    <row r="213" spans="1:119" x14ac:dyDescent="0.2">
      <c r="A213">
        <f>ROW(Source!A111)</f>
        <v>111</v>
      </c>
      <c r="B213">
        <v>145033679</v>
      </c>
      <c r="C213">
        <v>145041840</v>
      </c>
      <c r="D213">
        <v>140760225</v>
      </c>
      <c r="E213">
        <v>70</v>
      </c>
      <c r="F213">
        <v>1</v>
      </c>
      <c r="G213">
        <v>1</v>
      </c>
      <c r="H213">
        <v>1</v>
      </c>
      <c r="I213" t="s">
        <v>730</v>
      </c>
      <c r="J213" t="s">
        <v>3</v>
      </c>
      <c r="K213" t="s">
        <v>731</v>
      </c>
      <c r="L213">
        <v>1191</v>
      </c>
      <c r="N213">
        <v>1013</v>
      </c>
      <c r="O213" t="s">
        <v>725</v>
      </c>
      <c r="P213" t="s">
        <v>725</v>
      </c>
      <c r="Q213">
        <v>1</v>
      </c>
      <c r="W213">
        <v>0</v>
      </c>
      <c r="X213">
        <v>-1417349443</v>
      </c>
      <c r="Y213">
        <f>((AT213*1.25)*1.15)</f>
        <v>0.61812499999999992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30.54</v>
      </c>
      <c r="AL213">
        <v>1</v>
      </c>
      <c r="AM213">
        <v>4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0.43</v>
      </c>
      <c r="AU213" t="s">
        <v>90</v>
      </c>
      <c r="AV213">
        <v>2</v>
      </c>
      <c r="AW213">
        <v>2</v>
      </c>
      <c r="AX213">
        <v>145041842</v>
      </c>
      <c r="AY213">
        <v>1</v>
      </c>
      <c r="AZ213">
        <v>0</v>
      </c>
      <c r="BA213">
        <v>213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ROUND(Y213*Source!I111,9)</f>
        <v>1.9470938E-2</v>
      </c>
      <c r="CY213">
        <f>AD213</f>
        <v>0</v>
      </c>
      <c r="CZ213">
        <f>AH213</f>
        <v>0</v>
      </c>
      <c r="DA213">
        <f>AL213</f>
        <v>1</v>
      </c>
      <c r="DB213">
        <f>ROUND(((ROUND(AT213*CZ213,2)*1.25)*1.15),2)</f>
        <v>0</v>
      </c>
      <c r="DC213">
        <f>ROUND(((ROUND(AT213*AG213,2)*1.25)*1.15),2)</f>
        <v>0</v>
      </c>
      <c r="DD213" t="s">
        <v>3</v>
      </c>
      <c r="DE213" t="s">
        <v>3</v>
      </c>
      <c r="DF213">
        <f>ROUND(ROUND(AE213,2)*CX213,2)</f>
        <v>0</v>
      </c>
      <c r="DG213">
        <f>ROUND(ROUND(AF213,2)*CX213,2)</f>
        <v>0</v>
      </c>
      <c r="DH213">
        <f>ROUND(ROUND(AG213*AK213,2)*CX213,2)</f>
        <v>0</v>
      </c>
      <c r="DI213">
        <f t="shared" ref="DI213:DI223" si="66">ROUND(ROUND(AH213,2)*CX213,2)</f>
        <v>0</v>
      </c>
      <c r="DJ213">
        <f>DI213</f>
        <v>0</v>
      </c>
      <c r="DK213">
        <v>0</v>
      </c>
      <c r="DL213" t="s">
        <v>3</v>
      </c>
      <c r="DM213">
        <v>0</v>
      </c>
      <c r="DN213" t="s">
        <v>3</v>
      </c>
      <c r="DO213">
        <v>0</v>
      </c>
    </row>
    <row r="214" spans="1:119" x14ac:dyDescent="0.2">
      <c r="A214">
        <f>ROW(Source!A111)</f>
        <v>111</v>
      </c>
      <c r="B214">
        <v>145033679</v>
      </c>
      <c r="C214">
        <v>145041840</v>
      </c>
      <c r="D214">
        <v>140922893</v>
      </c>
      <c r="E214">
        <v>1</v>
      </c>
      <c r="F214">
        <v>1</v>
      </c>
      <c r="G214">
        <v>1</v>
      </c>
      <c r="H214">
        <v>2</v>
      </c>
      <c r="I214" t="s">
        <v>749</v>
      </c>
      <c r="J214" t="s">
        <v>750</v>
      </c>
      <c r="K214" t="s">
        <v>751</v>
      </c>
      <c r="L214">
        <v>1367</v>
      </c>
      <c r="N214">
        <v>1011</v>
      </c>
      <c r="O214" t="s">
        <v>79</v>
      </c>
      <c r="P214" t="s">
        <v>79</v>
      </c>
      <c r="Q214">
        <v>1</v>
      </c>
      <c r="W214">
        <v>0</v>
      </c>
      <c r="X214">
        <v>-130837057</v>
      </c>
      <c r="Y214">
        <f>((AT214*1.25)*1.15)</f>
        <v>0.15812499999999999</v>
      </c>
      <c r="AA214">
        <v>0</v>
      </c>
      <c r="AB214">
        <v>1048.03</v>
      </c>
      <c r="AC214">
        <v>412.29</v>
      </c>
      <c r="AD214">
        <v>0</v>
      </c>
      <c r="AE214">
        <v>0</v>
      </c>
      <c r="AF214">
        <v>86.4</v>
      </c>
      <c r="AG214">
        <v>13.5</v>
      </c>
      <c r="AH214">
        <v>0</v>
      </c>
      <c r="AI214">
        <v>1</v>
      </c>
      <c r="AJ214">
        <v>12.13</v>
      </c>
      <c r="AK214">
        <v>30.54</v>
      </c>
      <c r="AL214">
        <v>1</v>
      </c>
      <c r="AM214">
        <v>4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3</v>
      </c>
      <c r="AT214">
        <v>0.11</v>
      </c>
      <c r="AU214" t="s">
        <v>90</v>
      </c>
      <c r="AV214">
        <v>0</v>
      </c>
      <c r="AW214">
        <v>2</v>
      </c>
      <c r="AX214">
        <v>145041843</v>
      </c>
      <c r="AY214">
        <v>1</v>
      </c>
      <c r="AZ214">
        <v>0</v>
      </c>
      <c r="BA214">
        <v>214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ROUND(Y214*Source!I111,9)</f>
        <v>4.9809379999999999E-3</v>
      </c>
      <c r="CY214">
        <f>AB214</f>
        <v>1048.03</v>
      </c>
      <c r="CZ214">
        <f>AF214</f>
        <v>86.4</v>
      </c>
      <c r="DA214">
        <f>AJ214</f>
        <v>12.13</v>
      </c>
      <c r="DB214">
        <f>ROUND(((ROUND(AT214*CZ214,2)*1.25)*1.15),2)</f>
        <v>13.66</v>
      </c>
      <c r="DC214">
        <f>ROUND(((ROUND(AT214*AG214,2)*1.25)*1.15),2)</f>
        <v>2.14</v>
      </c>
      <c r="DD214" t="s">
        <v>3</v>
      </c>
      <c r="DE214" t="s">
        <v>3</v>
      </c>
      <c r="DF214">
        <f>ROUND(ROUND(AE214,2)*CX214,2)</f>
        <v>0</v>
      </c>
      <c r="DG214">
        <f>ROUND(ROUND(AF214*AJ214,2)*CX214,2)</f>
        <v>5.22</v>
      </c>
      <c r="DH214">
        <f>ROUND(ROUND(AG214*AK214,2)*CX214,2)</f>
        <v>2.0499999999999998</v>
      </c>
      <c r="DI214">
        <f t="shared" si="66"/>
        <v>0</v>
      </c>
      <c r="DJ214">
        <f>DG214</f>
        <v>5.22</v>
      </c>
      <c r="DK214">
        <v>0</v>
      </c>
      <c r="DL214" t="s">
        <v>3</v>
      </c>
      <c r="DM214">
        <v>0</v>
      </c>
      <c r="DN214" t="s">
        <v>3</v>
      </c>
      <c r="DO214">
        <v>0</v>
      </c>
    </row>
    <row r="215" spans="1:119" x14ac:dyDescent="0.2">
      <c r="A215">
        <f>ROW(Source!A111)</f>
        <v>111</v>
      </c>
      <c r="B215">
        <v>145033679</v>
      </c>
      <c r="C215">
        <v>145041840</v>
      </c>
      <c r="D215">
        <v>140923885</v>
      </c>
      <c r="E215">
        <v>1</v>
      </c>
      <c r="F215">
        <v>1</v>
      </c>
      <c r="G215">
        <v>1</v>
      </c>
      <c r="H215">
        <v>2</v>
      </c>
      <c r="I215" t="s">
        <v>732</v>
      </c>
      <c r="J215" t="s">
        <v>733</v>
      </c>
      <c r="K215" t="s">
        <v>734</v>
      </c>
      <c r="L215">
        <v>1367</v>
      </c>
      <c r="N215">
        <v>1011</v>
      </c>
      <c r="O215" t="s">
        <v>79</v>
      </c>
      <c r="P215" t="s">
        <v>79</v>
      </c>
      <c r="Q215">
        <v>1</v>
      </c>
      <c r="W215">
        <v>0</v>
      </c>
      <c r="X215">
        <v>509054691</v>
      </c>
      <c r="Y215">
        <f>((AT215*1.25)*1.15)</f>
        <v>0.45999999999999996</v>
      </c>
      <c r="AA215">
        <v>0</v>
      </c>
      <c r="AB215">
        <v>797.06</v>
      </c>
      <c r="AC215">
        <v>354.26</v>
      </c>
      <c r="AD215">
        <v>0</v>
      </c>
      <c r="AE215">
        <v>0</v>
      </c>
      <c r="AF215">
        <v>65.709999999999994</v>
      </c>
      <c r="AG215">
        <v>11.6</v>
      </c>
      <c r="AH215">
        <v>0</v>
      </c>
      <c r="AI215">
        <v>1</v>
      </c>
      <c r="AJ215">
        <v>12.13</v>
      </c>
      <c r="AK215">
        <v>30.54</v>
      </c>
      <c r="AL215">
        <v>1</v>
      </c>
      <c r="AM215">
        <v>4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0.32</v>
      </c>
      <c r="AU215" t="s">
        <v>90</v>
      </c>
      <c r="AV215">
        <v>0</v>
      </c>
      <c r="AW215">
        <v>2</v>
      </c>
      <c r="AX215">
        <v>145041844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ROUND(Y215*Source!I111,9)</f>
        <v>1.4489999999999999E-2</v>
      </c>
      <c r="CY215">
        <f>AB215</f>
        <v>797.06</v>
      </c>
      <c r="CZ215">
        <f>AF215</f>
        <v>65.709999999999994</v>
      </c>
      <c r="DA215">
        <f>AJ215</f>
        <v>12.13</v>
      </c>
      <c r="DB215">
        <f>ROUND(((ROUND(AT215*CZ215,2)*1.25)*1.15),2)</f>
        <v>30.23</v>
      </c>
      <c r="DC215">
        <f>ROUND(((ROUND(AT215*AG215,2)*1.25)*1.15),2)</f>
        <v>5.33</v>
      </c>
      <c r="DD215" t="s">
        <v>3</v>
      </c>
      <c r="DE215" t="s">
        <v>3</v>
      </c>
      <c r="DF215">
        <f>ROUND(ROUND(AE215,2)*CX215,2)</f>
        <v>0</v>
      </c>
      <c r="DG215">
        <f>ROUND(ROUND(AF215*AJ215,2)*CX215,2)</f>
        <v>11.55</v>
      </c>
      <c r="DH215">
        <f>ROUND(ROUND(AG215*AK215,2)*CX215,2)</f>
        <v>5.13</v>
      </c>
      <c r="DI215">
        <f t="shared" si="66"/>
        <v>0</v>
      </c>
      <c r="DJ215">
        <f>DG215</f>
        <v>11.55</v>
      </c>
      <c r="DK215">
        <v>0</v>
      </c>
      <c r="DL215" t="s">
        <v>3</v>
      </c>
      <c r="DM215">
        <v>0</v>
      </c>
      <c r="DN215" t="s">
        <v>3</v>
      </c>
      <c r="DO215">
        <v>0</v>
      </c>
    </row>
    <row r="216" spans="1:119" x14ac:dyDescent="0.2">
      <c r="A216">
        <f>ROW(Source!A111)</f>
        <v>111</v>
      </c>
      <c r="B216">
        <v>145033679</v>
      </c>
      <c r="C216">
        <v>145041840</v>
      </c>
      <c r="D216">
        <v>140772692</v>
      </c>
      <c r="E216">
        <v>1</v>
      </c>
      <c r="F216">
        <v>1</v>
      </c>
      <c r="G216">
        <v>1</v>
      </c>
      <c r="H216">
        <v>3</v>
      </c>
      <c r="I216" t="s">
        <v>869</v>
      </c>
      <c r="J216" t="s">
        <v>870</v>
      </c>
      <c r="K216" t="s">
        <v>871</v>
      </c>
      <c r="L216">
        <v>1383</v>
      </c>
      <c r="N216">
        <v>1013</v>
      </c>
      <c r="O216" t="s">
        <v>872</v>
      </c>
      <c r="P216" t="s">
        <v>872</v>
      </c>
      <c r="Q216">
        <v>1</v>
      </c>
      <c r="W216">
        <v>0</v>
      </c>
      <c r="X216">
        <v>-180864722</v>
      </c>
      <c r="Y216">
        <f t="shared" ref="Y216:Y223" si="67">AT216</f>
        <v>25.54</v>
      </c>
      <c r="AA216">
        <v>3.48</v>
      </c>
      <c r="AB216">
        <v>0</v>
      </c>
      <c r="AC216">
        <v>0</v>
      </c>
      <c r="AD216">
        <v>0</v>
      </c>
      <c r="AE216">
        <v>0.4</v>
      </c>
      <c r="AF216">
        <v>0</v>
      </c>
      <c r="AG216">
        <v>0</v>
      </c>
      <c r="AH216">
        <v>0</v>
      </c>
      <c r="AI216">
        <v>8.7100000000000009</v>
      </c>
      <c r="AJ216">
        <v>1</v>
      </c>
      <c r="AK216">
        <v>1</v>
      </c>
      <c r="AL216">
        <v>1</v>
      </c>
      <c r="AM216">
        <v>4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25.54</v>
      </c>
      <c r="AU216" t="s">
        <v>3</v>
      </c>
      <c r="AV216">
        <v>0</v>
      </c>
      <c r="AW216">
        <v>2</v>
      </c>
      <c r="AX216">
        <v>145041845</v>
      </c>
      <c r="AY216">
        <v>1</v>
      </c>
      <c r="AZ216">
        <v>0</v>
      </c>
      <c r="BA216">
        <v>216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ROUND(Y216*Source!I111,9)</f>
        <v>0.80450999999999995</v>
      </c>
      <c r="CY216">
        <f t="shared" ref="CY216:CY223" si="68">AA216</f>
        <v>3.48</v>
      </c>
      <c r="CZ216">
        <f t="shared" ref="CZ216:CZ223" si="69">AE216</f>
        <v>0.4</v>
      </c>
      <c r="DA216">
        <f t="shared" ref="DA216:DA223" si="70">AI216</f>
        <v>8.7100000000000009</v>
      </c>
      <c r="DB216">
        <f t="shared" ref="DB216:DB223" si="71">ROUND(ROUND(AT216*CZ216,2),2)</f>
        <v>10.220000000000001</v>
      </c>
      <c r="DC216">
        <f t="shared" ref="DC216:DC223" si="72">ROUND(ROUND(AT216*AG216,2),2)</f>
        <v>0</v>
      </c>
      <c r="DD216" t="s">
        <v>3</v>
      </c>
      <c r="DE216" t="s">
        <v>3</v>
      </c>
      <c r="DF216">
        <f t="shared" ref="DF216:DF223" si="73">ROUND(ROUND(AE216*AI216,2)*CX216,2)</f>
        <v>2.8</v>
      </c>
      <c r="DG216">
        <f t="shared" ref="DG216:DG225" si="74">ROUND(ROUND(AF216,2)*CX216,2)</f>
        <v>0</v>
      </c>
      <c r="DH216">
        <f t="shared" ref="DH216:DH224" si="75">ROUND(ROUND(AG216,2)*CX216,2)</f>
        <v>0</v>
      </c>
      <c r="DI216">
        <f t="shared" si="66"/>
        <v>0</v>
      </c>
      <c r="DJ216">
        <f t="shared" ref="DJ216:DJ223" si="76">DF216</f>
        <v>2.8</v>
      </c>
      <c r="DK216">
        <v>0</v>
      </c>
      <c r="DL216" t="s">
        <v>3</v>
      </c>
      <c r="DM216">
        <v>0</v>
      </c>
      <c r="DN216" t="s">
        <v>3</v>
      </c>
      <c r="DO216">
        <v>0</v>
      </c>
    </row>
    <row r="217" spans="1:119" x14ac:dyDescent="0.2">
      <c r="A217">
        <f>ROW(Source!A111)</f>
        <v>111</v>
      </c>
      <c r="B217">
        <v>145033679</v>
      </c>
      <c r="C217">
        <v>145041840</v>
      </c>
      <c r="D217">
        <v>140760653</v>
      </c>
      <c r="E217">
        <v>70</v>
      </c>
      <c r="F217">
        <v>1</v>
      </c>
      <c r="G217">
        <v>1</v>
      </c>
      <c r="H217">
        <v>3</v>
      </c>
      <c r="I217" t="s">
        <v>942</v>
      </c>
      <c r="J217" t="s">
        <v>3</v>
      </c>
      <c r="K217" t="s">
        <v>943</v>
      </c>
      <c r="L217">
        <v>1425</v>
      </c>
      <c r="N217">
        <v>1013</v>
      </c>
      <c r="O217" t="s">
        <v>270</v>
      </c>
      <c r="P217" t="s">
        <v>270</v>
      </c>
      <c r="Q217">
        <v>1</v>
      </c>
      <c r="W217">
        <v>0</v>
      </c>
      <c r="X217">
        <v>-189972427</v>
      </c>
      <c r="Y217">
        <f t="shared" si="67"/>
        <v>33.28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8.7100000000000009</v>
      </c>
      <c r="AJ217">
        <v>1</v>
      </c>
      <c r="AK217">
        <v>1</v>
      </c>
      <c r="AL217">
        <v>1</v>
      </c>
      <c r="AM217">
        <v>4</v>
      </c>
      <c r="AN217">
        <v>0</v>
      </c>
      <c r="AO217">
        <v>0</v>
      </c>
      <c r="AP217">
        <v>0</v>
      </c>
      <c r="AQ217">
        <v>0</v>
      </c>
      <c r="AR217">
        <v>0</v>
      </c>
      <c r="AS217" t="s">
        <v>3</v>
      </c>
      <c r="AT217">
        <v>33.28</v>
      </c>
      <c r="AU217" t="s">
        <v>3</v>
      </c>
      <c r="AV217">
        <v>0</v>
      </c>
      <c r="AW217">
        <v>2</v>
      </c>
      <c r="AX217">
        <v>145041846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ROUND(Y217*Source!I111,9)</f>
        <v>1.0483199999999999</v>
      </c>
      <c r="CY217">
        <f t="shared" si="68"/>
        <v>0</v>
      </c>
      <c r="CZ217">
        <f t="shared" si="69"/>
        <v>0</v>
      </c>
      <c r="DA217">
        <f t="shared" si="70"/>
        <v>8.7100000000000009</v>
      </c>
      <c r="DB217">
        <f t="shared" si="71"/>
        <v>0</v>
      </c>
      <c r="DC217">
        <f t="shared" si="72"/>
        <v>0</v>
      </c>
      <c r="DD217" t="s">
        <v>3</v>
      </c>
      <c r="DE217" t="s">
        <v>3</v>
      </c>
      <c r="DF217">
        <f t="shared" si="73"/>
        <v>0</v>
      </c>
      <c r="DG217">
        <f t="shared" si="74"/>
        <v>0</v>
      </c>
      <c r="DH217">
        <f t="shared" si="75"/>
        <v>0</v>
      </c>
      <c r="DI217">
        <f t="shared" si="66"/>
        <v>0</v>
      </c>
      <c r="DJ217">
        <f t="shared" si="76"/>
        <v>0</v>
      </c>
      <c r="DK217">
        <v>0</v>
      </c>
      <c r="DL217" t="s">
        <v>3</v>
      </c>
      <c r="DM217">
        <v>0</v>
      </c>
      <c r="DN217" t="s">
        <v>3</v>
      </c>
      <c r="DO217">
        <v>0</v>
      </c>
    </row>
    <row r="218" spans="1:119" x14ac:dyDescent="0.2">
      <c r="A218">
        <f>ROW(Source!A111)</f>
        <v>111</v>
      </c>
      <c r="B218">
        <v>145033679</v>
      </c>
      <c r="C218">
        <v>145041840</v>
      </c>
      <c r="D218">
        <v>140760664</v>
      </c>
      <c r="E218">
        <v>70</v>
      </c>
      <c r="F218">
        <v>1</v>
      </c>
      <c r="G218">
        <v>1</v>
      </c>
      <c r="H218">
        <v>3</v>
      </c>
      <c r="I218" t="s">
        <v>944</v>
      </c>
      <c r="J218" t="s">
        <v>3</v>
      </c>
      <c r="K218" t="s">
        <v>945</v>
      </c>
      <c r="L218">
        <v>1425</v>
      </c>
      <c r="N218">
        <v>1013</v>
      </c>
      <c r="O218" t="s">
        <v>270</v>
      </c>
      <c r="P218" t="s">
        <v>270</v>
      </c>
      <c r="Q218">
        <v>1</v>
      </c>
      <c r="W218">
        <v>0</v>
      </c>
      <c r="X218">
        <v>546560497</v>
      </c>
      <c r="Y218">
        <f t="shared" si="67"/>
        <v>6.89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8.7100000000000009</v>
      </c>
      <c r="AJ218">
        <v>1</v>
      </c>
      <c r="AK218">
        <v>1</v>
      </c>
      <c r="AL218">
        <v>1</v>
      </c>
      <c r="AM218">
        <v>4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3</v>
      </c>
      <c r="AT218">
        <v>6.89</v>
      </c>
      <c r="AU218" t="s">
        <v>3</v>
      </c>
      <c r="AV218">
        <v>0</v>
      </c>
      <c r="AW218">
        <v>2</v>
      </c>
      <c r="AX218">
        <v>145041847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ROUND(Y218*Source!I111,9)</f>
        <v>0.21703500000000001</v>
      </c>
      <c r="CY218">
        <f t="shared" si="68"/>
        <v>0</v>
      </c>
      <c r="CZ218">
        <f t="shared" si="69"/>
        <v>0</v>
      </c>
      <c r="DA218">
        <f t="shared" si="70"/>
        <v>8.7100000000000009</v>
      </c>
      <c r="DB218">
        <f t="shared" si="71"/>
        <v>0</v>
      </c>
      <c r="DC218">
        <f t="shared" si="72"/>
        <v>0</v>
      </c>
      <c r="DD218" t="s">
        <v>3</v>
      </c>
      <c r="DE218" t="s">
        <v>3</v>
      </c>
      <c r="DF218">
        <f t="shared" si="73"/>
        <v>0</v>
      </c>
      <c r="DG218">
        <f t="shared" si="74"/>
        <v>0</v>
      </c>
      <c r="DH218">
        <f t="shared" si="75"/>
        <v>0</v>
      </c>
      <c r="DI218">
        <f t="shared" si="66"/>
        <v>0</v>
      </c>
      <c r="DJ218">
        <f t="shared" si="76"/>
        <v>0</v>
      </c>
      <c r="DK218">
        <v>0</v>
      </c>
      <c r="DL218" t="s">
        <v>3</v>
      </c>
      <c r="DM218">
        <v>0</v>
      </c>
      <c r="DN218" t="s">
        <v>3</v>
      </c>
      <c r="DO218">
        <v>0</v>
      </c>
    </row>
    <row r="219" spans="1:119" x14ac:dyDescent="0.2">
      <c r="A219">
        <f>ROW(Source!A111)</f>
        <v>111</v>
      </c>
      <c r="B219">
        <v>145033679</v>
      </c>
      <c r="C219">
        <v>145041840</v>
      </c>
      <c r="D219">
        <v>140760703</v>
      </c>
      <c r="E219">
        <v>70</v>
      </c>
      <c r="F219">
        <v>1</v>
      </c>
      <c r="G219">
        <v>1</v>
      </c>
      <c r="H219">
        <v>3</v>
      </c>
      <c r="I219" t="s">
        <v>946</v>
      </c>
      <c r="J219" t="s">
        <v>3</v>
      </c>
      <c r="K219" t="s">
        <v>947</v>
      </c>
      <c r="L219">
        <v>1371</v>
      </c>
      <c r="N219">
        <v>1013</v>
      </c>
      <c r="O219" t="s">
        <v>222</v>
      </c>
      <c r="P219" t="s">
        <v>222</v>
      </c>
      <c r="Q219">
        <v>1</v>
      </c>
      <c r="W219">
        <v>0</v>
      </c>
      <c r="X219">
        <v>540988639</v>
      </c>
      <c r="Y219">
        <f t="shared" si="67"/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8.7100000000000009</v>
      </c>
      <c r="AJ219">
        <v>1</v>
      </c>
      <c r="AK219">
        <v>1</v>
      </c>
      <c r="AL219">
        <v>1</v>
      </c>
      <c r="AM219">
        <v>4</v>
      </c>
      <c r="AN219">
        <v>1</v>
      </c>
      <c r="AO219">
        <v>0</v>
      </c>
      <c r="AP219">
        <v>0</v>
      </c>
      <c r="AQ219">
        <v>0</v>
      </c>
      <c r="AR219">
        <v>0</v>
      </c>
      <c r="AS219" t="s">
        <v>3</v>
      </c>
      <c r="AT219">
        <v>0</v>
      </c>
      <c r="AU219" t="s">
        <v>3</v>
      </c>
      <c r="AV219">
        <v>0</v>
      </c>
      <c r="AW219">
        <v>2</v>
      </c>
      <c r="AX219">
        <v>145041848</v>
      </c>
      <c r="AY219">
        <v>1</v>
      </c>
      <c r="AZ219">
        <v>0</v>
      </c>
      <c r="BA219">
        <v>219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ROUND(Y219*Source!I111,9)</f>
        <v>0</v>
      </c>
      <c r="CY219">
        <f t="shared" si="68"/>
        <v>0</v>
      </c>
      <c r="CZ219">
        <f t="shared" si="69"/>
        <v>0</v>
      </c>
      <c r="DA219">
        <f t="shared" si="70"/>
        <v>8.7100000000000009</v>
      </c>
      <c r="DB219">
        <f t="shared" si="71"/>
        <v>0</v>
      </c>
      <c r="DC219">
        <f t="shared" si="72"/>
        <v>0</v>
      </c>
      <c r="DD219" t="s">
        <v>3</v>
      </c>
      <c r="DE219" t="s">
        <v>3</v>
      </c>
      <c r="DF219">
        <f t="shared" si="73"/>
        <v>0</v>
      </c>
      <c r="DG219">
        <f t="shared" si="74"/>
        <v>0</v>
      </c>
      <c r="DH219">
        <f t="shared" si="75"/>
        <v>0</v>
      </c>
      <c r="DI219">
        <f t="shared" si="66"/>
        <v>0</v>
      </c>
      <c r="DJ219">
        <f t="shared" si="76"/>
        <v>0</v>
      </c>
      <c r="DK219">
        <v>0</v>
      </c>
      <c r="DL219" t="s">
        <v>3</v>
      </c>
      <c r="DM219">
        <v>0</v>
      </c>
      <c r="DN219" t="s">
        <v>3</v>
      </c>
      <c r="DO219">
        <v>0</v>
      </c>
    </row>
    <row r="220" spans="1:119" x14ac:dyDescent="0.2">
      <c r="A220">
        <f>ROW(Source!A111)</f>
        <v>111</v>
      </c>
      <c r="B220">
        <v>145033679</v>
      </c>
      <c r="C220">
        <v>145041840</v>
      </c>
      <c r="D220">
        <v>140760728</v>
      </c>
      <c r="E220">
        <v>70</v>
      </c>
      <c r="F220">
        <v>1</v>
      </c>
      <c r="G220">
        <v>1</v>
      </c>
      <c r="H220">
        <v>3</v>
      </c>
      <c r="I220" t="s">
        <v>856</v>
      </c>
      <c r="J220" t="s">
        <v>3</v>
      </c>
      <c r="K220" t="s">
        <v>948</v>
      </c>
      <c r="L220">
        <v>1371</v>
      </c>
      <c r="N220">
        <v>1013</v>
      </c>
      <c r="O220" t="s">
        <v>222</v>
      </c>
      <c r="P220" t="s">
        <v>222</v>
      </c>
      <c r="Q220">
        <v>1</v>
      </c>
      <c r="W220">
        <v>0</v>
      </c>
      <c r="X220">
        <v>-1767541</v>
      </c>
      <c r="Y220">
        <f t="shared" si="67"/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8.7100000000000009</v>
      </c>
      <c r="AJ220">
        <v>1</v>
      </c>
      <c r="AK220">
        <v>1</v>
      </c>
      <c r="AL220">
        <v>1</v>
      </c>
      <c r="AM220">
        <v>4</v>
      </c>
      <c r="AN220">
        <v>1</v>
      </c>
      <c r="AO220">
        <v>0</v>
      </c>
      <c r="AP220">
        <v>0</v>
      </c>
      <c r="AQ220">
        <v>0</v>
      </c>
      <c r="AR220">
        <v>0</v>
      </c>
      <c r="AS220" t="s">
        <v>3</v>
      </c>
      <c r="AT220">
        <v>0</v>
      </c>
      <c r="AU220" t="s">
        <v>3</v>
      </c>
      <c r="AV220">
        <v>0</v>
      </c>
      <c r="AW220">
        <v>2</v>
      </c>
      <c r="AX220">
        <v>145041849</v>
      </c>
      <c r="AY220">
        <v>1</v>
      </c>
      <c r="AZ220">
        <v>0</v>
      </c>
      <c r="BA220">
        <v>220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ROUND(Y220*Source!I111,9)</f>
        <v>0</v>
      </c>
      <c r="CY220">
        <f t="shared" si="68"/>
        <v>0</v>
      </c>
      <c r="CZ220">
        <f t="shared" si="69"/>
        <v>0</v>
      </c>
      <c r="DA220">
        <f t="shared" si="70"/>
        <v>8.7100000000000009</v>
      </c>
      <c r="DB220">
        <f t="shared" si="71"/>
        <v>0</v>
      </c>
      <c r="DC220">
        <f t="shared" si="72"/>
        <v>0</v>
      </c>
      <c r="DD220" t="s">
        <v>3</v>
      </c>
      <c r="DE220" t="s">
        <v>3</v>
      </c>
      <c r="DF220">
        <f t="shared" si="73"/>
        <v>0</v>
      </c>
      <c r="DG220">
        <f t="shared" si="74"/>
        <v>0</v>
      </c>
      <c r="DH220">
        <f t="shared" si="75"/>
        <v>0</v>
      </c>
      <c r="DI220">
        <f t="shared" si="66"/>
        <v>0</v>
      </c>
      <c r="DJ220">
        <f t="shared" si="76"/>
        <v>0</v>
      </c>
      <c r="DK220">
        <v>0</v>
      </c>
      <c r="DL220" t="s">
        <v>3</v>
      </c>
      <c r="DM220">
        <v>0</v>
      </c>
      <c r="DN220" t="s">
        <v>3</v>
      </c>
      <c r="DO220">
        <v>0</v>
      </c>
    </row>
    <row r="221" spans="1:119" x14ac:dyDescent="0.2">
      <c r="A221">
        <f>ROW(Source!A111)</f>
        <v>111</v>
      </c>
      <c r="B221">
        <v>145033679</v>
      </c>
      <c r="C221">
        <v>145041840</v>
      </c>
      <c r="D221">
        <v>140760732</v>
      </c>
      <c r="E221">
        <v>70</v>
      </c>
      <c r="F221">
        <v>1</v>
      </c>
      <c r="G221">
        <v>1</v>
      </c>
      <c r="H221">
        <v>3</v>
      </c>
      <c r="I221" t="s">
        <v>856</v>
      </c>
      <c r="J221" t="s">
        <v>3</v>
      </c>
      <c r="K221" t="s">
        <v>949</v>
      </c>
      <c r="L221">
        <v>1371</v>
      </c>
      <c r="N221">
        <v>1013</v>
      </c>
      <c r="O221" t="s">
        <v>222</v>
      </c>
      <c r="P221" t="s">
        <v>222</v>
      </c>
      <c r="Q221">
        <v>1</v>
      </c>
      <c r="W221">
        <v>0</v>
      </c>
      <c r="X221">
        <v>-941633171</v>
      </c>
      <c r="Y221">
        <f t="shared" si="67"/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8.7100000000000009</v>
      </c>
      <c r="AJ221">
        <v>1</v>
      </c>
      <c r="AK221">
        <v>1</v>
      </c>
      <c r="AL221">
        <v>1</v>
      </c>
      <c r="AM221">
        <v>4</v>
      </c>
      <c r="AN221">
        <v>1</v>
      </c>
      <c r="AO221">
        <v>0</v>
      </c>
      <c r="AP221">
        <v>0</v>
      </c>
      <c r="AQ221">
        <v>0</v>
      </c>
      <c r="AR221">
        <v>0</v>
      </c>
      <c r="AS221" t="s">
        <v>3</v>
      </c>
      <c r="AT221">
        <v>0</v>
      </c>
      <c r="AU221" t="s">
        <v>3</v>
      </c>
      <c r="AV221">
        <v>0</v>
      </c>
      <c r="AW221">
        <v>2</v>
      </c>
      <c r="AX221">
        <v>145041850</v>
      </c>
      <c r="AY221">
        <v>1</v>
      </c>
      <c r="AZ221">
        <v>0</v>
      </c>
      <c r="BA221">
        <v>221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ROUND(Y221*Source!I111,9)</f>
        <v>0</v>
      </c>
      <c r="CY221">
        <f t="shared" si="68"/>
        <v>0</v>
      </c>
      <c r="CZ221">
        <f t="shared" si="69"/>
        <v>0</v>
      </c>
      <c r="DA221">
        <f t="shared" si="70"/>
        <v>8.7100000000000009</v>
      </c>
      <c r="DB221">
        <f t="shared" si="71"/>
        <v>0</v>
      </c>
      <c r="DC221">
        <f t="shared" si="72"/>
        <v>0</v>
      </c>
      <c r="DD221" t="s">
        <v>3</v>
      </c>
      <c r="DE221" t="s">
        <v>3</v>
      </c>
      <c r="DF221">
        <f t="shared" si="73"/>
        <v>0</v>
      </c>
      <c r="DG221">
        <f t="shared" si="74"/>
        <v>0</v>
      </c>
      <c r="DH221">
        <f t="shared" si="75"/>
        <v>0</v>
      </c>
      <c r="DI221">
        <f t="shared" si="66"/>
        <v>0</v>
      </c>
      <c r="DJ221">
        <f t="shared" si="76"/>
        <v>0</v>
      </c>
      <c r="DK221">
        <v>0</v>
      </c>
      <c r="DL221" t="s">
        <v>3</v>
      </c>
      <c r="DM221">
        <v>0</v>
      </c>
      <c r="DN221" t="s">
        <v>3</v>
      </c>
      <c r="DO221">
        <v>0</v>
      </c>
    </row>
    <row r="222" spans="1:119" x14ac:dyDescent="0.2">
      <c r="A222">
        <f>ROW(Source!A111)</f>
        <v>111</v>
      </c>
      <c r="B222">
        <v>145033679</v>
      </c>
      <c r="C222">
        <v>145041840</v>
      </c>
      <c r="D222">
        <v>140789545</v>
      </c>
      <c r="E222">
        <v>1</v>
      </c>
      <c r="F222">
        <v>1</v>
      </c>
      <c r="G222">
        <v>1</v>
      </c>
      <c r="H222">
        <v>3</v>
      </c>
      <c r="I222" t="s">
        <v>950</v>
      </c>
      <c r="J222" t="s">
        <v>951</v>
      </c>
      <c r="K222" t="s">
        <v>952</v>
      </c>
      <c r="L222">
        <v>1301</v>
      </c>
      <c r="N222">
        <v>1003</v>
      </c>
      <c r="O222" t="s">
        <v>213</v>
      </c>
      <c r="P222" t="s">
        <v>213</v>
      </c>
      <c r="Q222">
        <v>1</v>
      </c>
      <c r="W222">
        <v>0</v>
      </c>
      <c r="X222">
        <v>178403810</v>
      </c>
      <c r="Y222">
        <f t="shared" si="67"/>
        <v>197.05</v>
      </c>
      <c r="AA222">
        <v>205.64</v>
      </c>
      <c r="AB222">
        <v>0</v>
      </c>
      <c r="AC222">
        <v>0</v>
      </c>
      <c r="AD222">
        <v>0</v>
      </c>
      <c r="AE222">
        <v>23.61</v>
      </c>
      <c r="AF222">
        <v>0</v>
      </c>
      <c r="AG222">
        <v>0</v>
      </c>
      <c r="AH222">
        <v>0</v>
      </c>
      <c r="AI222">
        <v>8.7100000000000009</v>
      </c>
      <c r="AJ222">
        <v>1</v>
      </c>
      <c r="AK222">
        <v>1</v>
      </c>
      <c r="AL222">
        <v>1</v>
      </c>
      <c r="AM222">
        <v>4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197.05</v>
      </c>
      <c r="AU222" t="s">
        <v>3</v>
      </c>
      <c r="AV222">
        <v>0</v>
      </c>
      <c r="AW222">
        <v>2</v>
      </c>
      <c r="AX222">
        <v>145041851</v>
      </c>
      <c r="AY222">
        <v>1</v>
      </c>
      <c r="AZ222">
        <v>0</v>
      </c>
      <c r="BA222">
        <v>222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ROUND(Y222*Source!I111,9)</f>
        <v>6.2070749999999997</v>
      </c>
      <c r="CY222">
        <f t="shared" si="68"/>
        <v>205.64</v>
      </c>
      <c r="CZ222">
        <f t="shared" si="69"/>
        <v>23.61</v>
      </c>
      <c r="DA222">
        <f t="shared" si="70"/>
        <v>8.7100000000000009</v>
      </c>
      <c r="DB222">
        <f t="shared" si="71"/>
        <v>4652.3500000000004</v>
      </c>
      <c r="DC222">
        <f t="shared" si="72"/>
        <v>0</v>
      </c>
      <c r="DD222" t="s">
        <v>3</v>
      </c>
      <c r="DE222" t="s">
        <v>3</v>
      </c>
      <c r="DF222">
        <f t="shared" si="73"/>
        <v>1276.42</v>
      </c>
      <c r="DG222">
        <f t="shared" si="74"/>
        <v>0</v>
      </c>
      <c r="DH222">
        <f t="shared" si="75"/>
        <v>0</v>
      </c>
      <c r="DI222">
        <f t="shared" si="66"/>
        <v>0</v>
      </c>
      <c r="DJ222">
        <f t="shared" si="76"/>
        <v>1276.42</v>
      </c>
      <c r="DK222">
        <v>0</v>
      </c>
      <c r="DL222" t="s">
        <v>3</v>
      </c>
      <c r="DM222">
        <v>0</v>
      </c>
      <c r="DN222" t="s">
        <v>3</v>
      </c>
      <c r="DO222">
        <v>0</v>
      </c>
    </row>
    <row r="223" spans="1:119" x14ac:dyDescent="0.2">
      <c r="A223">
        <f>ROW(Source!A111)</f>
        <v>111</v>
      </c>
      <c r="B223">
        <v>145033679</v>
      </c>
      <c r="C223">
        <v>145041840</v>
      </c>
      <c r="D223">
        <v>140790797</v>
      </c>
      <c r="E223">
        <v>1</v>
      </c>
      <c r="F223">
        <v>1</v>
      </c>
      <c r="G223">
        <v>1</v>
      </c>
      <c r="H223">
        <v>3</v>
      </c>
      <c r="I223" t="s">
        <v>374</v>
      </c>
      <c r="J223" t="s">
        <v>376</v>
      </c>
      <c r="K223" t="s">
        <v>375</v>
      </c>
      <c r="L223">
        <v>1327</v>
      </c>
      <c r="N223">
        <v>1005</v>
      </c>
      <c r="O223" t="s">
        <v>131</v>
      </c>
      <c r="P223" t="s">
        <v>131</v>
      </c>
      <c r="Q223">
        <v>1</v>
      </c>
      <c r="W223">
        <v>1</v>
      </c>
      <c r="X223">
        <v>37550452</v>
      </c>
      <c r="Y223">
        <f t="shared" si="67"/>
        <v>-110.23</v>
      </c>
      <c r="AA223">
        <v>1107.82</v>
      </c>
      <c r="AB223">
        <v>0</v>
      </c>
      <c r="AC223">
        <v>0</v>
      </c>
      <c r="AD223">
        <v>0</v>
      </c>
      <c r="AE223">
        <v>127.19</v>
      </c>
      <c r="AF223">
        <v>0</v>
      </c>
      <c r="AG223">
        <v>0</v>
      </c>
      <c r="AH223">
        <v>0</v>
      </c>
      <c r="AI223">
        <v>8.7100000000000009</v>
      </c>
      <c r="AJ223">
        <v>1</v>
      </c>
      <c r="AK223">
        <v>1</v>
      </c>
      <c r="AL223">
        <v>1</v>
      </c>
      <c r="AM223">
        <v>4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-110.23</v>
      </c>
      <c r="AU223" t="s">
        <v>3</v>
      </c>
      <c r="AV223">
        <v>0</v>
      </c>
      <c r="AW223">
        <v>2</v>
      </c>
      <c r="AX223">
        <v>145041852</v>
      </c>
      <c r="AY223">
        <v>1</v>
      </c>
      <c r="AZ223">
        <v>6144</v>
      </c>
      <c r="BA223">
        <v>223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ROUND(Y223*Source!I111,9)</f>
        <v>-3.472245</v>
      </c>
      <c r="CY223">
        <f t="shared" si="68"/>
        <v>1107.82</v>
      </c>
      <c r="CZ223">
        <f t="shared" si="69"/>
        <v>127.19</v>
      </c>
      <c r="DA223">
        <f t="shared" si="70"/>
        <v>8.7100000000000009</v>
      </c>
      <c r="DB223">
        <f t="shared" si="71"/>
        <v>-14020.15</v>
      </c>
      <c r="DC223">
        <f t="shared" si="72"/>
        <v>0</v>
      </c>
      <c r="DD223" t="s">
        <v>3</v>
      </c>
      <c r="DE223" t="s">
        <v>3</v>
      </c>
      <c r="DF223">
        <f t="shared" si="73"/>
        <v>-3846.62</v>
      </c>
      <c r="DG223">
        <f t="shared" si="74"/>
        <v>0</v>
      </c>
      <c r="DH223">
        <f t="shared" si="75"/>
        <v>0</v>
      </c>
      <c r="DI223">
        <f t="shared" si="66"/>
        <v>0</v>
      </c>
      <c r="DJ223">
        <f t="shared" si="76"/>
        <v>-3846.62</v>
      </c>
      <c r="DK223">
        <v>0</v>
      </c>
      <c r="DL223" t="s">
        <v>3</v>
      </c>
      <c r="DM223">
        <v>0</v>
      </c>
      <c r="DN223" t="s">
        <v>3</v>
      </c>
      <c r="DO223">
        <v>0</v>
      </c>
    </row>
    <row r="224" spans="1:119" x14ac:dyDescent="0.2">
      <c r="A224">
        <f>ROW(Source!A114)</f>
        <v>114</v>
      </c>
      <c r="B224">
        <v>145033679</v>
      </c>
      <c r="C224">
        <v>145041862</v>
      </c>
      <c r="D224">
        <v>140759982</v>
      </c>
      <c r="E224">
        <v>70</v>
      </c>
      <c r="F224">
        <v>1</v>
      </c>
      <c r="G224">
        <v>1</v>
      </c>
      <c r="H224">
        <v>1</v>
      </c>
      <c r="I224" t="s">
        <v>797</v>
      </c>
      <c r="J224" t="s">
        <v>3</v>
      </c>
      <c r="K224" t="s">
        <v>798</v>
      </c>
      <c r="L224">
        <v>1191</v>
      </c>
      <c r="N224">
        <v>1013</v>
      </c>
      <c r="O224" t="s">
        <v>725</v>
      </c>
      <c r="P224" t="s">
        <v>725</v>
      </c>
      <c r="Q224">
        <v>1</v>
      </c>
      <c r="W224">
        <v>0</v>
      </c>
      <c r="X224">
        <v>-983457869</v>
      </c>
      <c r="Y224">
        <f t="shared" ref="Y224:Y230" si="77">(AT224*1.15)</f>
        <v>190.76199999999997</v>
      </c>
      <c r="AA224">
        <v>0</v>
      </c>
      <c r="AB224">
        <v>0</v>
      </c>
      <c r="AC224">
        <v>0</v>
      </c>
      <c r="AD224">
        <v>263.87</v>
      </c>
      <c r="AE224">
        <v>0</v>
      </c>
      <c r="AF224">
        <v>0</v>
      </c>
      <c r="AG224">
        <v>0</v>
      </c>
      <c r="AH224">
        <v>8.64</v>
      </c>
      <c r="AI224">
        <v>1</v>
      </c>
      <c r="AJ224">
        <v>1</v>
      </c>
      <c r="AK224">
        <v>1</v>
      </c>
      <c r="AL224">
        <v>30.54</v>
      </c>
      <c r="AM224">
        <v>4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165.88</v>
      </c>
      <c r="AU224" t="s">
        <v>21</v>
      </c>
      <c r="AV224">
        <v>1</v>
      </c>
      <c r="AW224">
        <v>2</v>
      </c>
      <c r="AX224">
        <v>145041863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ROUND(Y224*Source!I114,9)</f>
        <v>13.60896108</v>
      </c>
      <c r="CY224">
        <f>AD224</f>
        <v>263.87</v>
      </c>
      <c r="CZ224">
        <f>AH224</f>
        <v>8.64</v>
      </c>
      <c r="DA224">
        <f>AL224</f>
        <v>30.54</v>
      </c>
      <c r="DB224">
        <f t="shared" ref="DB224:DB230" si="78">ROUND((ROUND(AT224*CZ224,2)*1.15),2)</f>
        <v>1648.18</v>
      </c>
      <c r="DC224">
        <f t="shared" ref="DC224:DC230" si="79">ROUND((ROUND(AT224*AG224,2)*1.15),2)</f>
        <v>0</v>
      </c>
      <c r="DD224" t="s">
        <v>3</v>
      </c>
      <c r="DE224" t="s">
        <v>3</v>
      </c>
      <c r="DF224">
        <f t="shared" ref="DF224:DF230" si="80">ROUND(ROUND(AE224,2)*CX224,2)</f>
        <v>0</v>
      </c>
      <c r="DG224">
        <f t="shared" si="74"/>
        <v>0</v>
      </c>
      <c r="DH224">
        <f t="shared" si="75"/>
        <v>0</v>
      </c>
      <c r="DI224">
        <f>ROUND(ROUND(AH224*AL224,2)*CX224,2)</f>
        <v>3591</v>
      </c>
      <c r="DJ224">
        <f>DI224</f>
        <v>3591</v>
      </c>
      <c r="DK224">
        <v>0</v>
      </c>
      <c r="DL224" t="s">
        <v>3</v>
      </c>
      <c r="DM224">
        <v>0</v>
      </c>
      <c r="DN224" t="s">
        <v>3</v>
      </c>
      <c r="DO224">
        <v>0</v>
      </c>
    </row>
    <row r="225" spans="1:119" x14ac:dyDescent="0.2">
      <c r="A225">
        <f>ROW(Source!A114)</f>
        <v>114</v>
      </c>
      <c r="B225">
        <v>145033679</v>
      </c>
      <c r="C225">
        <v>145041862</v>
      </c>
      <c r="D225">
        <v>140760225</v>
      </c>
      <c r="E225">
        <v>70</v>
      </c>
      <c r="F225">
        <v>1</v>
      </c>
      <c r="G225">
        <v>1</v>
      </c>
      <c r="H225">
        <v>1</v>
      </c>
      <c r="I225" t="s">
        <v>730</v>
      </c>
      <c r="J225" t="s">
        <v>3</v>
      </c>
      <c r="K225" t="s">
        <v>731</v>
      </c>
      <c r="L225">
        <v>1191</v>
      </c>
      <c r="N225">
        <v>1013</v>
      </c>
      <c r="O225" t="s">
        <v>725</v>
      </c>
      <c r="P225" t="s">
        <v>725</v>
      </c>
      <c r="Q225">
        <v>1</v>
      </c>
      <c r="W225">
        <v>0</v>
      </c>
      <c r="X225">
        <v>-1417349443</v>
      </c>
      <c r="Y225">
        <f t="shared" si="77"/>
        <v>0.77049999999999996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30.54</v>
      </c>
      <c r="AL225">
        <v>1</v>
      </c>
      <c r="AM225">
        <v>4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0.67</v>
      </c>
      <c r="AU225" t="s">
        <v>21</v>
      </c>
      <c r="AV225">
        <v>2</v>
      </c>
      <c r="AW225">
        <v>2</v>
      </c>
      <c r="AX225">
        <v>145041864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ROUND(Y225*Source!I114,9)</f>
        <v>5.4967469999999997E-2</v>
      </c>
      <c r="CY225">
        <f>AD225</f>
        <v>0</v>
      </c>
      <c r="CZ225">
        <f>AH225</f>
        <v>0</v>
      </c>
      <c r="DA225">
        <f>AL225</f>
        <v>1</v>
      </c>
      <c r="DB225">
        <f t="shared" si="78"/>
        <v>0</v>
      </c>
      <c r="DC225">
        <f t="shared" si="79"/>
        <v>0</v>
      </c>
      <c r="DD225" t="s">
        <v>3</v>
      </c>
      <c r="DE225" t="s">
        <v>3</v>
      </c>
      <c r="DF225">
        <f t="shared" si="80"/>
        <v>0</v>
      </c>
      <c r="DG225">
        <f t="shared" si="74"/>
        <v>0</v>
      </c>
      <c r="DH225">
        <f t="shared" ref="DH225:DH230" si="81">ROUND(ROUND(AG225*AK225,2)*CX225,2)</f>
        <v>0</v>
      </c>
      <c r="DI225">
        <f t="shared" ref="DI225:DI234" si="82">ROUND(ROUND(AH225,2)*CX225,2)</f>
        <v>0</v>
      </c>
      <c r="DJ225">
        <f>DI225</f>
        <v>0</v>
      </c>
      <c r="DK225">
        <v>0</v>
      </c>
      <c r="DL225" t="s">
        <v>3</v>
      </c>
      <c r="DM225">
        <v>0</v>
      </c>
      <c r="DN225" t="s">
        <v>3</v>
      </c>
      <c r="DO225">
        <v>0</v>
      </c>
    </row>
    <row r="226" spans="1:119" x14ac:dyDescent="0.2">
      <c r="A226">
        <f>ROW(Source!A114)</f>
        <v>114</v>
      </c>
      <c r="B226">
        <v>145033679</v>
      </c>
      <c r="C226">
        <v>145041862</v>
      </c>
      <c r="D226">
        <v>140923086</v>
      </c>
      <c r="E226">
        <v>1</v>
      </c>
      <c r="F226">
        <v>1</v>
      </c>
      <c r="G226">
        <v>1</v>
      </c>
      <c r="H226">
        <v>2</v>
      </c>
      <c r="I226" t="s">
        <v>953</v>
      </c>
      <c r="J226" t="s">
        <v>954</v>
      </c>
      <c r="K226" t="s">
        <v>955</v>
      </c>
      <c r="L226">
        <v>1367</v>
      </c>
      <c r="N226">
        <v>1011</v>
      </c>
      <c r="O226" t="s">
        <v>79</v>
      </c>
      <c r="P226" t="s">
        <v>79</v>
      </c>
      <c r="Q226">
        <v>1</v>
      </c>
      <c r="W226">
        <v>0</v>
      </c>
      <c r="X226">
        <v>208619310</v>
      </c>
      <c r="Y226">
        <f t="shared" si="77"/>
        <v>0.184</v>
      </c>
      <c r="AA226">
        <v>0</v>
      </c>
      <c r="AB226">
        <v>20.62</v>
      </c>
      <c r="AC226">
        <v>0</v>
      </c>
      <c r="AD226">
        <v>0</v>
      </c>
      <c r="AE226">
        <v>0</v>
      </c>
      <c r="AF226">
        <v>1.7</v>
      </c>
      <c r="AG226">
        <v>0</v>
      </c>
      <c r="AH226">
        <v>0</v>
      </c>
      <c r="AI226">
        <v>1</v>
      </c>
      <c r="AJ226">
        <v>12.13</v>
      </c>
      <c r="AK226">
        <v>30.54</v>
      </c>
      <c r="AL226">
        <v>1</v>
      </c>
      <c r="AM226">
        <v>4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0.16</v>
      </c>
      <c r="AU226" t="s">
        <v>21</v>
      </c>
      <c r="AV226">
        <v>0</v>
      </c>
      <c r="AW226">
        <v>2</v>
      </c>
      <c r="AX226">
        <v>145041865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ROUND(Y226*Source!I114,9)</f>
        <v>1.3126560000000001E-2</v>
      </c>
      <c r="CY226">
        <f>AB226</f>
        <v>20.62</v>
      </c>
      <c r="CZ226">
        <f>AF226</f>
        <v>1.7</v>
      </c>
      <c r="DA226">
        <f>AJ226</f>
        <v>12.13</v>
      </c>
      <c r="DB226">
        <f t="shared" si="78"/>
        <v>0.31</v>
      </c>
      <c r="DC226">
        <f t="shared" si="79"/>
        <v>0</v>
      </c>
      <c r="DD226" t="s">
        <v>3</v>
      </c>
      <c r="DE226" t="s">
        <v>3</v>
      </c>
      <c r="DF226">
        <f t="shared" si="80"/>
        <v>0</v>
      </c>
      <c r="DG226">
        <f>ROUND(ROUND(AF226*AJ226,2)*CX226,2)</f>
        <v>0.27</v>
      </c>
      <c r="DH226">
        <f t="shared" si="81"/>
        <v>0</v>
      </c>
      <c r="DI226">
        <f t="shared" si="82"/>
        <v>0</v>
      </c>
      <c r="DJ226">
        <f>DG226</f>
        <v>0.27</v>
      </c>
      <c r="DK226">
        <v>0</v>
      </c>
      <c r="DL226" t="s">
        <v>3</v>
      </c>
      <c r="DM226">
        <v>0</v>
      </c>
      <c r="DN226" t="s">
        <v>3</v>
      </c>
      <c r="DO226">
        <v>0</v>
      </c>
    </row>
    <row r="227" spans="1:119" x14ac:dyDescent="0.2">
      <c r="A227">
        <f>ROW(Source!A114)</f>
        <v>114</v>
      </c>
      <c r="B227">
        <v>145033679</v>
      </c>
      <c r="C227">
        <v>145041862</v>
      </c>
      <c r="D227">
        <v>140923885</v>
      </c>
      <c r="E227">
        <v>1</v>
      </c>
      <c r="F227">
        <v>1</v>
      </c>
      <c r="G227">
        <v>1</v>
      </c>
      <c r="H227">
        <v>2</v>
      </c>
      <c r="I227" t="s">
        <v>732</v>
      </c>
      <c r="J227" t="s">
        <v>733</v>
      </c>
      <c r="K227" t="s">
        <v>734</v>
      </c>
      <c r="L227">
        <v>1367</v>
      </c>
      <c r="N227">
        <v>1011</v>
      </c>
      <c r="O227" t="s">
        <v>79</v>
      </c>
      <c r="P227" t="s">
        <v>79</v>
      </c>
      <c r="Q227">
        <v>1</v>
      </c>
      <c r="W227">
        <v>0</v>
      </c>
      <c r="X227">
        <v>509054691</v>
      </c>
      <c r="Y227">
        <f t="shared" si="77"/>
        <v>0.22999999999999998</v>
      </c>
      <c r="AA227">
        <v>0</v>
      </c>
      <c r="AB227">
        <v>797.06</v>
      </c>
      <c r="AC227">
        <v>354.26</v>
      </c>
      <c r="AD227">
        <v>0</v>
      </c>
      <c r="AE227">
        <v>0</v>
      </c>
      <c r="AF227">
        <v>65.709999999999994</v>
      </c>
      <c r="AG227">
        <v>11.6</v>
      </c>
      <c r="AH227">
        <v>0</v>
      </c>
      <c r="AI227">
        <v>1</v>
      </c>
      <c r="AJ227">
        <v>12.13</v>
      </c>
      <c r="AK227">
        <v>30.54</v>
      </c>
      <c r="AL227">
        <v>1</v>
      </c>
      <c r="AM227">
        <v>4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</v>
      </c>
      <c r="AT227">
        <v>0.2</v>
      </c>
      <c r="AU227" t="s">
        <v>21</v>
      </c>
      <c r="AV227">
        <v>0</v>
      </c>
      <c r="AW227">
        <v>2</v>
      </c>
      <c r="AX227">
        <v>145041866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ROUND(Y227*Source!I114,9)</f>
        <v>1.6408200000000001E-2</v>
      </c>
      <c r="CY227">
        <f>AB227</f>
        <v>797.06</v>
      </c>
      <c r="CZ227">
        <f>AF227</f>
        <v>65.709999999999994</v>
      </c>
      <c r="DA227">
        <f>AJ227</f>
        <v>12.13</v>
      </c>
      <c r="DB227">
        <f t="shared" si="78"/>
        <v>15.11</v>
      </c>
      <c r="DC227">
        <f t="shared" si="79"/>
        <v>2.67</v>
      </c>
      <c r="DD227" t="s">
        <v>3</v>
      </c>
      <c r="DE227" t="s">
        <v>3</v>
      </c>
      <c r="DF227">
        <f t="shared" si="80"/>
        <v>0</v>
      </c>
      <c r="DG227">
        <f>ROUND(ROUND(AF227*AJ227,2)*CX227,2)</f>
        <v>13.08</v>
      </c>
      <c r="DH227">
        <f t="shared" si="81"/>
        <v>5.81</v>
      </c>
      <c r="DI227">
        <f t="shared" si="82"/>
        <v>0</v>
      </c>
      <c r="DJ227">
        <f>DG227</f>
        <v>13.08</v>
      </c>
      <c r="DK227">
        <v>0</v>
      </c>
      <c r="DL227" t="s">
        <v>3</v>
      </c>
      <c r="DM227">
        <v>0</v>
      </c>
      <c r="DN227" t="s">
        <v>3</v>
      </c>
      <c r="DO227">
        <v>0</v>
      </c>
    </row>
    <row r="228" spans="1:119" x14ac:dyDescent="0.2">
      <c r="A228">
        <f>ROW(Source!A114)</f>
        <v>114</v>
      </c>
      <c r="B228">
        <v>145033679</v>
      </c>
      <c r="C228">
        <v>145041862</v>
      </c>
      <c r="D228">
        <v>140924098</v>
      </c>
      <c r="E228">
        <v>1</v>
      </c>
      <c r="F228">
        <v>1</v>
      </c>
      <c r="G228">
        <v>1</v>
      </c>
      <c r="H228">
        <v>2</v>
      </c>
      <c r="I228" t="s">
        <v>755</v>
      </c>
      <c r="J228" t="s">
        <v>756</v>
      </c>
      <c r="K228" t="s">
        <v>757</v>
      </c>
      <c r="L228">
        <v>1367</v>
      </c>
      <c r="N228">
        <v>1011</v>
      </c>
      <c r="O228" t="s">
        <v>79</v>
      </c>
      <c r="P228" t="s">
        <v>79</v>
      </c>
      <c r="Q228">
        <v>1</v>
      </c>
      <c r="W228">
        <v>0</v>
      </c>
      <c r="X228">
        <v>829370094</v>
      </c>
      <c r="Y228">
        <f t="shared" si="77"/>
        <v>0.85099999999999998</v>
      </c>
      <c r="AA228">
        <v>0</v>
      </c>
      <c r="AB228">
        <v>98.25</v>
      </c>
      <c r="AC228">
        <v>0</v>
      </c>
      <c r="AD228">
        <v>0</v>
      </c>
      <c r="AE228">
        <v>0</v>
      </c>
      <c r="AF228">
        <v>8.1</v>
      </c>
      <c r="AG228">
        <v>0</v>
      </c>
      <c r="AH228">
        <v>0</v>
      </c>
      <c r="AI228">
        <v>1</v>
      </c>
      <c r="AJ228">
        <v>12.13</v>
      </c>
      <c r="AK228">
        <v>30.54</v>
      </c>
      <c r="AL228">
        <v>1</v>
      </c>
      <c r="AM228">
        <v>4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3</v>
      </c>
      <c r="AT228">
        <v>0.74</v>
      </c>
      <c r="AU228" t="s">
        <v>21</v>
      </c>
      <c r="AV228">
        <v>0</v>
      </c>
      <c r="AW228">
        <v>2</v>
      </c>
      <c r="AX228">
        <v>145041867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ROUND(Y228*Source!I114,9)</f>
        <v>6.0710340000000002E-2</v>
      </c>
      <c r="CY228">
        <f>AB228</f>
        <v>98.25</v>
      </c>
      <c r="CZ228">
        <f>AF228</f>
        <v>8.1</v>
      </c>
      <c r="DA228">
        <f>AJ228</f>
        <v>12.13</v>
      </c>
      <c r="DB228">
        <f t="shared" si="78"/>
        <v>6.89</v>
      </c>
      <c r="DC228">
        <f t="shared" si="79"/>
        <v>0</v>
      </c>
      <c r="DD228" t="s">
        <v>3</v>
      </c>
      <c r="DE228" t="s">
        <v>3</v>
      </c>
      <c r="DF228">
        <f t="shared" si="80"/>
        <v>0</v>
      </c>
      <c r="DG228">
        <f>ROUND(ROUND(AF228*AJ228,2)*CX228,2)</f>
        <v>5.96</v>
      </c>
      <c r="DH228">
        <f t="shared" si="81"/>
        <v>0</v>
      </c>
      <c r="DI228">
        <f t="shared" si="82"/>
        <v>0</v>
      </c>
      <c r="DJ228">
        <f>DG228</f>
        <v>5.96</v>
      </c>
      <c r="DK228">
        <v>0</v>
      </c>
      <c r="DL228" t="s">
        <v>3</v>
      </c>
      <c r="DM228">
        <v>0</v>
      </c>
      <c r="DN228" t="s">
        <v>3</v>
      </c>
      <c r="DO228">
        <v>0</v>
      </c>
    </row>
    <row r="229" spans="1:119" x14ac:dyDescent="0.2">
      <c r="A229">
        <f>ROW(Source!A114)</f>
        <v>114</v>
      </c>
      <c r="B229">
        <v>145033679</v>
      </c>
      <c r="C229">
        <v>145041862</v>
      </c>
      <c r="D229">
        <v>140924112</v>
      </c>
      <c r="E229">
        <v>1</v>
      </c>
      <c r="F229">
        <v>1</v>
      </c>
      <c r="G229">
        <v>1</v>
      </c>
      <c r="H229">
        <v>2</v>
      </c>
      <c r="I229" t="s">
        <v>956</v>
      </c>
      <c r="J229" t="s">
        <v>957</v>
      </c>
      <c r="K229" t="s">
        <v>958</v>
      </c>
      <c r="L229">
        <v>1367</v>
      </c>
      <c r="N229">
        <v>1011</v>
      </c>
      <c r="O229" t="s">
        <v>79</v>
      </c>
      <c r="P229" t="s">
        <v>79</v>
      </c>
      <c r="Q229">
        <v>1</v>
      </c>
      <c r="W229">
        <v>0</v>
      </c>
      <c r="X229">
        <v>-1111507504</v>
      </c>
      <c r="Y229">
        <f t="shared" si="77"/>
        <v>0.54049999999999998</v>
      </c>
      <c r="AA229">
        <v>0</v>
      </c>
      <c r="AB229">
        <v>1091.7</v>
      </c>
      <c r="AC229">
        <v>307.23</v>
      </c>
      <c r="AD229">
        <v>0</v>
      </c>
      <c r="AE229">
        <v>0</v>
      </c>
      <c r="AF229">
        <v>90</v>
      </c>
      <c r="AG229">
        <v>10.06</v>
      </c>
      <c r="AH229">
        <v>0</v>
      </c>
      <c r="AI229">
        <v>1</v>
      </c>
      <c r="AJ229">
        <v>12.13</v>
      </c>
      <c r="AK229">
        <v>30.54</v>
      </c>
      <c r="AL229">
        <v>1</v>
      </c>
      <c r="AM229">
        <v>4</v>
      </c>
      <c r="AN229">
        <v>0</v>
      </c>
      <c r="AO229">
        <v>1</v>
      </c>
      <c r="AP229">
        <v>1</v>
      </c>
      <c r="AQ229">
        <v>0</v>
      </c>
      <c r="AR229">
        <v>0</v>
      </c>
      <c r="AS229" t="s">
        <v>3</v>
      </c>
      <c r="AT229">
        <v>0.47</v>
      </c>
      <c r="AU229" t="s">
        <v>21</v>
      </c>
      <c r="AV229">
        <v>0</v>
      </c>
      <c r="AW229">
        <v>2</v>
      </c>
      <c r="AX229">
        <v>145041868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ROUND(Y229*Source!I114,9)</f>
        <v>3.855927E-2</v>
      </c>
      <c r="CY229">
        <f>AB229</f>
        <v>1091.7</v>
      </c>
      <c r="CZ229">
        <f>AF229</f>
        <v>90</v>
      </c>
      <c r="DA229">
        <f>AJ229</f>
        <v>12.13</v>
      </c>
      <c r="DB229">
        <f t="shared" si="78"/>
        <v>48.65</v>
      </c>
      <c r="DC229">
        <f t="shared" si="79"/>
        <v>5.44</v>
      </c>
      <c r="DD229" t="s">
        <v>3</v>
      </c>
      <c r="DE229" t="s">
        <v>3</v>
      </c>
      <c r="DF229">
        <f t="shared" si="80"/>
        <v>0</v>
      </c>
      <c r="DG229">
        <f>ROUND(ROUND(AF229*AJ229,2)*CX229,2)</f>
        <v>42.1</v>
      </c>
      <c r="DH229">
        <f t="shared" si="81"/>
        <v>11.85</v>
      </c>
      <c r="DI229">
        <f t="shared" si="82"/>
        <v>0</v>
      </c>
      <c r="DJ229">
        <f>DG229</f>
        <v>42.1</v>
      </c>
      <c r="DK229">
        <v>0</v>
      </c>
      <c r="DL229" t="s">
        <v>3</v>
      </c>
      <c r="DM229">
        <v>0</v>
      </c>
      <c r="DN229" t="s">
        <v>3</v>
      </c>
      <c r="DO229">
        <v>0</v>
      </c>
    </row>
    <row r="230" spans="1:119" x14ac:dyDescent="0.2">
      <c r="A230">
        <f>ROW(Source!A114)</f>
        <v>114</v>
      </c>
      <c r="B230">
        <v>145033679</v>
      </c>
      <c r="C230">
        <v>145041862</v>
      </c>
      <c r="D230">
        <v>140924577</v>
      </c>
      <c r="E230">
        <v>1</v>
      </c>
      <c r="F230">
        <v>1</v>
      </c>
      <c r="G230">
        <v>1</v>
      </c>
      <c r="H230">
        <v>2</v>
      </c>
      <c r="I230" t="s">
        <v>909</v>
      </c>
      <c r="J230" t="s">
        <v>910</v>
      </c>
      <c r="K230" t="s">
        <v>911</v>
      </c>
      <c r="L230">
        <v>1367</v>
      </c>
      <c r="N230">
        <v>1011</v>
      </c>
      <c r="O230" t="s">
        <v>79</v>
      </c>
      <c r="P230" t="s">
        <v>79</v>
      </c>
      <c r="Q230">
        <v>1</v>
      </c>
      <c r="W230">
        <v>0</v>
      </c>
      <c r="X230">
        <v>1998121820</v>
      </c>
      <c r="Y230">
        <f t="shared" si="77"/>
        <v>1.0580000000000001</v>
      </c>
      <c r="AA230">
        <v>0</v>
      </c>
      <c r="AB230">
        <v>18.559999999999999</v>
      </c>
      <c r="AC230">
        <v>0</v>
      </c>
      <c r="AD230">
        <v>0</v>
      </c>
      <c r="AE230">
        <v>0</v>
      </c>
      <c r="AF230">
        <v>1.53</v>
      </c>
      <c r="AG230">
        <v>0</v>
      </c>
      <c r="AH230">
        <v>0</v>
      </c>
      <c r="AI230">
        <v>1</v>
      </c>
      <c r="AJ230">
        <v>12.13</v>
      </c>
      <c r="AK230">
        <v>30.54</v>
      </c>
      <c r="AL230">
        <v>1</v>
      </c>
      <c r="AM230">
        <v>4</v>
      </c>
      <c r="AN230">
        <v>0</v>
      </c>
      <c r="AO230">
        <v>1</v>
      </c>
      <c r="AP230">
        <v>1</v>
      </c>
      <c r="AQ230">
        <v>0</v>
      </c>
      <c r="AR230">
        <v>0</v>
      </c>
      <c r="AS230" t="s">
        <v>3</v>
      </c>
      <c r="AT230">
        <v>0.92</v>
      </c>
      <c r="AU230" t="s">
        <v>21</v>
      </c>
      <c r="AV230">
        <v>0</v>
      </c>
      <c r="AW230">
        <v>2</v>
      </c>
      <c r="AX230">
        <v>145041869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ROUND(Y230*Source!I114,9)</f>
        <v>7.5477719999999998E-2</v>
      </c>
      <c r="CY230">
        <f>AB230</f>
        <v>18.559999999999999</v>
      </c>
      <c r="CZ230">
        <f>AF230</f>
        <v>1.53</v>
      </c>
      <c r="DA230">
        <f>AJ230</f>
        <v>12.13</v>
      </c>
      <c r="DB230">
        <f t="shared" si="78"/>
        <v>1.62</v>
      </c>
      <c r="DC230">
        <f t="shared" si="79"/>
        <v>0</v>
      </c>
      <c r="DD230" t="s">
        <v>3</v>
      </c>
      <c r="DE230" t="s">
        <v>3</v>
      </c>
      <c r="DF230">
        <f t="shared" si="80"/>
        <v>0</v>
      </c>
      <c r="DG230">
        <f>ROUND(ROUND(AF230*AJ230,2)*CX230,2)</f>
        <v>1.4</v>
      </c>
      <c r="DH230">
        <f t="shared" si="81"/>
        <v>0</v>
      </c>
      <c r="DI230">
        <f t="shared" si="82"/>
        <v>0</v>
      </c>
      <c r="DJ230">
        <f>DG230</f>
        <v>1.4</v>
      </c>
      <c r="DK230">
        <v>0</v>
      </c>
      <c r="DL230" t="s">
        <v>3</v>
      </c>
      <c r="DM230">
        <v>0</v>
      </c>
      <c r="DN230" t="s">
        <v>3</v>
      </c>
      <c r="DO230">
        <v>0</v>
      </c>
    </row>
    <row r="231" spans="1:119" x14ac:dyDescent="0.2">
      <c r="A231">
        <f>ROW(Source!A114)</f>
        <v>114</v>
      </c>
      <c r="B231">
        <v>145033679</v>
      </c>
      <c r="C231">
        <v>145041862</v>
      </c>
      <c r="D231">
        <v>140773798</v>
      </c>
      <c r="E231">
        <v>1</v>
      </c>
      <c r="F231">
        <v>1</v>
      </c>
      <c r="G231">
        <v>1</v>
      </c>
      <c r="H231">
        <v>3</v>
      </c>
      <c r="I231" t="s">
        <v>758</v>
      </c>
      <c r="J231" t="s">
        <v>759</v>
      </c>
      <c r="K231" t="s">
        <v>760</v>
      </c>
      <c r="L231">
        <v>1348</v>
      </c>
      <c r="N231">
        <v>1009</v>
      </c>
      <c r="O231" t="s">
        <v>105</v>
      </c>
      <c r="P231" t="s">
        <v>105</v>
      </c>
      <c r="Q231">
        <v>1000</v>
      </c>
      <c r="W231">
        <v>0</v>
      </c>
      <c r="X231">
        <v>761442094</v>
      </c>
      <c r="Y231">
        <f>AT231</f>
        <v>8.9999999999999993E-3</v>
      </c>
      <c r="AA231">
        <v>82083.039999999994</v>
      </c>
      <c r="AB231">
        <v>0</v>
      </c>
      <c r="AC231">
        <v>0</v>
      </c>
      <c r="AD231">
        <v>0</v>
      </c>
      <c r="AE231">
        <v>9424</v>
      </c>
      <c r="AF231">
        <v>0</v>
      </c>
      <c r="AG231">
        <v>0</v>
      </c>
      <c r="AH231">
        <v>0</v>
      </c>
      <c r="AI231">
        <v>8.7100000000000009</v>
      </c>
      <c r="AJ231">
        <v>1</v>
      </c>
      <c r="AK231">
        <v>1</v>
      </c>
      <c r="AL231">
        <v>1</v>
      </c>
      <c r="AM231">
        <v>4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8.9999999999999993E-3</v>
      </c>
      <c r="AU231" t="s">
        <v>3</v>
      </c>
      <c r="AV231">
        <v>0</v>
      </c>
      <c r="AW231">
        <v>2</v>
      </c>
      <c r="AX231">
        <v>145041870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ROUND(Y231*Source!I114,9)</f>
        <v>6.4205999999999996E-4</v>
      </c>
      <c r="CY231">
        <f>AA231</f>
        <v>82083.039999999994</v>
      </c>
      <c r="CZ231">
        <f>AE231</f>
        <v>9424</v>
      </c>
      <c r="DA231">
        <f>AI231</f>
        <v>8.7100000000000009</v>
      </c>
      <c r="DB231">
        <f>ROUND(ROUND(AT231*CZ231,2),2)</f>
        <v>84.82</v>
      </c>
      <c r="DC231">
        <f>ROUND(ROUND(AT231*AG231,2),2)</f>
        <v>0</v>
      </c>
      <c r="DD231" t="s">
        <v>3</v>
      </c>
      <c r="DE231" t="s">
        <v>3</v>
      </c>
      <c r="DF231">
        <f>ROUND(ROUND(AE231*AI231,2)*CX231,2)</f>
        <v>52.7</v>
      </c>
      <c r="DG231">
        <f t="shared" ref="DG231:DG237" si="83">ROUND(ROUND(AF231,2)*CX231,2)</f>
        <v>0</v>
      </c>
      <c r="DH231">
        <f t="shared" ref="DH231:DH236" si="84">ROUND(ROUND(AG231,2)*CX231,2)</f>
        <v>0</v>
      </c>
      <c r="DI231">
        <f t="shared" si="82"/>
        <v>0</v>
      </c>
      <c r="DJ231">
        <f>DF231</f>
        <v>52.7</v>
      </c>
      <c r="DK231">
        <v>0</v>
      </c>
      <c r="DL231" t="s">
        <v>3</v>
      </c>
      <c r="DM231">
        <v>0</v>
      </c>
      <c r="DN231" t="s">
        <v>3</v>
      </c>
      <c r="DO231">
        <v>0</v>
      </c>
    </row>
    <row r="232" spans="1:119" x14ac:dyDescent="0.2">
      <c r="A232">
        <f>ROW(Source!A114)</f>
        <v>114</v>
      </c>
      <c r="B232">
        <v>145033679</v>
      </c>
      <c r="C232">
        <v>145041862</v>
      </c>
      <c r="D232">
        <v>140778120</v>
      </c>
      <c r="E232">
        <v>1</v>
      </c>
      <c r="F232">
        <v>1</v>
      </c>
      <c r="G232">
        <v>1</v>
      </c>
      <c r="H232">
        <v>3</v>
      </c>
      <c r="I232" t="s">
        <v>311</v>
      </c>
      <c r="J232" t="s">
        <v>313</v>
      </c>
      <c r="K232" t="s">
        <v>312</v>
      </c>
      <c r="L232">
        <v>1339</v>
      </c>
      <c r="N232">
        <v>1007</v>
      </c>
      <c r="O232" t="s">
        <v>66</v>
      </c>
      <c r="P232" t="s">
        <v>66</v>
      </c>
      <c r="Q232">
        <v>1</v>
      </c>
      <c r="W232">
        <v>1</v>
      </c>
      <c r="X232">
        <v>-1568863701</v>
      </c>
      <c r="Y232">
        <f>AT232</f>
        <v>-0.54</v>
      </c>
      <c r="AA232">
        <v>4527.46</v>
      </c>
      <c r="AB232">
        <v>0</v>
      </c>
      <c r="AC232">
        <v>0</v>
      </c>
      <c r="AD232">
        <v>0</v>
      </c>
      <c r="AE232">
        <v>519.79999999999995</v>
      </c>
      <c r="AF232">
        <v>0</v>
      </c>
      <c r="AG232">
        <v>0</v>
      </c>
      <c r="AH232">
        <v>0</v>
      </c>
      <c r="AI232">
        <v>8.7100000000000009</v>
      </c>
      <c r="AJ232">
        <v>1</v>
      </c>
      <c r="AK232">
        <v>1</v>
      </c>
      <c r="AL232">
        <v>1</v>
      </c>
      <c r="AM232">
        <v>4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-0.54</v>
      </c>
      <c r="AU232" t="s">
        <v>3</v>
      </c>
      <c r="AV232">
        <v>0</v>
      </c>
      <c r="AW232">
        <v>2</v>
      </c>
      <c r="AX232">
        <v>145041871</v>
      </c>
      <c r="AY232">
        <v>1</v>
      </c>
      <c r="AZ232">
        <v>6144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ROUND(Y232*Source!I114,9)</f>
        <v>-3.8523599999999998E-2</v>
      </c>
      <c r="CY232">
        <f>AA232</f>
        <v>4527.46</v>
      </c>
      <c r="CZ232">
        <f>AE232</f>
        <v>519.79999999999995</v>
      </c>
      <c r="DA232">
        <f>AI232</f>
        <v>8.7100000000000009</v>
      </c>
      <c r="DB232">
        <f>ROUND(ROUND(AT232*CZ232,2),2)</f>
        <v>-280.69</v>
      </c>
      <c r="DC232">
        <f>ROUND(ROUND(AT232*AG232,2),2)</f>
        <v>0</v>
      </c>
      <c r="DD232" t="s">
        <v>3</v>
      </c>
      <c r="DE232" t="s">
        <v>3</v>
      </c>
      <c r="DF232">
        <f>ROUND(ROUND(AE232*AI232,2)*CX232,2)</f>
        <v>-174.41</v>
      </c>
      <c r="DG232">
        <f t="shared" si="83"/>
        <v>0</v>
      </c>
      <c r="DH232">
        <f t="shared" si="84"/>
        <v>0</v>
      </c>
      <c r="DI232">
        <f t="shared" si="82"/>
        <v>0</v>
      </c>
      <c r="DJ232">
        <f>DF232</f>
        <v>-174.41</v>
      </c>
      <c r="DK232">
        <v>0</v>
      </c>
      <c r="DL232" t="s">
        <v>3</v>
      </c>
      <c r="DM232">
        <v>0</v>
      </c>
      <c r="DN232" t="s">
        <v>3</v>
      </c>
      <c r="DO232">
        <v>0</v>
      </c>
    </row>
    <row r="233" spans="1:119" x14ac:dyDescent="0.2">
      <c r="A233">
        <f>ROW(Source!A114)</f>
        <v>114</v>
      </c>
      <c r="B233">
        <v>145033679</v>
      </c>
      <c r="C233">
        <v>145041862</v>
      </c>
      <c r="D233">
        <v>140787923</v>
      </c>
      <c r="E233">
        <v>1</v>
      </c>
      <c r="F233">
        <v>1</v>
      </c>
      <c r="G233">
        <v>1</v>
      </c>
      <c r="H233">
        <v>3</v>
      </c>
      <c r="I233" t="s">
        <v>386</v>
      </c>
      <c r="J233" t="s">
        <v>388</v>
      </c>
      <c r="K233" t="s">
        <v>387</v>
      </c>
      <c r="L233">
        <v>1407</v>
      </c>
      <c r="N233">
        <v>1013</v>
      </c>
      <c r="O233" t="s">
        <v>175</v>
      </c>
      <c r="P233" t="s">
        <v>175</v>
      </c>
      <c r="Q233">
        <v>1</v>
      </c>
      <c r="W233">
        <v>1</v>
      </c>
      <c r="X233">
        <v>-1014167754</v>
      </c>
      <c r="Y233">
        <f>AT233</f>
        <v>-0.56999999999999995</v>
      </c>
      <c r="AA233">
        <v>15265.15</v>
      </c>
      <c r="AB233">
        <v>0</v>
      </c>
      <c r="AC233">
        <v>0</v>
      </c>
      <c r="AD233">
        <v>0</v>
      </c>
      <c r="AE233">
        <v>1752.6</v>
      </c>
      <c r="AF233">
        <v>0</v>
      </c>
      <c r="AG233">
        <v>0</v>
      </c>
      <c r="AH233">
        <v>0</v>
      </c>
      <c r="AI233">
        <v>8.7100000000000009</v>
      </c>
      <c r="AJ233">
        <v>1</v>
      </c>
      <c r="AK233">
        <v>1</v>
      </c>
      <c r="AL233">
        <v>1</v>
      </c>
      <c r="AM233">
        <v>4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-0.56999999999999995</v>
      </c>
      <c r="AU233" t="s">
        <v>3</v>
      </c>
      <c r="AV233">
        <v>0</v>
      </c>
      <c r="AW233">
        <v>2</v>
      </c>
      <c r="AX233">
        <v>145041872</v>
      </c>
      <c r="AY233">
        <v>1</v>
      </c>
      <c r="AZ233">
        <v>6144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ROUND(Y233*Source!I114,9)</f>
        <v>-4.06638E-2</v>
      </c>
      <c r="CY233">
        <f>AA233</f>
        <v>15265.15</v>
      </c>
      <c r="CZ233">
        <f>AE233</f>
        <v>1752.6</v>
      </c>
      <c r="DA233">
        <f>AI233</f>
        <v>8.7100000000000009</v>
      </c>
      <c r="DB233">
        <f>ROUND(ROUND(AT233*CZ233,2),2)</f>
        <v>-998.98</v>
      </c>
      <c r="DC233">
        <f>ROUND(ROUND(AT233*AG233,2),2)</f>
        <v>0</v>
      </c>
      <c r="DD233" t="s">
        <v>3</v>
      </c>
      <c r="DE233" t="s">
        <v>3</v>
      </c>
      <c r="DF233">
        <f>ROUND(ROUND(AE233*AI233,2)*CX233,2)</f>
        <v>-620.74</v>
      </c>
      <c r="DG233">
        <f t="shared" si="83"/>
        <v>0</v>
      </c>
      <c r="DH233">
        <f t="shared" si="84"/>
        <v>0</v>
      </c>
      <c r="DI233">
        <f t="shared" si="82"/>
        <v>0</v>
      </c>
      <c r="DJ233">
        <f>DF233</f>
        <v>-620.74</v>
      </c>
      <c r="DK233">
        <v>0</v>
      </c>
      <c r="DL233" t="s">
        <v>3</v>
      </c>
      <c r="DM233">
        <v>0</v>
      </c>
      <c r="DN233" t="s">
        <v>3</v>
      </c>
      <c r="DO233">
        <v>0</v>
      </c>
    </row>
    <row r="234" spans="1:119" x14ac:dyDescent="0.2">
      <c r="A234">
        <f>ROW(Source!A114)</f>
        <v>114</v>
      </c>
      <c r="B234">
        <v>145033679</v>
      </c>
      <c r="C234">
        <v>145041862</v>
      </c>
      <c r="D234">
        <v>140762020</v>
      </c>
      <c r="E234">
        <v>70</v>
      </c>
      <c r="F234">
        <v>1</v>
      </c>
      <c r="G234">
        <v>1</v>
      </c>
      <c r="H234">
        <v>3</v>
      </c>
      <c r="I234" t="s">
        <v>959</v>
      </c>
      <c r="J234" t="s">
        <v>3</v>
      </c>
      <c r="K234" t="s">
        <v>960</v>
      </c>
      <c r="L234">
        <v>1348</v>
      </c>
      <c r="N234">
        <v>1009</v>
      </c>
      <c r="O234" t="s">
        <v>105</v>
      </c>
      <c r="P234" t="s">
        <v>105</v>
      </c>
      <c r="Q234">
        <v>1000</v>
      </c>
      <c r="W234">
        <v>0</v>
      </c>
      <c r="X234">
        <v>-1422279583</v>
      </c>
      <c r="Y234">
        <f>AT234</f>
        <v>1.04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8.7100000000000009</v>
      </c>
      <c r="AJ234">
        <v>1</v>
      </c>
      <c r="AK234">
        <v>1</v>
      </c>
      <c r="AL234">
        <v>1</v>
      </c>
      <c r="AM234">
        <v>4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3</v>
      </c>
      <c r="AT234">
        <v>1.04</v>
      </c>
      <c r="AU234" t="s">
        <v>3</v>
      </c>
      <c r="AV234">
        <v>0</v>
      </c>
      <c r="AW234">
        <v>2</v>
      </c>
      <c r="AX234">
        <v>145041873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ROUND(Y234*Source!I114,9)</f>
        <v>7.4193599999999998E-2</v>
      </c>
      <c r="CY234">
        <f>AA234</f>
        <v>0</v>
      </c>
      <c r="CZ234">
        <f>AE234</f>
        <v>0</v>
      </c>
      <c r="DA234">
        <f>AI234</f>
        <v>8.7100000000000009</v>
      </c>
      <c r="DB234">
        <f>ROUND(ROUND(AT234*CZ234,2),2)</f>
        <v>0</v>
      </c>
      <c r="DC234">
        <f>ROUND(ROUND(AT234*AG234,2),2)</f>
        <v>0</v>
      </c>
      <c r="DD234" t="s">
        <v>3</v>
      </c>
      <c r="DE234" t="s">
        <v>3</v>
      </c>
      <c r="DF234">
        <f>ROUND(ROUND(AE234*AI234,2)*CX234,2)</f>
        <v>0</v>
      </c>
      <c r="DG234">
        <f t="shared" si="83"/>
        <v>0</v>
      </c>
      <c r="DH234">
        <f t="shared" si="84"/>
        <v>0</v>
      </c>
      <c r="DI234">
        <f t="shared" si="82"/>
        <v>0</v>
      </c>
      <c r="DJ234">
        <f>DF234</f>
        <v>0</v>
      </c>
      <c r="DK234">
        <v>0</v>
      </c>
      <c r="DL234" t="s">
        <v>3</v>
      </c>
      <c r="DM234">
        <v>0</v>
      </c>
      <c r="DN234" t="s">
        <v>3</v>
      </c>
      <c r="DO234">
        <v>0</v>
      </c>
    </row>
    <row r="235" spans="1:119" x14ac:dyDescent="0.2">
      <c r="A235">
        <f>ROW(Source!A121)</f>
        <v>121</v>
      </c>
      <c r="B235">
        <v>145033679</v>
      </c>
      <c r="C235">
        <v>145051215</v>
      </c>
      <c r="D235">
        <v>136021821</v>
      </c>
      <c r="E235">
        <v>58</v>
      </c>
      <c r="F235">
        <v>1</v>
      </c>
      <c r="G235">
        <v>1</v>
      </c>
      <c r="H235">
        <v>1</v>
      </c>
      <c r="I235" t="s">
        <v>808</v>
      </c>
      <c r="J235" t="s">
        <v>3</v>
      </c>
      <c r="K235" t="s">
        <v>961</v>
      </c>
      <c r="L235">
        <v>1191</v>
      </c>
      <c r="N235">
        <v>1013</v>
      </c>
      <c r="O235" t="s">
        <v>725</v>
      </c>
      <c r="P235" t="s">
        <v>725</v>
      </c>
      <c r="Q235">
        <v>1</v>
      </c>
      <c r="W235">
        <v>0</v>
      </c>
      <c r="X235">
        <v>461079475</v>
      </c>
      <c r="Y235">
        <f>(AT235*1.15)</f>
        <v>0.66699999999999993</v>
      </c>
      <c r="AA235">
        <v>0</v>
      </c>
      <c r="AB235">
        <v>0</v>
      </c>
      <c r="AC235">
        <v>0</v>
      </c>
      <c r="AD235">
        <v>230.88</v>
      </c>
      <c r="AE235">
        <v>0</v>
      </c>
      <c r="AF235">
        <v>0</v>
      </c>
      <c r="AG235">
        <v>0</v>
      </c>
      <c r="AH235">
        <v>7.56</v>
      </c>
      <c r="AI235">
        <v>1</v>
      </c>
      <c r="AJ235">
        <v>1</v>
      </c>
      <c r="AK235">
        <v>1</v>
      </c>
      <c r="AL235">
        <v>30.54</v>
      </c>
      <c r="AM235">
        <v>4</v>
      </c>
      <c r="AN235">
        <v>0</v>
      </c>
      <c r="AO235">
        <v>1</v>
      </c>
      <c r="AP235">
        <v>1</v>
      </c>
      <c r="AQ235">
        <v>0</v>
      </c>
      <c r="AR235">
        <v>0</v>
      </c>
      <c r="AS235" t="s">
        <v>3</v>
      </c>
      <c r="AT235">
        <v>0.57999999999999996</v>
      </c>
      <c r="AU235" t="s">
        <v>21</v>
      </c>
      <c r="AV235">
        <v>1</v>
      </c>
      <c r="AW235">
        <v>2</v>
      </c>
      <c r="AX235">
        <v>145051216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ROUND(Y235*Source!I121,9)</f>
        <v>12.8064</v>
      </c>
      <c r="CY235">
        <f>AD235</f>
        <v>230.88</v>
      </c>
      <c r="CZ235">
        <f>AH235</f>
        <v>7.56</v>
      </c>
      <c r="DA235">
        <f>AL235</f>
        <v>30.54</v>
      </c>
      <c r="DB235">
        <f>ROUND((ROUND(AT235*CZ235,2)*1.15),2)</f>
        <v>5.04</v>
      </c>
      <c r="DC235">
        <f>ROUND((ROUND(AT235*AG235,2)*1.15),2)</f>
        <v>0</v>
      </c>
      <c r="DD235" t="s">
        <v>3</v>
      </c>
      <c r="DE235" t="s">
        <v>3</v>
      </c>
      <c r="DF235">
        <f t="shared" ref="DF235:DF244" si="85">ROUND(ROUND(AE235,2)*CX235,2)</f>
        <v>0</v>
      </c>
      <c r="DG235">
        <f t="shared" si="83"/>
        <v>0</v>
      </c>
      <c r="DH235">
        <f t="shared" si="84"/>
        <v>0</v>
      </c>
      <c r="DI235">
        <f>ROUND(ROUND(AH235*AL235,2)*CX235,2)</f>
        <v>2956.74</v>
      </c>
      <c r="DJ235">
        <f>DI235</f>
        <v>2956.74</v>
      </c>
      <c r="DK235">
        <v>0</v>
      </c>
      <c r="DL235" t="s">
        <v>3</v>
      </c>
      <c r="DM235">
        <v>0</v>
      </c>
      <c r="DN235" t="s">
        <v>3</v>
      </c>
      <c r="DO235">
        <v>0</v>
      </c>
    </row>
    <row r="236" spans="1:119" x14ac:dyDescent="0.2">
      <c r="A236">
        <f>ROW(Source!A122)</f>
        <v>122</v>
      </c>
      <c r="B236">
        <v>145033679</v>
      </c>
      <c r="C236">
        <v>145051218</v>
      </c>
      <c r="D236">
        <v>140760051</v>
      </c>
      <c r="E236">
        <v>70</v>
      </c>
      <c r="F236">
        <v>1</v>
      </c>
      <c r="G236">
        <v>1</v>
      </c>
      <c r="H236">
        <v>1</v>
      </c>
      <c r="I236" t="s">
        <v>859</v>
      </c>
      <c r="J236" t="s">
        <v>3</v>
      </c>
      <c r="K236" t="s">
        <v>860</v>
      </c>
      <c r="L236">
        <v>1191</v>
      </c>
      <c r="N236">
        <v>1013</v>
      </c>
      <c r="O236" t="s">
        <v>725</v>
      </c>
      <c r="P236" t="s">
        <v>725</v>
      </c>
      <c r="Q236">
        <v>1</v>
      </c>
      <c r="W236">
        <v>0</v>
      </c>
      <c r="X236">
        <v>-632984526</v>
      </c>
      <c r="Y236">
        <f t="shared" ref="Y236:Y244" si="86">((AT236*1.15)*0.7)</f>
        <v>15.938999999999998</v>
      </c>
      <c r="AA236">
        <v>0</v>
      </c>
      <c r="AB236">
        <v>0</v>
      </c>
      <c r="AC236">
        <v>0</v>
      </c>
      <c r="AD236">
        <v>311.81</v>
      </c>
      <c r="AE236">
        <v>0</v>
      </c>
      <c r="AF236">
        <v>0</v>
      </c>
      <c r="AG236">
        <v>0</v>
      </c>
      <c r="AH236">
        <v>10.210000000000001</v>
      </c>
      <c r="AI236">
        <v>1</v>
      </c>
      <c r="AJ236">
        <v>1</v>
      </c>
      <c r="AK236">
        <v>1</v>
      </c>
      <c r="AL236">
        <v>30.54</v>
      </c>
      <c r="AM236">
        <v>4</v>
      </c>
      <c r="AN236">
        <v>0</v>
      </c>
      <c r="AO236">
        <v>1</v>
      </c>
      <c r="AP236">
        <v>1</v>
      </c>
      <c r="AQ236">
        <v>0</v>
      </c>
      <c r="AR236">
        <v>0</v>
      </c>
      <c r="AS236" t="s">
        <v>3</v>
      </c>
      <c r="AT236">
        <v>19.8</v>
      </c>
      <c r="AU236" t="s">
        <v>404</v>
      </c>
      <c r="AV236">
        <v>1</v>
      </c>
      <c r="AW236">
        <v>2</v>
      </c>
      <c r="AX236">
        <v>145051219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ROUND(Y236*Source!I122,9)</f>
        <v>10.510176599999999</v>
      </c>
      <c r="CY236">
        <f>AD236</f>
        <v>311.81</v>
      </c>
      <c r="CZ236">
        <f>AH236</f>
        <v>10.210000000000001</v>
      </c>
      <c r="DA236">
        <f>AL236</f>
        <v>30.54</v>
      </c>
      <c r="DB236">
        <f t="shared" ref="DB236:DB244" si="87">ROUND(((ROUND(AT236*CZ236,2)*1.15)*0.7),2)</f>
        <v>162.74</v>
      </c>
      <c r="DC236">
        <f t="shared" ref="DC236:DC244" si="88">ROUND(((ROUND(AT236*AG236,2)*1.15)*0.7),2)</f>
        <v>0</v>
      </c>
      <c r="DD236" t="s">
        <v>3</v>
      </c>
      <c r="DE236" t="s">
        <v>3</v>
      </c>
      <c r="DF236">
        <f t="shared" si="85"/>
        <v>0</v>
      </c>
      <c r="DG236">
        <f t="shared" si="83"/>
        <v>0</v>
      </c>
      <c r="DH236">
        <f t="shared" si="84"/>
        <v>0</v>
      </c>
      <c r="DI236">
        <f>ROUND(ROUND(AH236*AL236,2)*CX236,2)</f>
        <v>3277.18</v>
      </c>
      <c r="DJ236">
        <f>DI236</f>
        <v>3277.18</v>
      </c>
      <c r="DK236">
        <v>0</v>
      </c>
      <c r="DL236" t="s">
        <v>3</v>
      </c>
      <c r="DM236">
        <v>0</v>
      </c>
      <c r="DN236" t="s">
        <v>3</v>
      </c>
      <c r="DO236">
        <v>0</v>
      </c>
    </row>
    <row r="237" spans="1:119" x14ac:dyDescent="0.2">
      <c r="A237">
        <f>ROW(Source!A122)</f>
        <v>122</v>
      </c>
      <c r="B237">
        <v>145033679</v>
      </c>
      <c r="C237">
        <v>145051218</v>
      </c>
      <c r="D237">
        <v>140760225</v>
      </c>
      <c r="E237">
        <v>70</v>
      </c>
      <c r="F237">
        <v>1</v>
      </c>
      <c r="G237">
        <v>1</v>
      </c>
      <c r="H237">
        <v>1</v>
      </c>
      <c r="I237" t="s">
        <v>730</v>
      </c>
      <c r="J237" t="s">
        <v>3</v>
      </c>
      <c r="K237" t="s">
        <v>731</v>
      </c>
      <c r="L237">
        <v>1191</v>
      </c>
      <c r="N237">
        <v>1013</v>
      </c>
      <c r="O237" t="s">
        <v>725</v>
      </c>
      <c r="P237" t="s">
        <v>725</v>
      </c>
      <c r="Q237">
        <v>1</v>
      </c>
      <c r="W237">
        <v>0</v>
      </c>
      <c r="X237">
        <v>-1417349443</v>
      </c>
      <c r="Y237">
        <f t="shared" si="86"/>
        <v>1.6743999999999999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30.54</v>
      </c>
      <c r="AL237">
        <v>1</v>
      </c>
      <c r="AM237">
        <v>4</v>
      </c>
      <c r="AN237">
        <v>0</v>
      </c>
      <c r="AO237">
        <v>1</v>
      </c>
      <c r="AP237">
        <v>1</v>
      </c>
      <c r="AQ237">
        <v>0</v>
      </c>
      <c r="AR237">
        <v>0</v>
      </c>
      <c r="AS237" t="s">
        <v>3</v>
      </c>
      <c r="AT237">
        <v>2.08</v>
      </c>
      <c r="AU237" t="s">
        <v>404</v>
      </c>
      <c r="AV237">
        <v>2</v>
      </c>
      <c r="AW237">
        <v>2</v>
      </c>
      <c r="AX237">
        <v>145051220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ROUND(Y237*Source!I122,9)</f>
        <v>1.10409936</v>
      </c>
      <c r="CY237">
        <f>AD237</f>
        <v>0</v>
      </c>
      <c r="CZ237">
        <f>AH237</f>
        <v>0</v>
      </c>
      <c r="DA237">
        <f>AL237</f>
        <v>1</v>
      </c>
      <c r="DB237">
        <f t="shared" si="87"/>
        <v>0</v>
      </c>
      <c r="DC237">
        <f t="shared" si="88"/>
        <v>0</v>
      </c>
      <c r="DD237" t="s">
        <v>3</v>
      </c>
      <c r="DE237" t="s">
        <v>3</v>
      </c>
      <c r="DF237">
        <f t="shared" si="85"/>
        <v>0</v>
      </c>
      <c r="DG237">
        <f t="shared" si="83"/>
        <v>0</v>
      </c>
      <c r="DH237">
        <f t="shared" ref="DH237:DH244" si="89">ROUND(ROUND(AG237*AK237,2)*CX237,2)</f>
        <v>0</v>
      </c>
      <c r="DI237">
        <f t="shared" ref="DI237:DI258" si="90">ROUND(ROUND(AH237,2)*CX237,2)</f>
        <v>0</v>
      </c>
      <c r="DJ237">
        <f>DI237</f>
        <v>0</v>
      </c>
      <c r="DK237">
        <v>0</v>
      </c>
      <c r="DL237" t="s">
        <v>3</v>
      </c>
      <c r="DM237">
        <v>0</v>
      </c>
      <c r="DN237" t="s">
        <v>3</v>
      </c>
      <c r="DO237">
        <v>0</v>
      </c>
    </row>
    <row r="238" spans="1:119" x14ac:dyDescent="0.2">
      <c r="A238">
        <f>ROW(Source!A122)</f>
        <v>122</v>
      </c>
      <c r="B238">
        <v>145033679</v>
      </c>
      <c r="C238">
        <v>145051218</v>
      </c>
      <c r="D238">
        <v>140922906</v>
      </c>
      <c r="E238">
        <v>1</v>
      </c>
      <c r="F238">
        <v>1</v>
      </c>
      <c r="G238">
        <v>1</v>
      </c>
      <c r="H238">
        <v>2</v>
      </c>
      <c r="I238" t="s">
        <v>962</v>
      </c>
      <c r="J238" t="s">
        <v>963</v>
      </c>
      <c r="K238" t="s">
        <v>964</v>
      </c>
      <c r="L238">
        <v>1367</v>
      </c>
      <c r="N238">
        <v>1011</v>
      </c>
      <c r="O238" t="s">
        <v>79</v>
      </c>
      <c r="P238" t="s">
        <v>79</v>
      </c>
      <c r="Q238">
        <v>1</v>
      </c>
      <c r="W238">
        <v>0</v>
      </c>
      <c r="X238">
        <v>-163180553</v>
      </c>
      <c r="Y238">
        <f t="shared" si="86"/>
        <v>6.4399999999999999E-2</v>
      </c>
      <c r="AA238">
        <v>0</v>
      </c>
      <c r="AB238">
        <v>1458.51</v>
      </c>
      <c r="AC238">
        <v>470.93</v>
      </c>
      <c r="AD238">
        <v>0</v>
      </c>
      <c r="AE238">
        <v>0</v>
      </c>
      <c r="AF238">
        <v>120.24</v>
      </c>
      <c r="AG238">
        <v>15.42</v>
      </c>
      <c r="AH238">
        <v>0</v>
      </c>
      <c r="AI238">
        <v>1</v>
      </c>
      <c r="AJ238">
        <v>12.13</v>
      </c>
      <c r="AK238">
        <v>30.54</v>
      </c>
      <c r="AL238">
        <v>1</v>
      </c>
      <c r="AM238">
        <v>4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</v>
      </c>
      <c r="AT238">
        <v>0.08</v>
      </c>
      <c r="AU238" t="s">
        <v>404</v>
      </c>
      <c r="AV238">
        <v>0</v>
      </c>
      <c r="AW238">
        <v>2</v>
      </c>
      <c r="AX238">
        <v>145051221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ROUND(Y238*Source!I122,9)</f>
        <v>4.2465360000000001E-2</v>
      </c>
      <c r="CY238">
        <f t="shared" ref="CY238:CY244" si="91">AB238</f>
        <v>1458.51</v>
      </c>
      <c r="CZ238">
        <f t="shared" ref="CZ238:CZ244" si="92">AF238</f>
        <v>120.24</v>
      </c>
      <c r="DA238">
        <f t="shared" ref="DA238:DA244" si="93">AJ238</f>
        <v>12.13</v>
      </c>
      <c r="DB238">
        <f t="shared" si="87"/>
        <v>7.74</v>
      </c>
      <c r="DC238">
        <f t="shared" si="88"/>
        <v>0.99</v>
      </c>
      <c r="DD238" t="s">
        <v>3</v>
      </c>
      <c r="DE238" t="s">
        <v>3</v>
      </c>
      <c r="DF238">
        <f t="shared" si="85"/>
        <v>0</v>
      </c>
      <c r="DG238">
        <f t="shared" ref="DG238:DG244" si="94">ROUND(ROUND(AF238*AJ238,2)*CX238,2)</f>
        <v>61.94</v>
      </c>
      <c r="DH238">
        <f t="shared" si="89"/>
        <v>20</v>
      </c>
      <c r="DI238">
        <f t="shared" si="90"/>
        <v>0</v>
      </c>
      <c r="DJ238">
        <f t="shared" ref="DJ238:DJ244" si="95">DG238</f>
        <v>61.94</v>
      </c>
      <c r="DK238">
        <v>0</v>
      </c>
      <c r="DL238" t="s">
        <v>3</v>
      </c>
      <c r="DM238">
        <v>0</v>
      </c>
      <c r="DN238" t="s">
        <v>3</v>
      </c>
      <c r="DO238">
        <v>0</v>
      </c>
    </row>
    <row r="239" spans="1:119" x14ac:dyDescent="0.2">
      <c r="A239">
        <f>ROW(Source!A122)</f>
        <v>122</v>
      </c>
      <c r="B239">
        <v>145033679</v>
      </c>
      <c r="C239">
        <v>145051218</v>
      </c>
      <c r="D239">
        <v>140922951</v>
      </c>
      <c r="E239">
        <v>1</v>
      </c>
      <c r="F239">
        <v>1</v>
      </c>
      <c r="G239">
        <v>1</v>
      </c>
      <c r="H239">
        <v>2</v>
      </c>
      <c r="I239" t="s">
        <v>752</v>
      </c>
      <c r="J239" t="s">
        <v>753</v>
      </c>
      <c r="K239" t="s">
        <v>754</v>
      </c>
      <c r="L239">
        <v>1367</v>
      </c>
      <c r="N239">
        <v>1011</v>
      </c>
      <c r="O239" t="s">
        <v>79</v>
      </c>
      <c r="P239" t="s">
        <v>79</v>
      </c>
      <c r="Q239">
        <v>1</v>
      </c>
      <c r="W239">
        <v>0</v>
      </c>
      <c r="X239">
        <v>-430484415</v>
      </c>
      <c r="Y239">
        <f t="shared" si="86"/>
        <v>9.6599999999999978E-2</v>
      </c>
      <c r="AA239">
        <v>0</v>
      </c>
      <c r="AB239">
        <v>1399.8</v>
      </c>
      <c r="AC239">
        <v>412.29</v>
      </c>
      <c r="AD239">
        <v>0</v>
      </c>
      <c r="AE239">
        <v>0</v>
      </c>
      <c r="AF239">
        <v>115.4</v>
      </c>
      <c r="AG239">
        <v>13.5</v>
      </c>
      <c r="AH239">
        <v>0</v>
      </c>
      <c r="AI239">
        <v>1</v>
      </c>
      <c r="AJ239">
        <v>12.13</v>
      </c>
      <c r="AK239">
        <v>30.54</v>
      </c>
      <c r="AL239">
        <v>1</v>
      </c>
      <c r="AM239">
        <v>4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0.12</v>
      </c>
      <c r="AU239" t="s">
        <v>404</v>
      </c>
      <c r="AV239">
        <v>0</v>
      </c>
      <c r="AW239">
        <v>2</v>
      </c>
      <c r="AX239">
        <v>145051222</v>
      </c>
      <c r="AY239">
        <v>1</v>
      </c>
      <c r="AZ239">
        <v>0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ROUND(Y239*Source!I122,9)</f>
        <v>6.3698039999999997E-2</v>
      </c>
      <c r="CY239">
        <f t="shared" si="91"/>
        <v>1399.8</v>
      </c>
      <c r="CZ239">
        <f t="shared" si="92"/>
        <v>115.4</v>
      </c>
      <c r="DA239">
        <f t="shared" si="93"/>
        <v>12.13</v>
      </c>
      <c r="DB239">
        <f t="shared" si="87"/>
        <v>11.15</v>
      </c>
      <c r="DC239">
        <f t="shared" si="88"/>
        <v>1.3</v>
      </c>
      <c r="DD239" t="s">
        <v>3</v>
      </c>
      <c r="DE239" t="s">
        <v>3</v>
      </c>
      <c r="DF239">
        <f t="shared" si="85"/>
        <v>0</v>
      </c>
      <c r="DG239">
        <f t="shared" si="94"/>
        <v>89.16</v>
      </c>
      <c r="DH239">
        <f t="shared" si="89"/>
        <v>26.26</v>
      </c>
      <c r="DI239">
        <f t="shared" si="90"/>
        <v>0</v>
      </c>
      <c r="DJ239">
        <f t="shared" si="95"/>
        <v>89.16</v>
      </c>
      <c r="DK239">
        <v>0</v>
      </c>
      <c r="DL239" t="s">
        <v>3</v>
      </c>
      <c r="DM239">
        <v>0</v>
      </c>
      <c r="DN239" t="s">
        <v>3</v>
      </c>
      <c r="DO239">
        <v>0</v>
      </c>
    </row>
    <row r="240" spans="1:119" x14ac:dyDescent="0.2">
      <c r="A240">
        <f>ROW(Source!A122)</f>
        <v>122</v>
      </c>
      <c r="B240">
        <v>145033679</v>
      </c>
      <c r="C240">
        <v>145051218</v>
      </c>
      <c r="D240">
        <v>140922957</v>
      </c>
      <c r="E240">
        <v>1</v>
      </c>
      <c r="F240">
        <v>1</v>
      </c>
      <c r="G240">
        <v>1</v>
      </c>
      <c r="H240">
        <v>2</v>
      </c>
      <c r="I240" t="s">
        <v>965</v>
      </c>
      <c r="J240" t="s">
        <v>966</v>
      </c>
      <c r="K240" t="s">
        <v>967</v>
      </c>
      <c r="L240">
        <v>1367</v>
      </c>
      <c r="N240">
        <v>1011</v>
      </c>
      <c r="O240" t="s">
        <v>79</v>
      </c>
      <c r="P240" t="s">
        <v>79</v>
      </c>
      <c r="Q240">
        <v>1</v>
      </c>
      <c r="W240">
        <v>0</v>
      </c>
      <c r="X240">
        <v>-1189221606</v>
      </c>
      <c r="Y240">
        <f t="shared" si="86"/>
        <v>1.3604499999999997</v>
      </c>
      <c r="AA240">
        <v>0</v>
      </c>
      <c r="AB240">
        <v>1456.09</v>
      </c>
      <c r="AC240">
        <v>412.29</v>
      </c>
      <c r="AD240">
        <v>0</v>
      </c>
      <c r="AE240">
        <v>0</v>
      </c>
      <c r="AF240">
        <v>120.04</v>
      </c>
      <c r="AG240">
        <v>13.5</v>
      </c>
      <c r="AH240">
        <v>0</v>
      </c>
      <c r="AI240">
        <v>1</v>
      </c>
      <c r="AJ240">
        <v>12.13</v>
      </c>
      <c r="AK240">
        <v>30.54</v>
      </c>
      <c r="AL240">
        <v>1</v>
      </c>
      <c r="AM240">
        <v>4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1.69</v>
      </c>
      <c r="AU240" t="s">
        <v>404</v>
      </c>
      <c r="AV240">
        <v>0</v>
      </c>
      <c r="AW240">
        <v>2</v>
      </c>
      <c r="AX240">
        <v>145051223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ROUND(Y240*Source!I122,9)</f>
        <v>0.89708072999999999</v>
      </c>
      <c r="CY240">
        <f t="shared" si="91"/>
        <v>1456.09</v>
      </c>
      <c r="CZ240">
        <f t="shared" si="92"/>
        <v>120.04</v>
      </c>
      <c r="DA240">
        <f t="shared" si="93"/>
        <v>12.13</v>
      </c>
      <c r="DB240">
        <f t="shared" si="87"/>
        <v>163.31</v>
      </c>
      <c r="DC240">
        <f t="shared" si="88"/>
        <v>18.37</v>
      </c>
      <c r="DD240" t="s">
        <v>3</v>
      </c>
      <c r="DE240" t="s">
        <v>3</v>
      </c>
      <c r="DF240">
        <f t="shared" si="85"/>
        <v>0</v>
      </c>
      <c r="DG240">
        <f t="shared" si="94"/>
        <v>1306.23</v>
      </c>
      <c r="DH240">
        <f t="shared" si="89"/>
        <v>369.86</v>
      </c>
      <c r="DI240">
        <f t="shared" si="90"/>
        <v>0</v>
      </c>
      <c r="DJ240">
        <f t="shared" si="95"/>
        <v>1306.23</v>
      </c>
      <c r="DK240">
        <v>0</v>
      </c>
      <c r="DL240" t="s">
        <v>3</v>
      </c>
      <c r="DM240">
        <v>0</v>
      </c>
      <c r="DN240" t="s">
        <v>3</v>
      </c>
      <c r="DO240">
        <v>0</v>
      </c>
    </row>
    <row r="241" spans="1:119" x14ac:dyDescent="0.2">
      <c r="A241">
        <f>ROW(Source!A122)</f>
        <v>122</v>
      </c>
      <c r="B241">
        <v>145033679</v>
      </c>
      <c r="C241">
        <v>145051218</v>
      </c>
      <c r="D241">
        <v>140923032</v>
      </c>
      <c r="E241">
        <v>1</v>
      </c>
      <c r="F241">
        <v>1</v>
      </c>
      <c r="G241">
        <v>1</v>
      </c>
      <c r="H241">
        <v>2</v>
      </c>
      <c r="I241" t="s">
        <v>968</v>
      </c>
      <c r="J241" t="s">
        <v>969</v>
      </c>
      <c r="K241" t="s">
        <v>970</v>
      </c>
      <c r="L241">
        <v>1367</v>
      </c>
      <c r="N241">
        <v>1011</v>
      </c>
      <c r="O241" t="s">
        <v>79</v>
      </c>
      <c r="P241" t="s">
        <v>79</v>
      </c>
      <c r="Q241">
        <v>1</v>
      </c>
      <c r="W241">
        <v>0</v>
      </c>
      <c r="X241">
        <v>321316643</v>
      </c>
      <c r="Y241">
        <f t="shared" si="86"/>
        <v>9.6599999999999978E-2</v>
      </c>
      <c r="AA241">
        <v>0</v>
      </c>
      <c r="AB241">
        <v>10.92</v>
      </c>
      <c r="AC241">
        <v>0</v>
      </c>
      <c r="AD241">
        <v>0</v>
      </c>
      <c r="AE241">
        <v>0</v>
      </c>
      <c r="AF241">
        <v>0.9</v>
      </c>
      <c r="AG241">
        <v>0</v>
      </c>
      <c r="AH241">
        <v>0</v>
      </c>
      <c r="AI241">
        <v>1</v>
      </c>
      <c r="AJ241">
        <v>12.13</v>
      </c>
      <c r="AK241">
        <v>30.54</v>
      </c>
      <c r="AL241">
        <v>1</v>
      </c>
      <c r="AM241">
        <v>4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0.12</v>
      </c>
      <c r="AU241" t="s">
        <v>404</v>
      </c>
      <c r="AV241">
        <v>0</v>
      </c>
      <c r="AW241">
        <v>2</v>
      </c>
      <c r="AX241">
        <v>145051224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ROUND(Y241*Source!I122,9)</f>
        <v>6.3698039999999997E-2</v>
      </c>
      <c r="CY241">
        <f t="shared" si="91"/>
        <v>10.92</v>
      </c>
      <c r="CZ241">
        <f t="shared" si="92"/>
        <v>0.9</v>
      </c>
      <c r="DA241">
        <f t="shared" si="93"/>
        <v>12.13</v>
      </c>
      <c r="DB241">
        <f t="shared" si="87"/>
        <v>0.09</v>
      </c>
      <c r="DC241">
        <f t="shared" si="88"/>
        <v>0</v>
      </c>
      <c r="DD241" t="s">
        <v>3</v>
      </c>
      <c r="DE241" t="s">
        <v>3</v>
      </c>
      <c r="DF241">
        <f t="shared" si="85"/>
        <v>0</v>
      </c>
      <c r="DG241">
        <f t="shared" si="94"/>
        <v>0.7</v>
      </c>
      <c r="DH241">
        <f t="shared" si="89"/>
        <v>0</v>
      </c>
      <c r="DI241">
        <f t="shared" si="90"/>
        <v>0</v>
      </c>
      <c r="DJ241">
        <f t="shared" si="95"/>
        <v>0.7</v>
      </c>
      <c r="DK241">
        <v>0</v>
      </c>
      <c r="DL241" t="s">
        <v>3</v>
      </c>
      <c r="DM241">
        <v>0</v>
      </c>
      <c r="DN241" t="s">
        <v>3</v>
      </c>
      <c r="DO241">
        <v>0</v>
      </c>
    </row>
    <row r="242" spans="1:119" x14ac:dyDescent="0.2">
      <c r="A242">
        <f>ROW(Source!A122)</f>
        <v>122</v>
      </c>
      <c r="B242">
        <v>145033679</v>
      </c>
      <c r="C242">
        <v>145051218</v>
      </c>
      <c r="D242">
        <v>140923885</v>
      </c>
      <c r="E242">
        <v>1</v>
      </c>
      <c r="F242">
        <v>1</v>
      </c>
      <c r="G242">
        <v>1</v>
      </c>
      <c r="H242">
        <v>2</v>
      </c>
      <c r="I242" t="s">
        <v>732</v>
      </c>
      <c r="J242" t="s">
        <v>733</v>
      </c>
      <c r="K242" t="s">
        <v>734</v>
      </c>
      <c r="L242">
        <v>1367</v>
      </c>
      <c r="N242">
        <v>1011</v>
      </c>
      <c r="O242" t="s">
        <v>79</v>
      </c>
      <c r="P242" t="s">
        <v>79</v>
      </c>
      <c r="Q242">
        <v>1</v>
      </c>
      <c r="W242">
        <v>0</v>
      </c>
      <c r="X242">
        <v>509054691</v>
      </c>
      <c r="Y242">
        <f t="shared" si="86"/>
        <v>0.15294999999999997</v>
      </c>
      <c r="AA242">
        <v>0</v>
      </c>
      <c r="AB242">
        <v>797.06</v>
      </c>
      <c r="AC242">
        <v>354.26</v>
      </c>
      <c r="AD242">
        <v>0</v>
      </c>
      <c r="AE242">
        <v>0</v>
      </c>
      <c r="AF242">
        <v>65.709999999999994</v>
      </c>
      <c r="AG242">
        <v>11.6</v>
      </c>
      <c r="AH242">
        <v>0</v>
      </c>
      <c r="AI242">
        <v>1</v>
      </c>
      <c r="AJ242">
        <v>12.13</v>
      </c>
      <c r="AK242">
        <v>30.54</v>
      </c>
      <c r="AL242">
        <v>1</v>
      </c>
      <c r="AM242">
        <v>4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3</v>
      </c>
      <c r="AT242">
        <v>0.19</v>
      </c>
      <c r="AU242" t="s">
        <v>404</v>
      </c>
      <c r="AV242">
        <v>0</v>
      </c>
      <c r="AW242">
        <v>2</v>
      </c>
      <c r="AX242">
        <v>145051225</v>
      </c>
      <c r="AY242">
        <v>1</v>
      </c>
      <c r="AZ242">
        <v>0</v>
      </c>
      <c r="BA242">
        <v>242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ROUND(Y242*Source!I122,9)</f>
        <v>0.10085523</v>
      </c>
      <c r="CY242">
        <f t="shared" si="91"/>
        <v>797.06</v>
      </c>
      <c r="CZ242">
        <f t="shared" si="92"/>
        <v>65.709999999999994</v>
      </c>
      <c r="DA242">
        <f t="shared" si="93"/>
        <v>12.13</v>
      </c>
      <c r="DB242">
        <f t="shared" si="87"/>
        <v>10.050000000000001</v>
      </c>
      <c r="DC242">
        <f t="shared" si="88"/>
        <v>1.77</v>
      </c>
      <c r="DD242" t="s">
        <v>3</v>
      </c>
      <c r="DE242" t="s">
        <v>3</v>
      </c>
      <c r="DF242">
        <f t="shared" si="85"/>
        <v>0</v>
      </c>
      <c r="DG242">
        <f t="shared" si="94"/>
        <v>80.39</v>
      </c>
      <c r="DH242">
        <f t="shared" si="89"/>
        <v>35.729999999999997</v>
      </c>
      <c r="DI242">
        <f t="shared" si="90"/>
        <v>0</v>
      </c>
      <c r="DJ242">
        <f t="shared" si="95"/>
        <v>80.39</v>
      </c>
      <c r="DK242">
        <v>0</v>
      </c>
      <c r="DL242" t="s">
        <v>3</v>
      </c>
      <c r="DM242">
        <v>0</v>
      </c>
      <c r="DN242" t="s">
        <v>3</v>
      </c>
      <c r="DO242">
        <v>0</v>
      </c>
    </row>
    <row r="243" spans="1:119" x14ac:dyDescent="0.2">
      <c r="A243">
        <f>ROW(Source!A122)</f>
        <v>122</v>
      </c>
      <c r="B243">
        <v>145033679</v>
      </c>
      <c r="C243">
        <v>145051218</v>
      </c>
      <c r="D243">
        <v>140924041</v>
      </c>
      <c r="E243">
        <v>1</v>
      </c>
      <c r="F243">
        <v>1</v>
      </c>
      <c r="G243">
        <v>1</v>
      </c>
      <c r="H243">
        <v>2</v>
      </c>
      <c r="I243" t="s">
        <v>777</v>
      </c>
      <c r="J243" t="s">
        <v>778</v>
      </c>
      <c r="K243" t="s">
        <v>779</v>
      </c>
      <c r="L243">
        <v>1367</v>
      </c>
      <c r="N243">
        <v>1011</v>
      </c>
      <c r="O243" t="s">
        <v>79</v>
      </c>
      <c r="P243" t="s">
        <v>79</v>
      </c>
      <c r="Q243">
        <v>1</v>
      </c>
      <c r="W243">
        <v>0</v>
      </c>
      <c r="X243">
        <v>2077867240</v>
      </c>
      <c r="Y243">
        <f t="shared" si="86"/>
        <v>1.44095</v>
      </c>
      <c r="AA243">
        <v>0</v>
      </c>
      <c r="AB243">
        <v>14.56</v>
      </c>
      <c r="AC243">
        <v>0</v>
      </c>
      <c r="AD243">
        <v>0</v>
      </c>
      <c r="AE243">
        <v>0</v>
      </c>
      <c r="AF243">
        <v>1.2</v>
      </c>
      <c r="AG243">
        <v>0</v>
      </c>
      <c r="AH243">
        <v>0</v>
      </c>
      <c r="AI243">
        <v>1</v>
      </c>
      <c r="AJ243">
        <v>12.13</v>
      </c>
      <c r="AK243">
        <v>30.54</v>
      </c>
      <c r="AL243">
        <v>1</v>
      </c>
      <c r="AM243">
        <v>4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1.79</v>
      </c>
      <c r="AU243" t="s">
        <v>404</v>
      </c>
      <c r="AV243">
        <v>0</v>
      </c>
      <c r="AW243">
        <v>2</v>
      </c>
      <c r="AX243">
        <v>145051226</v>
      </c>
      <c r="AY243">
        <v>1</v>
      </c>
      <c r="AZ243">
        <v>0</v>
      </c>
      <c r="BA243">
        <v>243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ROUND(Y243*Source!I122,9)</f>
        <v>0.95016243</v>
      </c>
      <c r="CY243">
        <f t="shared" si="91"/>
        <v>14.56</v>
      </c>
      <c r="CZ243">
        <f t="shared" si="92"/>
        <v>1.2</v>
      </c>
      <c r="DA243">
        <f t="shared" si="93"/>
        <v>12.13</v>
      </c>
      <c r="DB243">
        <f t="shared" si="87"/>
        <v>1.73</v>
      </c>
      <c r="DC243">
        <f t="shared" si="88"/>
        <v>0</v>
      </c>
      <c r="DD243" t="s">
        <v>3</v>
      </c>
      <c r="DE243" t="s">
        <v>3</v>
      </c>
      <c r="DF243">
        <f t="shared" si="85"/>
        <v>0</v>
      </c>
      <c r="DG243">
        <f t="shared" si="94"/>
        <v>13.83</v>
      </c>
      <c r="DH243">
        <f t="shared" si="89"/>
        <v>0</v>
      </c>
      <c r="DI243">
        <f t="shared" si="90"/>
        <v>0</v>
      </c>
      <c r="DJ243">
        <f t="shared" si="95"/>
        <v>13.83</v>
      </c>
      <c r="DK243">
        <v>0</v>
      </c>
      <c r="DL243" t="s">
        <v>3</v>
      </c>
      <c r="DM243">
        <v>0</v>
      </c>
      <c r="DN243" t="s">
        <v>3</v>
      </c>
      <c r="DO243">
        <v>0</v>
      </c>
    </row>
    <row r="244" spans="1:119" x14ac:dyDescent="0.2">
      <c r="A244">
        <f>ROW(Source!A122)</f>
        <v>122</v>
      </c>
      <c r="B244">
        <v>145033679</v>
      </c>
      <c r="C244">
        <v>145051218</v>
      </c>
      <c r="D244">
        <v>140924084</v>
      </c>
      <c r="E244">
        <v>1</v>
      </c>
      <c r="F244">
        <v>1</v>
      </c>
      <c r="G244">
        <v>1</v>
      </c>
      <c r="H244">
        <v>2</v>
      </c>
      <c r="I244" t="s">
        <v>971</v>
      </c>
      <c r="J244" t="s">
        <v>972</v>
      </c>
      <c r="K244" t="s">
        <v>973</v>
      </c>
      <c r="L244">
        <v>1367</v>
      </c>
      <c r="N244">
        <v>1011</v>
      </c>
      <c r="O244" t="s">
        <v>79</v>
      </c>
      <c r="P244" t="s">
        <v>79</v>
      </c>
      <c r="Q244">
        <v>1</v>
      </c>
      <c r="W244">
        <v>0</v>
      </c>
      <c r="X244">
        <v>-1866313122</v>
      </c>
      <c r="Y244">
        <f t="shared" si="86"/>
        <v>5.4739999999999993</v>
      </c>
      <c r="AA244">
        <v>0</v>
      </c>
      <c r="AB244">
        <v>149.32</v>
      </c>
      <c r="AC244">
        <v>0</v>
      </c>
      <c r="AD244">
        <v>0</v>
      </c>
      <c r="AE244">
        <v>0</v>
      </c>
      <c r="AF244">
        <v>12.31</v>
      </c>
      <c r="AG244">
        <v>0</v>
      </c>
      <c r="AH244">
        <v>0</v>
      </c>
      <c r="AI244">
        <v>1</v>
      </c>
      <c r="AJ244">
        <v>12.13</v>
      </c>
      <c r="AK244">
        <v>30.54</v>
      </c>
      <c r="AL244">
        <v>1</v>
      </c>
      <c r="AM244">
        <v>4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6.8</v>
      </c>
      <c r="AU244" t="s">
        <v>404</v>
      </c>
      <c r="AV244">
        <v>0</v>
      </c>
      <c r="AW244">
        <v>2</v>
      </c>
      <c r="AX244">
        <v>145051227</v>
      </c>
      <c r="AY244">
        <v>1</v>
      </c>
      <c r="AZ244">
        <v>0</v>
      </c>
      <c r="BA244">
        <v>244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ROUND(Y244*Source!I122,9)</f>
        <v>3.6095556000000002</v>
      </c>
      <c r="CY244">
        <f t="shared" si="91"/>
        <v>149.32</v>
      </c>
      <c r="CZ244">
        <f t="shared" si="92"/>
        <v>12.31</v>
      </c>
      <c r="DA244">
        <f t="shared" si="93"/>
        <v>12.13</v>
      </c>
      <c r="DB244">
        <f t="shared" si="87"/>
        <v>67.39</v>
      </c>
      <c r="DC244">
        <f t="shared" si="88"/>
        <v>0</v>
      </c>
      <c r="DD244" t="s">
        <v>3</v>
      </c>
      <c r="DE244" t="s">
        <v>3</v>
      </c>
      <c r="DF244">
        <f t="shared" si="85"/>
        <v>0</v>
      </c>
      <c r="DG244">
        <f t="shared" si="94"/>
        <v>538.98</v>
      </c>
      <c r="DH244">
        <f t="shared" si="89"/>
        <v>0</v>
      </c>
      <c r="DI244">
        <f t="shared" si="90"/>
        <v>0</v>
      </c>
      <c r="DJ244">
        <f t="shared" si="95"/>
        <v>538.98</v>
      </c>
      <c r="DK244">
        <v>0</v>
      </c>
      <c r="DL244" t="s">
        <v>3</v>
      </c>
      <c r="DM244">
        <v>0</v>
      </c>
      <c r="DN244" t="s">
        <v>3</v>
      </c>
      <c r="DO244">
        <v>0</v>
      </c>
    </row>
    <row r="245" spans="1:119" x14ac:dyDescent="0.2">
      <c r="A245">
        <f>ROW(Source!A122)</f>
        <v>122</v>
      </c>
      <c r="B245">
        <v>145033679</v>
      </c>
      <c r="C245">
        <v>145051218</v>
      </c>
      <c r="D245">
        <v>140771005</v>
      </c>
      <c r="E245">
        <v>1</v>
      </c>
      <c r="F245">
        <v>1</v>
      </c>
      <c r="G245">
        <v>1</v>
      </c>
      <c r="H245">
        <v>3</v>
      </c>
      <c r="I245" t="s">
        <v>786</v>
      </c>
      <c r="J245" t="s">
        <v>787</v>
      </c>
      <c r="K245" t="s">
        <v>788</v>
      </c>
      <c r="L245">
        <v>1339</v>
      </c>
      <c r="N245">
        <v>1007</v>
      </c>
      <c r="O245" t="s">
        <v>66</v>
      </c>
      <c r="P245" t="s">
        <v>66</v>
      </c>
      <c r="Q245">
        <v>1</v>
      </c>
      <c r="W245">
        <v>0</v>
      </c>
      <c r="X245">
        <v>-1761807714</v>
      </c>
      <c r="Y245">
        <f t="shared" ref="Y245:Y258" si="96">(AT245*0)</f>
        <v>0</v>
      </c>
      <c r="AA245">
        <v>54.18</v>
      </c>
      <c r="AB245">
        <v>0</v>
      </c>
      <c r="AC245">
        <v>0</v>
      </c>
      <c r="AD245">
        <v>0</v>
      </c>
      <c r="AE245">
        <v>6.22</v>
      </c>
      <c r="AF245">
        <v>0</v>
      </c>
      <c r="AG245">
        <v>0</v>
      </c>
      <c r="AH245">
        <v>0</v>
      </c>
      <c r="AI245">
        <v>8.7100000000000009</v>
      </c>
      <c r="AJ245">
        <v>1</v>
      </c>
      <c r="AK245">
        <v>1</v>
      </c>
      <c r="AL245">
        <v>1</v>
      </c>
      <c r="AM245">
        <v>4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1.4</v>
      </c>
      <c r="AU245" t="s">
        <v>299</v>
      </c>
      <c r="AV245">
        <v>0</v>
      </c>
      <c r="AW245">
        <v>2</v>
      </c>
      <c r="AX245">
        <v>145051228</v>
      </c>
      <c r="AY245">
        <v>1</v>
      </c>
      <c r="AZ245">
        <v>0</v>
      </c>
      <c r="BA245">
        <v>245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ROUND(Y245*Source!I122,9)</f>
        <v>0</v>
      </c>
      <c r="CY245">
        <f t="shared" ref="CY245:CY258" si="97">AA245</f>
        <v>54.18</v>
      </c>
      <c r="CZ245">
        <f t="shared" ref="CZ245:CZ258" si="98">AE245</f>
        <v>6.22</v>
      </c>
      <c r="DA245">
        <f t="shared" ref="DA245:DA258" si="99">AI245</f>
        <v>8.7100000000000009</v>
      </c>
      <c r="DB245">
        <f t="shared" ref="DB245:DB258" si="100">ROUND((ROUND(AT245*CZ245,2)*0),2)</f>
        <v>0</v>
      </c>
      <c r="DC245">
        <f t="shared" ref="DC245:DC258" si="101">ROUND((ROUND(AT245*AG245,2)*0),2)</f>
        <v>0</v>
      </c>
      <c r="DD245" t="s">
        <v>3</v>
      </c>
      <c r="DE245" t="s">
        <v>3</v>
      </c>
      <c r="DF245">
        <f t="shared" ref="DF245:DF258" si="102">ROUND(ROUND(AE245*AI245,2)*CX245,2)</f>
        <v>0</v>
      </c>
      <c r="DG245">
        <f t="shared" ref="DG245:DG260" si="103">ROUND(ROUND(AF245,2)*CX245,2)</f>
        <v>0</v>
      </c>
      <c r="DH245">
        <f t="shared" ref="DH245:DH259" si="104">ROUND(ROUND(AG245,2)*CX245,2)</f>
        <v>0</v>
      </c>
      <c r="DI245">
        <f t="shared" si="90"/>
        <v>0</v>
      </c>
      <c r="DJ245">
        <f t="shared" ref="DJ245:DJ258" si="105">DF245</f>
        <v>0</v>
      </c>
      <c r="DK245">
        <v>0</v>
      </c>
      <c r="DL245" t="s">
        <v>3</v>
      </c>
      <c r="DM245">
        <v>0</v>
      </c>
      <c r="DN245" t="s">
        <v>3</v>
      </c>
      <c r="DO245">
        <v>0</v>
      </c>
    </row>
    <row r="246" spans="1:119" x14ac:dyDescent="0.2">
      <c r="A246">
        <f>ROW(Source!A122)</f>
        <v>122</v>
      </c>
      <c r="B246">
        <v>145033679</v>
      </c>
      <c r="C246">
        <v>145051218</v>
      </c>
      <c r="D246">
        <v>140771011</v>
      </c>
      <c r="E246">
        <v>1</v>
      </c>
      <c r="F246">
        <v>1</v>
      </c>
      <c r="G246">
        <v>1</v>
      </c>
      <c r="H246">
        <v>3</v>
      </c>
      <c r="I246" t="s">
        <v>789</v>
      </c>
      <c r="J246" t="s">
        <v>790</v>
      </c>
      <c r="K246" t="s">
        <v>791</v>
      </c>
      <c r="L246">
        <v>1346</v>
      </c>
      <c r="N246">
        <v>1009</v>
      </c>
      <c r="O246" t="s">
        <v>43</v>
      </c>
      <c r="P246" t="s">
        <v>43</v>
      </c>
      <c r="Q246">
        <v>1</v>
      </c>
      <c r="W246">
        <v>0</v>
      </c>
      <c r="X246">
        <v>-2118006079</v>
      </c>
      <c r="Y246">
        <f t="shared" si="96"/>
        <v>0</v>
      </c>
      <c r="AA246">
        <v>53.04</v>
      </c>
      <c r="AB246">
        <v>0</v>
      </c>
      <c r="AC246">
        <v>0</v>
      </c>
      <c r="AD246">
        <v>0</v>
      </c>
      <c r="AE246">
        <v>6.09</v>
      </c>
      <c r="AF246">
        <v>0</v>
      </c>
      <c r="AG246">
        <v>0</v>
      </c>
      <c r="AH246">
        <v>0</v>
      </c>
      <c r="AI246">
        <v>8.7100000000000009</v>
      </c>
      <c r="AJ246">
        <v>1</v>
      </c>
      <c r="AK246">
        <v>1</v>
      </c>
      <c r="AL246">
        <v>1</v>
      </c>
      <c r="AM246">
        <v>4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0.42</v>
      </c>
      <c r="AU246" t="s">
        <v>299</v>
      </c>
      <c r="AV246">
        <v>0</v>
      </c>
      <c r="AW246">
        <v>2</v>
      </c>
      <c r="AX246">
        <v>145051229</v>
      </c>
      <c r="AY246">
        <v>1</v>
      </c>
      <c r="AZ246">
        <v>0</v>
      </c>
      <c r="BA246">
        <v>246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ROUND(Y246*Source!I122,9)</f>
        <v>0</v>
      </c>
      <c r="CY246">
        <f t="shared" si="97"/>
        <v>53.04</v>
      </c>
      <c r="CZ246">
        <f t="shared" si="98"/>
        <v>6.09</v>
      </c>
      <c r="DA246">
        <f t="shared" si="99"/>
        <v>8.7100000000000009</v>
      </c>
      <c r="DB246">
        <f t="shared" si="100"/>
        <v>0</v>
      </c>
      <c r="DC246">
        <f t="shared" si="101"/>
        <v>0</v>
      </c>
      <c r="DD246" t="s">
        <v>3</v>
      </c>
      <c r="DE246" t="s">
        <v>3</v>
      </c>
      <c r="DF246">
        <f t="shared" si="102"/>
        <v>0</v>
      </c>
      <c r="DG246">
        <f t="shared" si="103"/>
        <v>0</v>
      </c>
      <c r="DH246">
        <f t="shared" si="104"/>
        <v>0</v>
      </c>
      <c r="DI246">
        <f t="shared" si="90"/>
        <v>0</v>
      </c>
      <c r="DJ246">
        <f t="shared" si="105"/>
        <v>0</v>
      </c>
      <c r="DK246">
        <v>0</v>
      </c>
      <c r="DL246" t="s">
        <v>3</v>
      </c>
      <c r="DM246">
        <v>0</v>
      </c>
      <c r="DN246" t="s">
        <v>3</v>
      </c>
      <c r="DO246">
        <v>0</v>
      </c>
    </row>
    <row r="247" spans="1:119" x14ac:dyDescent="0.2">
      <c r="A247">
        <f>ROW(Source!A122)</f>
        <v>122</v>
      </c>
      <c r="B247">
        <v>145033679</v>
      </c>
      <c r="C247">
        <v>145051218</v>
      </c>
      <c r="D247">
        <v>140773780</v>
      </c>
      <c r="E247">
        <v>1</v>
      </c>
      <c r="F247">
        <v>1</v>
      </c>
      <c r="G247">
        <v>1</v>
      </c>
      <c r="H247">
        <v>3</v>
      </c>
      <c r="I247" t="s">
        <v>974</v>
      </c>
      <c r="J247" t="s">
        <v>975</v>
      </c>
      <c r="K247" t="s">
        <v>976</v>
      </c>
      <c r="L247">
        <v>1346</v>
      </c>
      <c r="N247">
        <v>1009</v>
      </c>
      <c r="O247" t="s">
        <v>43</v>
      </c>
      <c r="P247" t="s">
        <v>43</v>
      </c>
      <c r="Q247">
        <v>1</v>
      </c>
      <c r="W247">
        <v>0</v>
      </c>
      <c r="X247">
        <v>149355137</v>
      </c>
      <c r="Y247">
        <f t="shared" si="96"/>
        <v>0</v>
      </c>
      <c r="AA247">
        <v>93.63</v>
      </c>
      <c r="AB247">
        <v>0</v>
      </c>
      <c r="AC247">
        <v>0</v>
      </c>
      <c r="AD247">
        <v>0</v>
      </c>
      <c r="AE247">
        <v>10.75</v>
      </c>
      <c r="AF247">
        <v>0</v>
      </c>
      <c r="AG247">
        <v>0</v>
      </c>
      <c r="AH247">
        <v>0</v>
      </c>
      <c r="AI247">
        <v>8.7100000000000009</v>
      </c>
      <c r="AJ247">
        <v>1</v>
      </c>
      <c r="AK247">
        <v>1</v>
      </c>
      <c r="AL247">
        <v>1</v>
      </c>
      <c r="AM247">
        <v>4</v>
      </c>
      <c r="AN247">
        <v>0</v>
      </c>
      <c r="AO247">
        <v>1</v>
      </c>
      <c r="AP247">
        <v>1</v>
      </c>
      <c r="AQ247">
        <v>0</v>
      </c>
      <c r="AR247">
        <v>0</v>
      </c>
      <c r="AS247" t="s">
        <v>3</v>
      </c>
      <c r="AT247">
        <v>4</v>
      </c>
      <c r="AU247" t="s">
        <v>299</v>
      </c>
      <c r="AV247">
        <v>0</v>
      </c>
      <c r="AW247">
        <v>2</v>
      </c>
      <c r="AX247">
        <v>145051230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ROUND(Y247*Source!I122,9)</f>
        <v>0</v>
      </c>
      <c r="CY247">
        <f t="shared" si="97"/>
        <v>93.63</v>
      </c>
      <c r="CZ247">
        <f t="shared" si="98"/>
        <v>10.75</v>
      </c>
      <c r="DA247">
        <f t="shared" si="99"/>
        <v>8.7100000000000009</v>
      </c>
      <c r="DB247">
        <f t="shared" si="100"/>
        <v>0</v>
      </c>
      <c r="DC247">
        <f t="shared" si="101"/>
        <v>0</v>
      </c>
      <c r="DD247" t="s">
        <v>3</v>
      </c>
      <c r="DE247" t="s">
        <v>3</v>
      </c>
      <c r="DF247">
        <f t="shared" si="102"/>
        <v>0</v>
      </c>
      <c r="DG247">
        <f t="shared" si="103"/>
        <v>0</v>
      </c>
      <c r="DH247">
        <f t="shared" si="104"/>
        <v>0</v>
      </c>
      <c r="DI247">
        <f t="shared" si="90"/>
        <v>0</v>
      </c>
      <c r="DJ247">
        <f t="shared" si="105"/>
        <v>0</v>
      </c>
      <c r="DK247">
        <v>0</v>
      </c>
      <c r="DL247" t="s">
        <v>3</v>
      </c>
      <c r="DM247">
        <v>0</v>
      </c>
      <c r="DN247" t="s">
        <v>3</v>
      </c>
      <c r="DO247">
        <v>0</v>
      </c>
    </row>
    <row r="248" spans="1:119" x14ac:dyDescent="0.2">
      <c r="A248">
        <f>ROW(Source!A122)</f>
        <v>122</v>
      </c>
      <c r="B248">
        <v>145033679</v>
      </c>
      <c r="C248">
        <v>145051218</v>
      </c>
      <c r="D248">
        <v>140775017</v>
      </c>
      <c r="E248">
        <v>1</v>
      </c>
      <c r="F248">
        <v>1</v>
      </c>
      <c r="G248">
        <v>1</v>
      </c>
      <c r="H248">
        <v>3</v>
      </c>
      <c r="I248" t="s">
        <v>977</v>
      </c>
      <c r="J248" t="s">
        <v>978</v>
      </c>
      <c r="K248" t="s">
        <v>979</v>
      </c>
      <c r="L248">
        <v>1346</v>
      </c>
      <c r="N248">
        <v>1009</v>
      </c>
      <c r="O248" t="s">
        <v>43</v>
      </c>
      <c r="P248" t="s">
        <v>43</v>
      </c>
      <c r="Q248">
        <v>1</v>
      </c>
      <c r="W248">
        <v>0</v>
      </c>
      <c r="X248">
        <v>-1864341761</v>
      </c>
      <c r="Y248">
        <f t="shared" si="96"/>
        <v>0</v>
      </c>
      <c r="AA248">
        <v>78.739999999999995</v>
      </c>
      <c r="AB248">
        <v>0</v>
      </c>
      <c r="AC248">
        <v>0</v>
      </c>
      <c r="AD248">
        <v>0</v>
      </c>
      <c r="AE248">
        <v>9.0399999999999991</v>
      </c>
      <c r="AF248">
        <v>0</v>
      </c>
      <c r="AG248">
        <v>0</v>
      </c>
      <c r="AH248">
        <v>0</v>
      </c>
      <c r="AI248">
        <v>8.7100000000000009</v>
      </c>
      <c r="AJ248">
        <v>1</v>
      </c>
      <c r="AK248">
        <v>1</v>
      </c>
      <c r="AL248">
        <v>1</v>
      </c>
      <c r="AM248">
        <v>4</v>
      </c>
      <c r="AN248">
        <v>1</v>
      </c>
      <c r="AO248">
        <v>0</v>
      </c>
      <c r="AP248">
        <v>1</v>
      </c>
      <c r="AQ248">
        <v>0</v>
      </c>
      <c r="AR248">
        <v>0</v>
      </c>
      <c r="AS248" t="s">
        <v>3</v>
      </c>
      <c r="AT248">
        <v>0</v>
      </c>
      <c r="AU248" t="s">
        <v>299</v>
      </c>
      <c r="AV248">
        <v>0</v>
      </c>
      <c r="AW248">
        <v>2</v>
      </c>
      <c r="AX248">
        <v>145051231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ROUND(Y248*Source!I122,9)</f>
        <v>0</v>
      </c>
      <c r="CY248">
        <f t="shared" si="97"/>
        <v>78.739999999999995</v>
      </c>
      <c r="CZ248">
        <f t="shared" si="98"/>
        <v>9.0399999999999991</v>
      </c>
      <c r="DA248">
        <f t="shared" si="99"/>
        <v>8.7100000000000009</v>
      </c>
      <c r="DB248">
        <f t="shared" si="100"/>
        <v>0</v>
      </c>
      <c r="DC248">
        <f t="shared" si="101"/>
        <v>0</v>
      </c>
      <c r="DD248" t="s">
        <v>3</v>
      </c>
      <c r="DE248" t="s">
        <v>3</v>
      </c>
      <c r="DF248">
        <f t="shared" si="102"/>
        <v>0</v>
      </c>
      <c r="DG248">
        <f t="shared" si="103"/>
        <v>0</v>
      </c>
      <c r="DH248">
        <f t="shared" si="104"/>
        <v>0</v>
      </c>
      <c r="DI248">
        <f t="shared" si="90"/>
        <v>0</v>
      </c>
      <c r="DJ248">
        <f t="shared" si="105"/>
        <v>0</v>
      </c>
      <c r="DK248">
        <v>0</v>
      </c>
      <c r="DL248" t="s">
        <v>3</v>
      </c>
      <c r="DM248">
        <v>0</v>
      </c>
      <c r="DN248" t="s">
        <v>3</v>
      </c>
      <c r="DO248">
        <v>0</v>
      </c>
    </row>
    <row r="249" spans="1:119" x14ac:dyDescent="0.2">
      <c r="A249">
        <f>ROW(Source!A122)</f>
        <v>122</v>
      </c>
      <c r="B249">
        <v>145033679</v>
      </c>
      <c r="C249">
        <v>145051218</v>
      </c>
      <c r="D249">
        <v>140775118</v>
      </c>
      <c r="E249">
        <v>1</v>
      </c>
      <c r="F249">
        <v>1</v>
      </c>
      <c r="G249">
        <v>1</v>
      </c>
      <c r="H249">
        <v>3</v>
      </c>
      <c r="I249" t="s">
        <v>980</v>
      </c>
      <c r="J249" t="s">
        <v>981</v>
      </c>
      <c r="K249" t="s">
        <v>982</v>
      </c>
      <c r="L249">
        <v>1348</v>
      </c>
      <c r="N249">
        <v>1009</v>
      </c>
      <c r="O249" t="s">
        <v>105</v>
      </c>
      <c r="P249" t="s">
        <v>105</v>
      </c>
      <c r="Q249">
        <v>1000</v>
      </c>
      <c r="W249">
        <v>0</v>
      </c>
      <c r="X249">
        <v>-45966985</v>
      </c>
      <c r="Y249">
        <f t="shared" si="96"/>
        <v>0</v>
      </c>
      <c r="AA249">
        <v>104328.38</v>
      </c>
      <c r="AB249">
        <v>0</v>
      </c>
      <c r="AC249">
        <v>0</v>
      </c>
      <c r="AD249">
        <v>0</v>
      </c>
      <c r="AE249">
        <v>11978</v>
      </c>
      <c r="AF249">
        <v>0</v>
      </c>
      <c r="AG249">
        <v>0</v>
      </c>
      <c r="AH249">
        <v>0</v>
      </c>
      <c r="AI249">
        <v>8.7100000000000009</v>
      </c>
      <c r="AJ249">
        <v>1</v>
      </c>
      <c r="AK249">
        <v>1</v>
      </c>
      <c r="AL249">
        <v>1</v>
      </c>
      <c r="AM249">
        <v>4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3</v>
      </c>
      <c r="AT249">
        <v>1.0000000000000001E-5</v>
      </c>
      <c r="AU249" t="s">
        <v>299</v>
      </c>
      <c r="AV249">
        <v>0</v>
      </c>
      <c r="AW249">
        <v>2</v>
      </c>
      <c r="AX249">
        <v>145051232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ROUND(Y249*Source!I122,9)</f>
        <v>0</v>
      </c>
      <c r="CY249">
        <f t="shared" si="97"/>
        <v>104328.38</v>
      </c>
      <c r="CZ249">
        <f t="shared" si="98"/>
        <v>11978</v>
      </c>
      <c r="DA249">
        <f t="shared" si="99"/>
        <v>8.7100000000000009</v>
      </c>
      <c r="DB249">
        <f t="shared" si="100"/>
        <v>0</v>
      </c>
      <c r="DC249">
        <f t="shared" si="101"/>
        <v>0</v>
      </c>
      <c r="DD249" t="s">
        <v>3</v>
      </c>
      <c r="DE249" t="s">
        <v>3</v>
      </c>
      <c r="DF249">
        <f t="shared" si="102"/>
        <v>0</v>
      </c>
      <c r="DG249">
        <f t="shared" si="103"/>
        <v>0</v>
      </c>
      <c r="DH249">
        <f t="shared" si="104"/>
        <v>0</v>
      </c>
      <c r="DI249">
        <f t="shared" si="90"/>
        <v>0</v>
      </c>
      <c r="DJ249">
        <f t="shared" si="105"/>
        <v>0</v>
      </c>
      <c r="DK249">
        <v>0</v>
      </c>
      <c r="DL249" t="s">
        <v>3</v>
      </c>
      <c r="DM249">
        <v>0</v>
      </c>
      <c r="DN249" t="s">
        <v>3</v>
      </c>
      <c r="DO249">
        <v>0</v>
      </c>
    </row>
    <row r="250" spans="1:119" x14ac:dyDescent="0.2">
      <c r="A250">
        <f>ROW(Source!A122)</f>
        <v>122</v>
      </c>
      <c r="B250">
        <v>145033679</v>
      </c>
      <c r="C250">
        <v>145051218</v>
      </c>
      <c r="D250">
        <v>140776229</v>
      </c>
      <c r="E250">
        <v>1</v>
      </c>
      <c r="F250">
        <v>1</v>
      </c>
      <c r="G250">
        <v>1</v>
      </c>
      <c r="H250">
        <v>3</v>
      </c>
      <c r="I250" t="s">
        <v>983</v>
      </c>
      <c r="J250" t="s">
        <v>984</v>
      </c>
      <c r="K250" t="s">
        <v>985</v>
      </c>
      <c r="L250">
        <v>1348</v>
      </c>
      <c r="N250">
        <v>1009</v>
      </c>
      <c r="O250" t="s">
        <v>105</v>
      </c>
      <c r="P250" t="s">
        <v>105</v>
      </c>
      <c r="Q250">
        <v>1000</v>
      </c>
      <c r="W250">
        <v>0</v>
      </c>
      <c r="X250">
        <v>-1671348935</v>
      </c>
      <c r="Y250">
        <f t="shared" si="96"/>
        <v>0</v>
      </c>
      <c r="AA250">
        <v>330109</v>
      </c>
      <c r="AB250">
        <v>0</v>
      </c>
      <c r="AC250">
        <v>0</v>
      </c>
      <c r="AD250">
        <v>0</v>
      </c>
      <c r="AE250">
        <v>37900</v>
      </c>
      <c r="AF250">
        <v>0</v>
      </c>
      <c r="AG250">
        <v>0</v>
      </c>
      <c r="AH250">
        <v>0</v>
      </c>
      <c r="AI250">
        <v>8.7100000000000009</v>
      </c>
      <c r="AJ250">
        <v>1</v>
      </c>
      <c r="AK250">
        <v>1</v>
      </c>
      <c r="AL250">
        <v>1</v>
      </c>
      <c r="AM250">
        <v>4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1E-4</v>
      </c>
      <c r="AU250" t="s">
        <v>299</v>
      </c>
      <c r="AV250">
        <v>0</v>
      </c>
      <c r="AW250">
        <v>2</v>
      </c>
      <c r="AX250">
        <v>145051233</v>
      </c>
      <c r="AY250">
        <v>1</v>
      </c>
      <c r="AZ250">
        <v>0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ROUND(Y250*Source!I122,9)</f>
        <v>0</v>
      </c>
      <c r="CY250">
        <f t="shared" si="97"/>
        <v>330109</v>
      </c>
      <c r="CZ250">
        <f t="shared" si="98"/>
        <v>37900</v>
      </c>
      <c r="DA250">
        <f t="shared" si="99"/>
        <v>8.7100000000000009</v>
      </c>
      <c r="DB250">
        <f t="shared" si="100"/>
        <v>0</v>
      </c>
      <c r="DC250">
        <f t="shared" si="101"/>
        <v>0</v>
      </c>
      <c r="DD250" t="s">
        <v>3</v>
      </c>
      <c r="DE250" t="s">
        <v>3</v>
      </c>
      <c r="DF250">
        <f t="shared" si="102"/>
        <v>0</v>
      </c>
      <c r="DG250">
        <f t="shared" si="103"/>
        <v>0</v>
      </c>
      <c r="DH250">
        <f t="shared" si="104"/>
        <v>0</v>
      </c>
      <c r="DI250">
        <f t="shared" si="90"/>
        <v>0</v>
      </c>
      <c r="DJ250">
        <f t="shared" si="105"/>
        <v>0</v>
      </c>
      <c r="DK250">
        <v>0</v>
      </c>
      <c r="DL250" t="s">
        <v>3</v>
      </c>
      <c r="DM250">
        <v>0</v>
      </c>
      <c r="DN250" t="s">
        <v>3</v>
      </c>
      <c r="DO250">
        <v>0</v>
      </c>
    </row>
    <row r="251" spans="1:119" x14ac:dyDescent="0.2">
      <c r="A251">
        <f>ROW(Source!A122)</f>
        <v>122</v>
      </c>
      <c r="B251">
        <v>145033679</v>
      </c>
      <c r="C251">
        <v>145051218</v>
      </c>
      <c r="D251">
        <v>140762020</v>
      </c>
      <c r="E251">
        <v>70</v>
      </c>
      <c r="F251">
        <v>1</v>
      </c>
      <c r="G251">
        <v>1</v>
      </c>
      <c r="H251">
        <v>3</v>
      </c>
      <c r="I251" t="s">
        <v>959</v>
      </c>
      <c r="J251" t="s">
        <v>3</v>
      </c>
      <c r="K251" t="s">
        <v>960</v>
      </c>
      <c r="L251">
        <v>1348</v>
      </c>
      <c r="N251">
        <v>1009</v>
      </c>
      <c r="O251" t="s">
        <v>105</v>
      </c>
      <c r="P251" t="s">
        <v>105</v>
      </c>
      <c r="Q251">
        <v>1000</v>
      </c>
      <c r="W251">
        <v>0</v>
      </c>
      <c r="X251">
        <v>-1422279583</v>
      </c>
      <c r="Y251">
        <f t="shared" si="96"/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8.7100000000000009</v>
      </c>
      <c r="AJ251">
        <v>1</v>
      </c>
      <c r="AK251">
        <v>1</v>
      </c>
      <c r="AL251">
        <v>1</v>
      </c>
      <c r="AM251">
        <v>4</v>
      </c>
      <c r="AN251">
        <v>0</v>
      </c>
      <c r="AO251">
        <v>0</v>
      </c>
      <c r="AP251">
        <v>1</v>
      </c>
      <c r="AQ251">
        <v>0</v>
      </c>
      <c r="AR251">
        <v>0</v>
      </c>
      <c r="AS251" t="s">
        <v>3</v>
      </c>
      <c r="AT251">
        <v>1</v>
      </c>
      <c r="AU251" t="s">
        <v>299</v>
      </c>
      <c r="AV251">
        <v>0</v>
      </c>
      <c r="AW251">
        <v>2</v>
      </c>
      <c r="AX251">
        <v>145051234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ROUND(Y251*Source!I122,9)</f>
        <v>0</v>
      </c>
      <c r="CY251">
        <f t="shared" si="97"/>
        <v>0</v>
      </c>
      <c r="CZ251">
        <f t="shared" si="98"/>
        <v>0</v>
      </c>
      <c r="DA251">
        <f t="shared" si="99"/>
        <v>8.7100000000000009</v>
      </c>
      <c r="DB251">
        <f t="shared" si="100"/>
        <v>0</v>
      </c>
      <c r="DC251">
        <f t="shared" si="101"/>
        <v>0</v>
      </c>
      <c r="DD251" t="s">
        <v>3</v>
      </c>
      <c r="DE251" t="s">
        <v>3</v>
      </c>
      <c r="DF251">
        <f t="shared" si="102"/>
        <v>0</v>
      </c>
      <c r="DG251">
        <f t="shared" si="103"/>
        <v>0</v>
      </c>
      <c r="DH251">
        <f t="shared" si="104"/>
        <v>0</v>
      </c>
      <c r="DI251">
        <f t="shared" si="90"/>
        <v>0</v>
      </c>
      <c r="DJ251">
        <f t="shared" si="105"/>
        <v>0</v>
      </c>
      <c r="DK251">
        <v>0</v>
      </c>
      <c r="DL251" t="s">
        <v>3</v>
      </c>
      <c r="DM251">
        <v>0</v>
      </c>
      <c r="DN251" t="s">
        <v>3</v>
      </c>
      <c r="DO251">
        <v>0</v>
      </c>
    </row>
    <row r="252" spans="1:119" x14ac:dyDescent="0.2">
      <c r="A252">
        <f>ROW(Source!A122)</f>
        <v>122</v>
      </c>
      <c r="B252">
        <v>145033679</v>
      </c>
      <c r="C252">
        <v>145051218</v>
      </c>
      <c r="D252">
        <v>140789856</v>
      </c>
      <c r="E252">
        <v>1</v>
      </c>
      <c r="F252">
        <v>1</v>
      </c>
      <c r="G252">
        <v>1</v>
      </c>
      <c r="H252">
        <v>3</v>
      </c>
      <c r="I252" t="s">
        <v>986</v>
      </c>
      <c r="J252" t="s">
        <v>987</v>
      </c>
      <c r="K252" t="s">
        <v>988</v>
      </c>
      <c r="L252">
        <v>1348</v>
      </c>
      <c r="N252">
        <v>1009</v>
      </c>
      <c r="O252" t="s">
        <v>105</v>
      </c>
      <c r="P252" t="s">
        <v>105</v>
      </c>
      <c r="Q252">
        <v>1000</v>
      </c>
      <c r="W252">
        <v>0</v>
      </c>
      <c r="X252">
        <v>-1915778085</v>
      </c>
      <c r="Y252">
        <f t="shared" si="96"/>
        <v>0</v>
      </c>
      <c r="AA252">
        <v>67171.520000000004</v>
      </c>
      <c r="AB252">
        <v>0</v>
      </c>
      <c r="AC252">
        <v>0</v>
      </c>
      <c r="AD252">
        <v>0</v>
      </c>
      <c r="AE252">
        <v>7712</v>
      </c>
      <c r="AF252">
        <v>0</v>
      </c>
      <c r="AG252">
        <v>0</v>
      </c>
      <c r="AH252">
        <v>0</v>
      </c>
      <c r="AI252">
        <v>8.7100000000000009</v>
      </c>
      <c r="AJ252">
        <v>1</v>
      </c>
      <c r="AK252">
        <v>1</v>
      </c>
      <c r="AL252">
        <v>1</v>
      </c>
      <c r="AM252">
        <v>4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2E-3</v>
      </c>
      <c r="AU252" t="s">
        <v>299</v>
      </c>
      <c r="AV252">
        <v>0</v>
      </c>
      <c r="AW252">
        <v>2</v>
      </c>
      <c r="AX252">
        <v>145051235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ROUND(Y252*Source!I122,9)</f>
        <v>0</v>
      </c>
      <c r="CY252">
        <f t="shared" si="97"/>
        <v>67171.520000000004</v>
      </c>
      <c r="CZ252">
        <f t="shared" si="98"/>
        <v>7712</v>
      </c>
      <c r="DA252">
        <f t="shared" si="99"/>
        <v>8.7100000000000009</v>
      </c>
      <c r="DB252">
        <f t="shared" si="100"/>
        <v>0</v>
      </c>
      <c r="DC252">
        <f t="shared" si="101"/>
        <v>0</v>
      </c>
      <c r="DD252" t="s">
        <v>3</v>
      </c>
      <c r="DE252" t="s">
        <v>3</v>
      </c>
      <c r="DF252">
        <f t="shared" si="102"/>
        <v>0</v>
      </c>
      <c r="DG252">
        <f t="shared" si="103"/>
        <v>0</v>
      </c>
      <c r="DH252">
        <f t="shared" si="104"/>
        <v>0</v>
      </c>
      <c r="DI252">
        <f t="shared" si="90"/>
        <v>0</v>
      </c>
      <c r="DJ252">
        <f t="shared" si="105"/>
        <v>0</v>
      </c>
      <c r="DK252">
        <v>0</v>
      </c>
      <c r="DL252" t="s">
        <v>3</v>
      </c>
      <c r="DM252">
        <v>0</v>
      </c>
      <c r="DN252" t="s">
        <v>3</v>
      </c>
      <c r="DO252">
        <v>0</v>
      </c>
    </row>
    <row r="253" spans="1:119" x14ac:dyDescent="0.2">
      <c r="A253">
        <f>ROW(Source!A122)</f>
        <v>122</v>
      </c>
      <c r="B253">
        <v>145033679</v>
      </c>
      <c r="C253">
        <v>145051218</v>
      </c>
      <c r="D253">
        <v>140791984</v>
      </c>
      <c r="E253">
        <v>1</v>
      </c>
      <c r="F253">
        <v>1</v>
      </c>
      <c r="G253">
        <v>1</v>
      </c>
      <c r="H253">
        <v>3</v>
      </c>
      <c r="I253" t="s">
        <v>989</v>
      </c>
      <c r="J253" t="s">
        <v>990</v>
      </c>
      <c r="K253" t="s">
        <v>991</v>
      </c>
      <c r="L253">
        <v>1302</v>
      </c>
      <c r="N253">
        <v>1003</v>
      </c>
      <c r="O253" t="s">
        <v>928</v>
      </c>
      <c r="P253" t="s">
        <v>928</v>
      </c>
      <c r="Q253">
        <v>10</v>
      </c>
      <c r="W253">
        <v>0</v>
      </c>
      <c r="X253">
        <v>581091037</v>
      </c>
      <c r="Y253">
        <f t="shared" si="96"/>
        <v>0</v>
      </c>
      <c r="AA253">
        <v>437.59</v>
      </c>
      <c r="AB253">
        <v>0</v>
      </c>
      <c r="AC253">
        <v>0</v>
      </c>
      <c r="AD253">
        <v>0</v>
      </c>
      <c r="AE253">
        <v>50.24</v>
      </c>
      <c r="AF253">
        <v>0</v>
      </c>
      <c r="AG253">
        <v>0</v>
      </c>
      <c r="AH253">
        <v>0</v>
      </c>
      <c r="AI253">
        <v>8.7100000000000009</v>
      </c>
      <c r="AJ253">
        <v>1</v>
      </c>
      <c r="AK253">
        <v>1</v>
      </c>
      <c r="AL253">
        <v>1</v>
      </c>
      <c r="AM253">
        <v>4</v>
      </c>
      <c r="AN253">
        <v>0</v>
      </c>
      <c r="AO253">
        <v>1</v>
      </c>
      <c r="AP253">
        <v>1</v>
      </c>
      <c r="AQ253">
        <v>0</v>
      </c>
      <c r="AR253">
        <v>0</v>
      </c>
      <c r="AS253" t="s">
        <v>3</v>
      </c>
      <c r="AT253">
        <v>1.8700000000000001E-2</v>
      </c>
      <c r="AU253" t="s">
        <v>299</v>
      </c>
      <c r="AV253">
        <v>0</v>
      </c>
      <c r="AW253">
        <v>2</v>
      </c>
      <c r="AX253">
        <v>145051236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ROUND(Y253*Source!I122,9)</f>
        <v>0</v>
      </c>
      <c r="CY253">
        <f t="shared" si="97"/>
        <v>437.59</v>
      </c>
      <c r="CZ253">
        <f t="shared" si="98"/>
        <v>50.24</v>
      </c>
      <c r="DA253">
        <f t="shared" si="99"/>
        <v>8.7100000000000009</v>
      </c>
      <c r="DB253">
        <f t="shared" si="100"/>
        <v>0</v>
      </c>
      <c r="DC253">
        <f t="shared" si="101"/>
        <v>0</v>
      </c>
      <c r="DD253" t="s">
        <v>3</v>
      </c>
      <c r="DE253" t="s">
        <v>3</v>
      </c>
      <c r="DF253">
        <f t="shared" si="102"/>
        <v>0</v>
      </c>
      <c r="DG253">
        <f t="shared" si="103"/>
        <v>0</v>
      </c>
      <c r="DH253">
        <f t="shared" si="104"/>
        <v>0</v>
      </c>
      <c r="DI253">
        <f t="shared" si="90"/>
        <v>0</v>
      </c>
      <c r="DJ253">
        <f t="shared" si="105"/>
        <v>0</v>
      </c>
      <c r="DK253">
        <v>0</v>
      </c>
      <c r="DL253" t="s">
        <v>3</v>
      </c>
      <c r="DM253">
        <v>0</v>
      </c>
      <c r="DN253" t="s">
        <v>3</v>
      </c>
      <c r="DO253">
        <v>0</v>
      </c>
    </row>
    <row r="254" spans="1:119" x14ac:dyDescent="0.2">
      <c r="A254">
        <f>ROW(Source!A122)</f>
        <v>122</v>
      </c>
      <c r="B254">
        <v>145033679</v>
      </c>
      <c r="C254">
        <v>145051218</v>
      </c>
      <c r="D254">
        <v>140792339</v>
      </c>
      <c r="E254">
        <v>1</v>
      </c>
      <c r="F254">
        <v>1</v>
      </c>
      <c r="G254">
        <v>1</v>
      </c>
      <c r="H254">
        <v>3</v>
      </c>
      <c r="I254" t="s">
        <v>832</v>
      </c>
      <c r="J254" t="s">
        <v>833</v>
      </c>
      <c r="K254" t="s">
        <v>834</v>
      </c>
      <c r="L254">
        <v>1348</v>
      </c>
      <c r="N254">
        <v>1009</v>
      </c>
      <c r="O254" t="s">
        <v>105</v>
      </c>
      <c r="P254" t="s">
        <v>105</v>
      </c>
      <c r="Q254">
        <v>1000</v>
      </c>
      <c r="W254">
        <v>0</v>
      </c>
      <c r="X254">
        <v>-120483918</v>
      </c>
      <c r="Y254">
        <f t="shared" si="96"/>
        <v>0</v>
      </c>
      <c r="AA254">
        <v>38804.79</v>
      </c>
      <c r="AB254">
        <v>0</v>
      </c>
      <c r="AC254">
        <v>0</v>
      </c>
      <c r="AD254">
        <v>0</v>
      </c>
      <c r="AE254">
        <v>4455.2</v>
      </c>
      <c r="AF254">
        <v>0</v>
      </c>
      <c r="AG254">
        <v>0</v>
      </c>
      <c r="AH254">
        <v>0</v>
      </c>
      <c r="AI254">
        <v>8.7100000000000009</v>
      </c>
      <c r="AJ254">
        <v>1</v>
      </c>
      <c r="AK254">
        <v>1</v>
      </c>
      <c r="AL254">
        <v>1</v>
      </c>
      <c r="AM254">
        <v>4</v>
      </c>
      <c r="AN254">
        <v>0</v>
      </c>
      <c r="AO254">
        <v>1</v>
      </c>
      <c r="AP254">
        <v>1</v>
      </c>
      <c r="AQ254">
        <v>0</v>
      </c>
      <c r="AR254">
        <v>0</v>
      </c>
      <c r="AS254" t="s">
        <v>3</v>
      </c>
      <c r="AT254">
        <v>3.0000000000000001E-5</v>
      </c>
      <c r="AU254" t="s">
        <v>299</v>
      </c>
      <c r="AV254">
        <v>0</v>
      </c>
      <c r="AW254">
        <v>2</v>
      </c>
      <c r="AX254">
        <v>145051237</v>
      </c>
      <c r="AY254">
        <v>1</v>
      </c>
      <c r="AZ254">
        <v>0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ROUND(Y254*Source!I122,9)</f>
        <v>0</v>
      </c>
      <c r="CY254">
        <f t="shared" si="97"/>
        <v>38804.79</v>
      </c>
      <c r="CZ254">
        <f t="shared" si="98"/>
        <v>4455.2</v>
      </c>
      <c r="DA254">
        <f t="shared" si="99"/>
        <v>8.7100000000000009</v>
      </c>
      <c r="DB254">
        <f t="shared" si="100"/>
        <v>0</v>
      </c>
      <c r="DC254">
        <f t="shared" si="101"/>
        <v>0</v>
      </c>
      <c r="DD254" t="s">
        <v>3</v>
      </c>
      <c r="DE254" t="s">
        <v>3</v>
      </c>
      <c r="DF254">
        <f t="shared" si="102"/>
        <v>0</v>
      </c>
      <c r="DG254">
        <f t="shared" si="103"/>
        <v>0</v>
      </c>
      <c r="DH254">
        <f t="shared" si="104"/>
        <v>0</v>
      </c>
      <c r="DI254">
        <f t="shared" si="90"/>
        <v>0</v>
      </c>
      <c r="DJ254">
        <f t="shared" si="105"/>
        <v>0</v>
      </c>
      <c r="DK254">
        <v>0</v>
      </c>
      <c r="DL254" t="s">
        <v>3</v>
      </c>
      <c r="DM254">
        <v>0</v>
      </c>
      <c r="DN254" t="s">
        <v>3</v>
      </c>
      <c r="DO254">
        <v>0</v>
      </c>
    </row>
    <row r="255" spans="1:119" x14ac:dyDescent="0.2">
      <c r="A255">
        <f>ROW(Source!A122)</f>
        <v>122</v>
      </c>
      <c r="B255">
        <v>145033679</v>
      </c>
      <c r="C255">
        <v>145051218</v>
      </c>
      <c r="D255">
        <v>140793072</v>
      </c>
      <c r="E255">
        <v>1</v>
      </c>
      <c r="F255">
        <v>1</v>
      </c>
      <c r="G255">
        <v>1</v>
      </c>
      <c r="H255">
        <v>3</v>
      </c>
      <c r="I255" t="s">
        <v>992</v>
      </c>
      <c r="J255" t="s">
        <v>993</v>
      </c>
      <c r="K255" t="s">
        <v>994</v>
      </c>
      <c r="L255">
        <v>1348</v>
      </c>
      <c r="N255">
        <v>1009</v>
      </c>
      <c r="O255" t="s">
        <v>105</v>
      </c>
      <c r="P255" t="s">
        <v>105</v>
      </c>
      <c r="Q255">
        <v>1000</v>
      </c>
      <c r="W255">
        <v>0</v>
      </c>
      <c r="X255">
        <v>834877976</v>
      </c>
      <c r="Y255">
        <f t="shared" si="96"/>
        <v>0</v>
      </c>
      <c r="AA255">
        <v>42853.2</v>
      </c>
      <c r="AB255">
        <v>0</v>
      </c>
      <c r="AC255">
        <v>0</v>
      </c>
      <c r="AD255">
        <v>0</v>
      </c>
      <c r="AE255">
        <v>4920</v>
      </c>
      <c r="AF255">
        <v>0</v>
      </c>
      <c r="AG255">
        <v>0</v>
      </c>
      <c r="AH255">
        <v>0</v>
      </c>
      <c r="AI255">
        <v>8.7100000000000009</v>
      </c>
      <c r="AJ255">
        <v>1</v>
      </c>
      <c r="AK255">
        <v>1</v>
      </c>
      <c r="AL255">
        <v>1</v>
      </c>
      <c r="AM255">
        <v>4</v>
      </c>
      <c r="AN255">
        <v>0</v>
      </c>
      <c r="AO255">
        <v>1</v>
      </c>
      <c r="AP255">
        <v>1</v>
      </c>
      <c r="AQ255">
        <v>0</v>
      </c>
      <c r="AR255">
        <v>0</v>
      </c>
      <c r="AS255" t="s">
        <v>3</v>
      </c>
      <c r="AT255">
        <v>1.9400000000000001E-3</v>
      </c>
      <c r="AU255" t="s">
        <v>299</v>
      </c>
      <c r="AV255">
        <v>0</v>
      </c>
      <c r="AW255">
        <v>2</v>
      </c>
      <c r="AX255">
        <v>145051238</v>
      </c>
      <c r="AY255">
        <v>1</v>
      </c>
      <c r="AZ255">
        <v>0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ROUND(Y255*Source!I122,9)</f>
        <v>0</v>
      </c>
      <c r="CY255">
        <f t="shared" si="97"/>
        <v>42853.2</v>
      </c>
      <c r="CZ255">
        <f t="shared" si="98"/>
        <v>4920</v>
      </c>
      <c r="DA255">
        <f t="shared" si="99"/>
        <v>8.7100000000000009</v>
      </c>
      <c r="DB255">
        <f t="shared" si="100"/>
        <v>0</v>
      </c>
      <c r="DC255">
        <f t="shared" si="101"/>
        <v>0</v>
      </c>
      <c r="DD255" t="s">
        <v>3</v>
      </c>
      <c r="DE255" t="s">
        <v>3</v>
      </c>
      <c r="DF255">
        <f t="shared" si="102"/>
        <v>0</v>
      </c>
      <c r="DG255">
        <f t="shared" si="103"/>
        <v>0</v>
      </c>
      <c r="DH255">
        <f t="shared" si="104"/>
        <v>0</v>
      </c>
      <c r="DI255">
        <f t="shared" si="90"/>
        <v>0</v>
      </c>
      <c r="DJ255">
        <f t="shared" si="105"/>
        <v>0</v>
      </c>
      <c r="DK255">
        <v>0</v>
      </c>
      <c r="DL255" t="s">
        <v>3</v>
      </c>
      <c r="DM255">
        <v>0</v>
      </c>
      <c r="DN255" t="s">
        <v>3</v>
      </c>
      <c r="DO255">
        <v>0</v>
      </c>
    </row>
    <row r="256" spans="1:119" x14ac:dyDescent="0.2">
      <c r="A256">
        <f>ROW(Source!A122)</f>
        <v>122</v>
      </c>
      <c r="B256">
        <v>145033679</v>
      </c>
      <c r="C256">
        <v>145051218</v>
      </c>
      <c r="D256">
        <v>140796351</v>
      </c>
      <c r="E256">
        <v>1</v>
      </c>
      <c r="F256">
        <v>1</v>
      </c>
      <c r="G256">
        <v>1</v>
      </c>
      <c r="H256">
        <v>3</v>
      </c>
      <c r="I256" t="s">
        <v>995</v>
      </c>
      <c r="J256" t="s">
        <v>996</v>
      </c>
      <c r="K256" t="s">
        <v>997</v>
      </c>
      <c r="L256">
        <v>1339</v>
      </c>
      <c r="N256">
        <v>1007</v>
      </c>
      <c r="O256" t="s">
        <v>66</v>
      </c>
      <c r="P256" t="s">
        <v>66</v>
      </c>
      <c r="Q256">
        <v>1</v>
      </c>
      <c r="W256">
        <v>0</v>
      </c>
      <c r="X256">
        <v>1758287014</v>
      </c>
      <c r="Y256">
        <f t="shared" si="96"/>
        <v>0</v>
      </c>
      <c r="AA256">
        <v>14807</v>
      </c>
      <c r="AB256">
        <v>0</v>
      </c>
      <c r="AC256">
        <v>0</v>
      </c>
      <c r="AD256">
        <v>0</v>
      </c>
      <c r="AE256">
        <v>1700</v>
      </c>
      <c r="AF256">
        <v>0</v>
      </c>
      <c r="AG256">
        <v>0</v>
      </c>
      <c r="AH256">
        <v>0</v>
      </c>
      <c r="AI256">
        <v>8.7100000000000009</v>
      </c>
      <c r="AJ256">
        <v>1</v>
      </c>
      <c r="AK256">
        <v>1</v>
      </c>
      <c r="AL256">
        <v>1</v>
      </c>
      <c r="AM256">
        <v>4</v>
      </c>
      <c r="AN256">
        <v>0</v>
      </c>
      <c r="AO256">
        <v>1</v>
      </c>
      <c r="AP256">
        <v>1</v>
      </c>
      <c r="AQ256">
        <v>0</v>
      </c>
      <c r="AR256">
        <v>0</v>
      </c>
      <c r="AS256" t="s">
        <v>3</v>
      </c>
      <c r="AT256">
        <v>1.0300000000000001E-3</v>
      </c>
      <c r="AU256" t="s">
        <v>299</v>
      </c>
      <c r="AV256">
        <v>0</v>
      </c>
      <c r="AW256">
        <v>2</v>
      </c>
      <c r="AX256">
        <v>145051239</v>
      </c>
      <c r="AY256">
        <v>1</v>
      </c>
      <c r="AZ256">
        <v>0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ROUND(Y256*Source!I122,9)</f>
        <v>0</v>
      </c>
      <c r="CY256">
        <f t="shared" si="97"/>
        <v>14807</v>
      </c>
      <c r="CZ256">
        <f t="shared" si="98"/>
        <v>1700</v>
      </c>
      <c r="DA256">
        <f t="shared" si="99"/>
        <v>8.7100000000000009</v>
      </c>
      <c r="DB256">
        <f t="shared" si="100"/>
        <v>0</v>
      </c>
      <c r="DC256">
        <f t="shared" si="101"/>
        <v>0</v>
      </c>
      <c r="DD256" t="s">
        <v>3</v>
      </c>
      <c r="DE256" t="s">
        <v>3</v>
      </c>
      <c r="DF256">
        <f t="shared" si="102"/>
        <v>0</v>
      </c>
      <c r="DG256">
        <f t="shared" si="103"/>
        <v>0</v>
      </c>
      <c r="DH256">
        <f t="shared" si="104"/>
        <v>0</v>
      </c>
      <c r="DI256">
        <f t="shared" si="90"/>
        <v>0</v>
      </c>
      <c r="DJ256">
        <f t="shared" si="105"/>
        <v>0</v>
      </c>
      <c r="DK256">
        <v>0</v>
      </c>
      <c r="DL256" t="s">
        <v>3</v>
      </c>
      <c r="DM256">
        <v>0</v>
      </c>
      <c r="DN256" t="s">
        <v>3</v>
      </c>
      <c r="DO256">
        <v>0</v>
      </c>
    </row>
    <row r="257" spans="1:119" x14ac:dyDescent="0.2">
      <c r="A257">
        <f>ROW(Source!A122)</f>
        <v>122</v>
      </c>
      <c r="B257">
        <v>145033679</v>
      </c>
      <c r="C257">
        <v>145051218</v>
      </c>
      <c r="D257">
        <v>140804058</v>
      </c>
      <c r="E257">
        <v>1</v>
      </c>
      <c r="F257">
        <v>1</v>
      </c>
      <c r="G257">
        <v>1</v>
      </c>
      <c r="H257">
        <v>3</v>
      </c>
      <c r="I257" t="s">
        <v>998</v>
      </c>
      <c r="J257" t="s">
        <v>999</v>
      </c>
      <c r="K257" t="s">
        <v>1000</v>
      </c>
      <c r="L257">
        <v>1348</v>
      </c>
      <c r="N257">
        <v>1009</v>
      </c>
      <c r="O257" t="s">
        <v>105</v>
      </c>
      <c r="P257" t="s">
        <v>105</v>
      </c>
      <c r="Q257">
        <v>1000</v>
      </c>
      <c r="W257">
        <v>0</v>
      </c>
      <c r="X257">
        <v>264248573</v>
      </c>
      <c r="Y257">
        <f t="shared" si="96"/>
        <v>0</v>
      </c>
      <c r="AA257">
        <v>136050.20000000001</v>
      </c>
      <c r="AB257">
        <v>0</v>
      </c>
      <c r="AC257">
        <v>0</v>
      </c>
      <c r="AD257">
        <v>0</v>
      </c>
      <c r="AE257">
        <v>15620</v>
      </c>
      <c r="AF257">
        <v>0</v>
      </c>
      <c r="AG257">
        <v>0</v>
      </c>
      <c r="AH257">
        <v>0</v>
      </c>
      <c r="AI257">
        <v>8.7100000000000009</v>
      </c>
      <c r="AJ257">
        <v>1</v>
      </c>
      <c r="AK257">
        <v>1</v>
      </c>
      <c r="AL257">
        <v>1</v>
      </c>
      <c r="AM257">
        <v>4</v>
      </c>
      <c r="AN257">
        <v>0</v>
      </c>
      <c r="AO257">
        <v>1</v>
      </c>
      <c r="AP257">
        <v>1</v>
      </c>
      <c r="AQ257">
        <v>0</v>
      </c>
      <c r="AR257">
        <v>0</v>
      </c>
      <c r="AS257" t="s">
        <v>3</v>
      </c>
      <c r="AT257">
        <v>3.1E-4</v>
      </c>
      <c r="AU257" t="s">
        <v>299</v>
      </c>
      <c r="AV257">
        <v>0</v>
      </c>
      <c r="AW257">
        <v>2</v>
      </c>
      <c r="AX257">
        <v>145051240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ROUND(Y257*Source!I122,9)</f>
        <v>0</v>
      </c>
      <c r="CY257">
        <f t="shared" si="97"/>
        <v>136050.20000000001</v>
      </c>
      <c r="CZ257">
        <f t="shared" si="98"/>
        <v>15620</v>
      </c>
      <c r="DA257">
        <f t="shared" si="99"/>
        <v>8.7100000000000009</v>
      </c>
      <c r="DB257">
        <f t="shared" si="100"/>
        <v>0</v>
      </c>
      <c r="DC257">
        <f t="shared" si="101"/>
        <v>0</v>
      </c>
      <c r="DD257" t="s">
        <v>3</v>
      </c>
      <c r="DE257" t="s">
        <v>3</v>
      </c>
      <c r="DF257">
        <f t="shared" si="102"/>
        <v>0</v>
      </c>
      <c r="DG257">
        <f t="shared" si="103"/>
        <v>0</v>
      </c>
      <c r="DH257">
        <f t="shared" si="104"/>
        <v>0</v>
      </c>
      <c r="DI257">
        <f t="shared" si="90"/>
        <v>0</v>
      </c>
      <c r="DJ257">
        <f t="shared" si="105"/>
        <v>0</v>
      </c>
      <c r="DK257">
        <v>0</v>
      </c>
      <c r="DL257" t="s">
        <v>3</v>
      </c>
      <c r="DM257">
        <v>0</v>
      </c>
      <c r="DN257" t="s">
        <v>3</v>
      </c>
      <c r="DO257">
        <v>0</v>
      </c>
    </row>
    <row r="258" spans="1:119" x14ac:dyDescent="0.2">
      <c r="A258">
        <f>ROW(Source!A122)</f>
        <v>122</v>
      </c>
      <c r="B258">
        <v>145033679</v>
      </c>
      <c r="C258">
        <v>145051218</v>
      </c>
      <c r="D258">
        <v>140805182</v>
      </c>
      <c r="E258">
        <v>1</v>
      </c>
      <c r="F258">
        <v>1</v>
      </c>
      <c r="G258">
        <v>1</v>
      </c>
      <c r="H258">
        <v>3</v>
      </c>
      <c r="I258" t="s">
        <v>1001</v>
      </c>
      <c r="J258" t="s">
        <v>1002</v>
      </c>
      <c r="K258" t="s">
        <v>1003</v>
      </c>
      <c r="L258">
        <v>1346</v>
      </c>
      <c r="N258">
        <v>1009</v>
      </c>
      <c r="O258" t="s">
        <v>43</v>
      </c>
      <c r="P258" t="s">
        <v>43</v>
      </c>
      <c r="Q258">
        <v>1</v>
      </c>
      <c r="W258">
        <v>0</v>
      </c>
      <c r="X258">
        <v>-1449230318</v>
      </c>
      <c r="Y258">
        <f t="shared" si="96"/>
        <v>0</v>
      </c>
      <c r="AA258">
        <v>82.05</v>
      </c>
      <c r="AB258">
        <v>0</v>
      </c>
      <c r="AC258">
        <v>0</v>
      </c>
      <c r="AD258">
        <v>0</v>
      </c>
      <c r="AE258">
        <v>9.42</v>
      </c>
      <c r="AF258">
        <v>0</v>
      </c>
      <c r="AG258">
        <v>0</v>
      </c>
      <c r="AH258">
        <v>0</v>
      </c>
      <c r="AI258">
        <v>8.7100000000000009</v>
      </c>
      <c r="AJ258">
        <v>1</v>
      </c>
      <c r="AK258">
        <v>1</v>
      </c>
      <c r="AL258">
        <v>1</v>
      </c>
      <c r="AM258">
        <v>4</v>
      </c>
      <c r="AN258">
        <v>0</v>
      </c>
      <c r="AO258">
        <v>1</v>
      </c>
      <c r="AP258">
        <v>1</v>
      </c>
      <c r="AQ258">
        <v>0</v>
      </c>
      <c r="AR258">
        <v>0</v>
      </c>
      <c r="AS258" t="s">
        <v>3</v>
      </c>
      <c r="AT258">
        <v>0.6</v>
      </c>
      <c r="AU258" t="s">
        <v>299</v>
      </c>
      <c r="AV258">
        <v>0</v>
      </c>
      <c r="AW258">
        <v>2</v>
      </c>
      <c r="AX258">
        <v>145051241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ROUND(Y258*Source!I122,9)</f>
        <v>0</v>
      </c>
      <c r="CY258">
        <f t="shared" si="97"/>
        <v>82.05</v>
      </c>
      <c r="CZ258">
        <f t="shared" si="98"/>
        <v>9.42</v>
      </c>
      <c r="DA258">
        <f t="shared" si="99"/>
        <v>8.7100000000000009</v>
      </c>
      <c r="DB258">
        <f t="shared" si="100"/>
        <v>0</v>
      </c>
      <c r="DC258">
        <f t="shared" si="101"/>
        <v>0</v>
      </c>
      <c r="DD258" t="s">
        <v>3</v>
      </c>
      <c r="DE258" t="s">
        <v>3</v>
      </c>
      <c r="DF258">
        <f t="shared" si="102"/>
        <v>0</v>
      </c>
      <c r="DG258">
        <f t="shared" si="103"/>
        <v>0</v>
      </c>
      <c r="DH258">
        <f t="shared" si="104"/>
        <v>0</v>
      </c>
      <c r="DI258">
        <f t="shared" si="90"/>
        <v>0</v>
      </c>
      <c r="DJ258">
        <f t="shared" si="105"/>
        <v>0</v>
      </c>
      <c r="DK258">
        <v>0</v>
      </c>
      <c r="DL258" t="s">
        <v>3</v>
      </c>
      <c r="DM258">
        <v>0</v>
      </c>
      <c r="DN258" t="s">
        <v>3</v>
      </c>
      <c r="DO258">
        <v>0</v>
      </c>
    </row>
    <row r="259" spans="1:119" x14ac:dyDescent="0.2">
      <c r="A259">
        <f>ROW(Source!A123)</f>
        <v>123</v>
      </c>
      <c r="B259">
        <v>145033679</v>
      </c>
      <c r="C259">
        <v>145051242</v>
      </c>
      <c r="D259">
        <v>140759974</v>
      </c>
      <c r="E259">
        <v>70</v>
      </c>
      <c r="F259">
        <v>1</v>
      </c>
      <c r="G259">
        <v>1</v>
      </c>
      <c r="H259">
        <v>1</v>
      </c>
      <c r="I259" t="s">
        <v>1004</v>
      </c>
      <c r="J259" t="s">
        <v>3</v>
      </c>
      <c r="K259" t="s">
        <v>1005</v>
      </c>
      <c r="L259">
        <v>1191</v>
      </c>
      <c r="N259">
        <v>1013</v>
      </c>
      <c r="O259" t="s">
        <v>725</v>
      </c>
      <c r="P259" t="s">
        <v>725</v>
      </c>
      <c r="Q259">
        <v>1</v>
      </c>
      <c r="W259">
        <v>0</v>
      </c>
      <c r="X259">
        <v>-961628416</v>
      </c>
      <c r="Y259">
        <f>(AT259*1.15)</f>
        <v>28.301499999999997</v>
      </c>
      <c r="AA259">
        <v>0</v>
      </c>
      <c r="AB259">
        <v>0</v>
      </c>
      <c r="AC259">
        <v>0</v>
      </c>
      <c r="AD259">
        <v>258.37</v>
      </c>
      <c r="AE259">
        <v>0</v>
      </c>
      <c r="AF259">
        <v>0</v>
      </c>
      <c r="AG259">
        <v>0</v>
      </c>
      <c r="AH259">
        <v>8.4600000000000009</v>
      </c>
      <c r="AI259">
        <v>1</v>
      </c>
      <c r="AJ259">
        <v>1</v>
      </c>
      <c r="AK259">
        <v>1</v>
      </c>
      <c r="AL259">
        <v>30.54</v>
      </c>
      <c r="AM259">
        <v>4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</v>
      </c>
      <c r="AT259">
        <v>24.61</v>
      </c>
      <c r="AU259" t="s">
        <v>21</v>
      </c>
      <c r="AV259">
        <v>1</v>
      </c>
      <c r="AW259">
        <v>2</v>
      </c>
      <c r="AX259">
        <v>145051243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ROUND(Y259*Source!I123,9)</f>
        <v>22.641200000000001</v>
      </c>
      <c r="CY259">
        <f>AD259</f>
        <v>258.37</v>
      </c>
      <c r="CZ259">
        <f>AH259</f>
        <v>8.4600000000000009</v>
      </c>
      <c r="DA259">
        <f>AL259</f>
        <v>30.54</v>
      </c>
      <c r="DB259">
        <f>ROUND((ROUND(AT259*CZ259,2)*1.15),2)</f>
        <v>239.43</v>
      </c>
      <c r="DC259">
        <f>ROUND((ROUND(AT259*AG259,2)*1.15),2)</f>
        <v>0</v>
      </c>
      <c r="DD259" t="s">
        <v>3</v>
      </c>
      <c r="DE259" t="s">
        <v>3</v>
      </c>
      <c r="DF259">
        <f>ROUND(ROUND(AE259,2)*CX259,2)</f>
        <v>0</v>
      </c>
      <c r="DG259">
        <f t="shared" si="103"/>
        <v>0</v>
      </c>
      <c r="DH259">
        <f t="shared" si="104"/>
        <v>0</v>
      </c>
      <c r="DI259">
        <f>ROUND(ROUND(AH259*AL259,2)*CX259,2)</f>
        <v>5849.81</v>
      </c>
      <c r="DJ259">
        <f>DI259</f>
        <v>5849.81</v>
      </c>
      <c r="DK259">
        <v>0</v>
      </c>
      <c r="DL259" t="s">
        <v>3</v>
      </c>
      <c r="DM259">
        <v>0</v>
      </c>
      <c r="DN259" t="s">
        <v>3</v>
      </c>
      <c r="DO259">
        <v>0</v>
      </c>
    </row>
    <row r="260" spans="1:119" x14ac:dyDescent="0.2">
      <c r="A260">
        <f>ROW(Source!A123)</f>
        <v>123</v>
      </c>
      <c r="B260">
        <v>145033679</v>
      </c>
      <c r="C260">
        <v>145051242</v>
      </c>
      <c r="D260">
        <v>140760225</v>
      </c>
      <c r="E260">
        <v>70</v>
      </c>
      <c r="F260">
        <v>1</v>
      </c>
      <c r="G260">
        <v>1</v>
      </c>
      <c r="H260">
        <v>1</v>
      </c>
      <c r="I260" t="s">
        <v>730</v>
      </c>
      <c r="J260" t="s">
        <v>3</v>
      </c>
      <c r="K260" t="s">
        <v>731</v>
      </c>
      <c r="L260">
        <v>1191</v>
      </c>
      <c r="N260">
        <v>1013</v>
      </c>
      <c r="O260" t="s">
        <v>725</v>
      </c>
      <c r="P260" t="s">
        <v>725</v>
      </c>
      <c r="Q260">
        <v>1</v>
      </c>
      <c r="W260">
        <v>0</v>
      </c>
      <c r="X260">
        <v>-1417349443</v>
      </c>
      <c r="Y260">
        <f>(AT260*1.15)</f>
        <v>0.40249999999999997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30.54</v>
      </c>
      <c r="AL260">
        <v>1</v>
      </c>
      <c r="AM260">
        <v>4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</v>
      </c>
      <c r="AT260">
        <v>0.35</v>
      </c>
      <c r="AU260" t="s">
        <v>21</v>
      </c>
      <c r="AV260">
        <v>2</v>
      </c>
      <c r="AW260">
        <v>2</v>
      </c>
      <c r="AX260">
        <v>145051244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ROUND(Y260*Source!I123,9)</f>
        <v>0.32200000000000001</v>
      </c>
      <c r="CY260">
        <f>AD260</f>
        <v>0</v>
      </c>
      <c r="CZ260">
        <f>AH260</f>
        <v>0</v>
      </c>
      <c r="DA260">
        <f>AL260</f>
        <v>1</v>
      </c>
      <c r="DB260">
        <f>ROUND((ROUND(AT260*CZ260,2)*1.15),2)</f>
        <v>0</v>
      </c>
      <c r="DC260">
        <f>ROUND((ROUND(AT260*AG260,2)*1.15),2)</f>
        <v>0</v>
      </c>
      <c r="DD260" t="s">
        <v>3</v>
      </c>
      <c r="DE260" t="s">
        <v>3</v>
      </c>
      <c r="DF260">
        <f>ROUND(ROUND(AE260,2)*CX260,2)</f>
        <v>0</v>
      </c>
      <c r="DG260">
        <f t="shared" si="103"/>
        <v>0</v>
      </c>
      <c r="DH260">
        <f>ROUND(ROUND(AG260*AK260,2)*CX260,2)</f>
        <v>0</v>
      </c>
      <c r="DI260">
        <f t="shared" ref="DI260:DI273" si="106">ROUND(ROUND(AH260,2)*CX260,2)</f>
        <v>0</v>
      </c>
      <c r="DJ260">
        <f>DI260</f>
        <v>0</v>
      </c>
      <c r="DK260">
        <v>0</v>
      </c>
      <c r="DL260" t="s">
        <v>3</v>
      </c>
      <c r="DM260">
        <v>0</v>
      </c>
      <c r="DN260" t="s">
        <v>3</v>
      </c>
      <c r="DO260">
        <v>0</v>
      </c>
    </row>
    <row r="261" spans="1:119" x14ac:dyDescent="0.2">
      <c r="A261">
        <f>ROW(Source!A123)</f>
        <v>123</v>
      </c>
      <c r="B261">
        <v>145033679</v>
      </c>
      <c r="C261">
        <v>145051242</v>
      </c>
      <c r="D261">
        <v>140922951</v>
      </c>
      <c r="E261">
        <v>1</v>
      </c>
      <c r="F261">
        <v>1</v>
      </c>
      <c r="G261">
        <v>1</v>
      </c>
      <c r="H261">
        <v>2</v>
      </c>
      <c r="I261" t="s">
        <v>752</v>
      </c>
      <c r="J261" t="s">
        <v>753</v>
      </c>
      <c r="K261" t="s">
        <v>754</v>
      </c>
      <c r="L261">
        <v>1367</v>
      </c>
      <c r="N261">
        <v>1011</v>
      </c>
      <c r="O261" t="s">
        <v>79</v>
      </c>
      <c r="P261" t="s">
        <v>79</v>
      </c>
      <c r="Q261">
        <v>1</v>
      </c>
      <c r="W261">
        <v>0</v>
      </c>
      <c r="X261">
        <v>-430484415</v>
      </c>
      <c r="Y261">
        <f>(AT261*1.15)</f>
        <v>0.161</v>
      </c>
      <c r="AA261">
        <v>0</v>
      </c>
      <c r="AB261">
        <v>1399.8</v>
      </c>
      <c r="AC261">
        <v>412.29</v>
      </c>
      <c r="AD261">
        <v>0</v>
      </c>
      <c r="AE261">
        <v>0</v>
      </c>
      <c r="AF261">
        <v>115.4</v>
      </c>
      <c r="AG261">
        <v>13.5</v>
      </c>
      <c r="AH261">
        <v>0</v>
      </c>
      <c r="AI261">
        <v>1</v>
      </c>
      <c r="AJ261">
        <v>12.13</v>
      </c>
      <c r="AK261">
        <v>30.54</v>
      </c>
      <c r="AL261">
        <v>1</v>
      </c>
      <c r="AM261">
        <v>4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0.14000000000000001</v>
      </c>
      <c r="AU261" t="s">
        <v>21</v>
      </c>
      <c r="AV261">
        <v>0</v>
      </c>
      <c r="AW261">
        <v>2</v>
      </c>
      <c r="AX261">
        <v>145051245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ROUND(Y261*Source!I123,9)</f>
        <v>0.1288</v>
      </c>
      <c r="CY261">
        <f>AB261</f>
        <v>1399.8</v>
      </c>
      <c r="CZ261">
        <f>AF261</f>
        <v>115.4</v>
      </c>
      <c r="DA261">
        <f>AJ261</f>
        <v>12.13</v>
      </c>
      <c r="DB261">
        <f>ROUND((ROUND(AT261*CZ261,2)*1.15),2)</f>
        <v>18.579999999999998</v>
      </c>
      <c r="DC261">
        <f>ROUND((ROUND(AT261*AG261,2)*1.15),2)</f>
        <v>2.17</v>
      </c>
      <c r="DD261" t="s">
        <v>3</v>
      </c>
      <c r="DE261" t="s">
        <v>3</v>
      </c>
      <c r="DF261">
        <f>ROUND(ROUND(AE261,2)*CX261,2)</f>
        <v>0</v>
      </c>
      <c r="DG261">
        <f>ROUND(ROUND(AF261*AJ261,2)*CX261,2)</f>
        <v>180.29</v>
      </c>
      <c r="DH261">
        <f>ROUND(ROUND(AG261*AK261,2)*CX261,2)</f>
        <v>53.1</v>
      </c>
      <c r="DI261">
        <f t="shared" si="106"/>
        <v>0</v>
      </c>
      <c r="DJ261">
        <f>DG261</f>
        <v>180.29</v>
      </c>
      <c r="DK261">
        <v>0</v>
      </c>
      <c r="DL261" t="s">
        <v>3</v>
      </c>
      <c r="DM261">
        <v>0</v>
      </c>
      <c r="DN261" t="s">
        <v>3</v>
      </c>
      <c r="DO261">
        <v>0</v>
      </c>
    </row>
    <row r="262" spans="1:119" x14ac:dyDescent="0.2">
      <c r="A262">
        <f>ROW(Source!A123)</f>
        <v>123</v>
      </c>
      <c r="B262">
        <v>145033679</v>
      </c>
      <c r="C262">
        <v>145051242</v>
      </c>
      <c r="D262">
        <v>140923229</v>
      </c>
      <c r="E262">
        <v>1</v>
      </c>
      <c r="F262">
        <v>1</v>
      </c>
      <c r="G262">
        <v>1</v>
      </c>
      <c r="H262">
        <v>2</v>
      </c>
      <c r="I262" t="s">
        <v>1006</v>
      </c>
      <c r="J262" t="s">
        <v>1007</v>
      </c>
      <c r="K262" t="s">
        <v>1008</v>
      </c>
      <c r="L262">
        <v>1367</v>
      </c>
      <c r="N262">
        <v>1011</v>
      </c>
      <c r="O262" t="s">
        <v>79</v>
      </c>
      <c r="P262" t="s">
        <v>79</v>
      </c>
      <c r="Q262">
        <v>1</v>
      </c>
      <c r="W262">
        <v>0</v>
      </c>
      <c r="X262">
        <v>-1322498708</v>
      </c>
      <c r="Y262">
        <f>(AT262*1.15)</f>
        <v>0.3105</v>
      </c>
      <c r="AA262">
        <v>0</v>
      </c>
      <c r="AB262">
        <v>6.07</v>
      </c>
      <c r="AC262">
        <v>0</v>
      </c>
      <c r="AD262">
        <v>0</v>
      </c>
      <c r="AE262">
        <v>0</v>
      </c>
      <c r="AF262">
        <v>0.5</v>
      </c>
      <c r="AG262">
        <v>0</v>
      </c>
      <c r="AH262">
        <v>0</v>
      </c>
      <c r="AI262">
        <v>1</v>
      </c>
      <c r="AJ262">
        <v>12.13</v>
      </c>
      <c r="AK262">
        <v>30.54</v>
      </c>
      <c r="AL262">
        <v>1</v>
      </c>
      <c r="AM262">
        <v>4</v>
      </c>
      <c r="AN262">
        <v>0</v>
      </c>
      <c r="AO262">
        <v>1</v>
      </c>
      <c r="AP262">
        <v>1</v>
      </c>
      <c r="AQ262">
        <v>0</v>
      </c>
      <c r="AR262">
        <v>0</v>
      </c>
      <c r="AS262" t="s">
        <v>3</v>
      </c>
      <c r="AT262">
        <v>0.27</v>
      </c>
      <c r="AU262" t="s">
        <v>21</v>
      </c>
      <c r="AV262">
        <v>0</v>
      </c>
      <c r="AW262">
        <v>2</v>
      </c>
      <c r="AX262">
        <v>145051246</v>
      </c>
      <c r="AY262">
        <v>1</v>
      </c>
      <c r="AZ262">
        <v>0</v>
      </c>
      <c r="BA262">
        <v>262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ROUND(Y262*Source!I123,9)</f>
        <v>0.24840000000000001</v>
      </c>
      <c r="CY262">
        <f>AB262</f>
        <v>6.07</v>
      </c>
      <c r="CZ262">
        <f>AF262</f>
        <v>0.5</v>
      </c>
      <c r="DA262">
        <f>AJ262</f>
        <v>12.13</v>
      </c>
      <c r="DB262">
        <f>ROUND((ROUND(AT262*CZ262,2)*1.15),2)</f>
        <v>0.16</v>
      </c>
      <c r="DC262">
        <f>ROUND((ROUND(AT262*AG262,2)*1.15),2)</f>
        <v>0</v>
      </c>
      <c r="DD262" t="s">
        <v>3</v>
      </c>
      <c r="DE262" t="s">
        <v>3</v>
      </c>
      <c r="DF262">
        <f>ROUND(ROUND(AE262,2)*CX262,2)</f>
        <v>0</v>
      </c>
      <c r="DG262">
        <f>ROUND(ROUND(AF262*AJ262,2)*CX262,2)</f>
        <v>1.51</v>
      </c>
      <c r="DH262">
        <f>ROUND(ROUND(AG262*AK262,2)*CX262,2)</f>
        <v>0</v>
      </c>
      <c r="DI262">
        <f t="shared" si="106"/>
        <v>0</v>
      </c>
      <c r="DJ262">
        <f>DG262</f>
        <v>1.51</v>
      </c>
      <c r="DK262">
        <v>0</v>
      </c>
      <c r="DL262" t="s">
        <v>3</v>
      </c>
      <c r="DM262">
        <v>0</v>
      </c>
      <c r="DN262" t="s">
        <v>3</v>
      </c>
      <c r="DO262">
        <v>0</v>
      </c>
    </row>
    <row r="263" spans="1:119" x14ac:dyDescent="0.2">
      <c r="A263">
        <f>ROW(Source!A123)</f>
        <v>123</v>
      </c>
      <c r="B263">
        <v>145033679</v>
      </c>
      <c r="C263">
        <v>145051242</v>
      </c>
      <c r="D263">
        <v>140923885</v>
      </c>
      <c r="E263">
        <v>1</v>
      </c>
      <c r="F263">
        <v>1</v>
      </c>
      <c r="G263">
        <v>1</v>
      </c>
      <c r="H263">
        <v>2</v>
      </c>
      <c r="I263" t="s">
        <v>732</v>
      </c>
      <c r="J263" t="s">
        <v>733</v>
      </c>
      <c r="K263" t="s">
        <v>734</v>
      </c>
      <c r="L263">
        <v>1367</v>
      </c>
      <c r="N263">
        <v>1011</v>
      </c>
      <c r="O263" t="s">
        <v>79</v>
      </c>
      <c r="P263" t="s">
        <v>79</v>
      </c>
      <c r="Q263">
        <v>1</v>
      </c>
      <c r="W263">
        <v>0</v>
      </c>
      <c r="X263">
        <v>509054691</v>
      </c>
      <c r="Y263">
        <f>(AT263*1.15)</f>
        <v>0.24149999999999996</v>
      </c>
      <c r="AA263">
        <v>0</v>
      </c>
      <c r="AB263">
        <v>797.06</v>
      </c>
      <c r="AC263">
        <v>354.26</v>
      </c>
      <c r="AD263">
        <v>0</v>
      </c>
      <c r="AE263">
        <v>0</v>
      </c>
      <c r="AF263">
        <v>65.709999999999994</v>
      </c>
      <c r="AG263">
        <v>11.6</v>
      </c>
      <c r="AH263">
        <v>0</v>
      </c>
      <c r="AI263">
        <v>1</v>
      </c>
      <c r="AJ263">
        <v>12.13</v>
      </c>
      <c r="AK263">
        <v>30.54</v>
      </c>
      <c r="AL263">
        <v>1</v>
      </c>
      <c r="AM263">
        <v>4</v>
      </c>
      <c r="AN263">
        <v>0</v>
      </c>
      <c r="AO263">
        <v>1</v>
      </c>
      <c r="AP263">
        <v>1</v>
      </c>
      <c r="AQ263">
        <v>0</v>
      </c>
      <c r="AR263">
        <v>0</v>
      </c>
      <c r="AS263" t="s">
        <v>3</v>
      </c>
      <c r="AT263">
        <v>0.21</v>
      </c>
      <c r="AU263" t="s">
        <v>21</v>
      </c>
      <c r="AV263">
        <v>0</v>
      </c>
      <c r="AW263">
        <v>2</v>
      </c>
      <c r="AX263">
        <v>145051247</v>
      </c>
      <c r="AY263">
        <v>1</v>
      </c>
      <c r="AZ263">
        <v>0</v>
      </c>
      <c r="BA263">
        <v>263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ROUND(Y263*Source!I123,9)</f>
        <v>0.19320000000000001</v>
      </c>
      <c r="CY263">
        <f>AB263</f>
        <v>797.06</v>
      </c>
      <c r="CZ263">
        <f>AF263</f>
        <v>65.709999999999994</v>
      </c>
      <c r="DA263">
        <f>AJ263</f>
        <v>12.13</v>
      </c>
      <c r="DB263">
        <f>ROUND((ROUND(AT263*CZ263,2)*1.15),2)</f>
        <v>15.87</v>
      </c>
      <c r="DC263">
        <f>ROUND((ROUND(AT263*AG263,2)*1.15),2)</f>
        <v>2.81</v>
      </c>
      <c r="DD263" t="s">
        <v>3</v>
      </c>
      <c r="DE263" t="s">
        <v>3</v>
      </c>
      <c r="DF263">
        <f>ROUND(ROUND(AE263,2)*CX263,2)</f>
        <v>0</v>
      </c>
      <c r="DG263">
        <f>ROUND(ROUND(AF263*AJ263,2)*CX263,2)</f>
        <v>153.99</v>
      </c>
      <c r="DH263">
        <f>ROUND(ROUND(AG263*AK263,2)*CX263,2)</f>
        <v>68.44</v>
      </c>
      <c r="DI263">
        <f t="shared" si="106"/>
        <v>0</v>
      </c>
      <c r="DJ263">
        <f>DG263</f>
        <v>153.99</v>
      </c>
      <c r="DK263">
        <v>0</v>
      </c>
      <c r="DL263" t="s">
        <v>3</v>
      </c>
      <c r="DM263">
        <v>0</v>
      </c>
      <c r="DN263" t="s">
        <v>3</v>
      </c>
      <c r="DO263">
        <v>0</v>
      </c>
    </row>
    <row r="264" spans="1:119" x14ac:dyDescent="0.2">
      <c r="A264">
        <f>ROW(Source!A123)</f>
        <v>123</v>
      </c>
      <c r="B264">
        <v>145033679</v>
      </c>
      <c r="C264">
        <v>145051242</v>
      </c>
      <c r="D264">
        <v>140772680</v>
      </c>
      <c r="E264">
        <v>1</v>
      </c>
      <c r="F264">
        <v>1</v>
      </c>
      <c r="G264">
        <v>1</v>
      </c>
      <c r="H264">
        <v>3</v>
      </c>
      <c r="I264" t="s">
        <v>735</v>
      </c>
      <c r="J264" t="s">
        <v>736</v>
      </c>
      <c r="K264" t="s">
        <v>737</v>
      </c>
      <c r="L264">
        <v>1339</v>
      </c>
      <c r="N264">
        <v>1007</v>
      </c>
      <c r="O264" t="s">
        <v>66</v>
      </c>
      <c r="P264" t="s">
        <v>66</v>
      </c>
      <c r="Q264">
        <v>1</v>
      </c>
      <c r="W264">
        <v>0</v>
      </c>
      <c r="X264">
        <v>-143474561</v>
      </c>
      <c r="Y264">
        <f t="shared" ref="Y264:Y285" si="107">AT264</f>
        <v>8.0999999999999996E-3</v>
      </c>
      <c r="AA264">
        <v>21.25</v>
      </c>
      <c r="AB264">
        <v>0</v>
      </c>
      <c r="AC264">
        <v>0</v>
      </c>
      <c r="AD264">
        <v>0</v>
      </c>
      <c r="AE264">
        <v>2.44</v>
      </c>
      <c r="AF264">
        <v>0</v>
      </c>
      <c r="AG264">
        <v>0</v>
      </c>
      <c r="AH264">
        <v>0</v>
      </c>
      <c r="AI264">
        <v>8.7100000000000009</v>
      </c>
      <c r="AJ264">
        <v>1</v>
      </c>
      <c r="AK264">
        <v>1</v>
      </c>
      <c r="AL264">
        <v>1</v>
      </c>
      <c r="AM264">
        <v>4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8.0999999999999996E-3</v>
      </c>
      <c r="AU264" t="s">
        <v>3</v>
      </c>
      <c r="AV264">
        <v>0</v>
      </c>
      <c r="AW264">
        <v>2</v>
      </c>
      <c r="AX264">
        <v>145051248</v>
      </c>
      <c r="AY264">
        <v>1</v>
      </c>
      <c r="AZ264">
        <v>0</v>
      </c>
      <c r="BA264">
        <v>264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ROUND(Y264*Source!I123,9)</f>
        <v>6.4799999999999996E-3</v>
      </c>
      <c r="CY264">
        <f t="shared" ref="CY264:CY273" si="108">AA264</f>
        <v>21.25</v>
      </c>
      <c r="CZ264">
        <f t="shared" ref="CZ264:CZ273" si="109">AE264</f>
        <v>2.44</v>
      </c>
      <c r="DA264">
        <f t="shared" ref="DA264:DA273" si="110">AI264</f>
        <v>8.7100000000000009</v>
      </c>
      <c r="DB264">
        <f t="shared" ref="DB264:DB285" si="111">ROUND(ROUND(AT264*CZ264,2),2)</f>
        <v>0.02</v>
      </c>
      <c r="DC264">
        <f t="shared" ref="DC264:DC285" si="112">ROUND(ROUND(AT264*AG264,2),2)</f>
        <v>0</v>
      </c>
      <c r="DD264" t="s">
        <v>3</v>
      </c>
      <c r="DE264" t="s">
        <v>3</v>
      </c>
      <c r="DF264">
        <f t="shared" ref="DF264:DF273" si="113">ROUND(ROUND(AE264*AI264,2)*CX264,2)</f>
        <v>0.14000000000000001</v>
      </c>
      <c r="DG264">
        <f t="shared" ref="DG264:DG275" si="114">ROUND(ROUND(AF264,2)*CX264,2)</f>
        <v>0</v>
      </c>
      <c r="DH264">
        <f t="shared" ref="DH264:DH274" si="115">ROUND(ROUND(AG264,2)*CX264,2)</f>
        <v>0</v>
      </c>
      <c r="DI264">
        <f t="shared" si="106"/>
        <v>0</v>
      </c>
      <c r="DJ264">
        <f t="shared" ref="DJ264:DJ273" si="116">DF264</f>
        <v>0.14000000000000001</v>
      </c>
      <c r="DK264">
        <v>0</v>
      </c>
      <c r="DL264" t="s">
        <v>3</v>
      </c>
      <c r="DM264">
        <v>0</v>
      </c>
      <c r="DN264" t="s">
        <v>3</v>
      </c>
      <c r="DO264">
        <v>0</v>
      </c>
    </row>
    <row r="265" spans="1:119" x14ac:dyDescent="0.2">
      <c r="A265">
        <f>ROW(Source!A123)</f>
        <v>123</v>
      </c>
      <c r="B265">
        <v>145033679</v>
      </c>
      <c r="C265">
        <v>145051242</v>
      </c>
      <c r="D265">
        <v>140775118</v>
      </c>
      <c r="E265">
        <v>1</v>
      </c>
      <c r="F265">
        <v>1</v>
      </c>
      <c r="G265">
        <v>1</v>
      </c>
      <c r="H265">
        <v>3</v>
      </c>
      <c r="I265" t="s">
        <v>980</v>
      </c>
      <c r="J265" t="s">
        <v>981</v>
      </c>
      <c r="K265" t="s">
        <v>982</v>
      </c>
      <c r="L265">
        <v>1348</v>
      </c>
      <c r="N265">
        <v>1009</v>
      </c>
      <c r="O265" t="s">
        <v>105</v>
      </c>
      <c r="P265" t="s">
        <v>105</v>
      </c>
      <c r="Q265">
        <v>1000</v>
      </c>
      <c r="W265">
        <v>0</v>
      </c>
      <c r="X265">
        <v>-45966985</v>
      </c>
      <c r="Y265">
        <f t="shared" si="107"/>
        <v>1.9E-3</v>
      </c>
      <c r="AA265">
        <v>104328.38</v>
      </c>
      <c r="AB265">
        <v>0</v>
      </c>
      <c r="AC265">
        <v>0</v>
      </c>
      <c r="AD265">
        <v>0</v>
      </c>
      <c r="AE265">
        <v>11978</v>
      </c>
      <c r="AF265">
        <v>0</v>
      </c>
      <c r="AG265">
        <v>0</v>
      </c>
      <c r="AH265">
        <v>0</v>
      </c>
      <c r="AI265">
        <v>8.7100000000000009</v>
      </c>
      <c r="AJ265">
        <v>1</v>
      </c>
      <c r="AK265">
        <v>1</v>
      </c>
      <c r="AL265">
        <v>1</v>
      </c>
      <c r="AM265">
        <v>4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1.9E-3</v>
      </c>
      <c r="AU265" t="s">
        <v>3</v>
      </c>
      <c r="AV265">
        <v>0</v>
      </c>
      <c r="AW265">
        <v>2</v>
      </c>
      <c r="AX265">
        <v>145051249</v>
      </c>
      <c r="AY265">
        <v>1</v>
      </c>
      <c r="AZ265">
        <v>0</v>
      </c>
      <c r="BA265">
        <v>265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ROUND(Y265*Source!I123,9)</f>
        <v>1.5200000000000001E-3</v>
      </c>
      <c r="CY265">
        <f t="shared" si="108"/>
        <v>104328.38</v>
      </c>
      <c r="CZ265">
        <f t="shared" si="109"/>
        <v>11978</v>
      </c>
      <c r="DA265">
        <f t="shared" si="110"/>
        <v>8.7100000000000009</v>
      </c>
      <c r="DB265">
        <f t="shared" si="111"/>
        <v>22.76</v>
      </c>
      <c r="DC265">
        <f t="shared" si="112"/>
        <v>0</v>
      </c>
      <c r="DD265" t="s">
        <v>3</v>
      </c>
      <c r="DE265" t="s">
        <v>3</v>
      </c>
      <c r="DF265">
        <f t="shared" si="113"/>
        <v>158.58000000000001</v>
      </c>
      <c r="DG265">
        <f t="shared" si="114"/>
        <v>0</v>
      </c>
      <c r="DH265">
        <f t="shared" si="115"/>
        <v>0</v>
      </c>
      <c r="DI265">
        <f t="shared" si="106"/>
        <v>0</v>
      </c>
      <c r="DJ265">
        <f t="shared" si="116"/>
        <v>158.58000000000001</v>
      </c>
      <c r="DK265">
        <v>0</v>
      </c>
      <c r="DL265" t="s">
        <v>3</v>
      </c>
      <c r="DM265">
        <v>0</v>
      </c>
      <c r="DN265" t="s">
        <v>3</v>
      </c>
      <c r="DO265">
        <v>0</v>
      </c>
    </row>
    <row r="266" spans="1:119" x14ac:dyDescent="0.2">
      <c r="A266">
        <f>ROW(Source!A123)</f>
        <v>123</v>
      </c>
      <c r="B266">
        <v>145033679</v>
      </c>
      <c r="C266">
        <v>145051242</v>
      </c>
      <c r="D266">
        <v>140777278</v>
      </c>
      <c r="E266">
        <v>1</v>
      </c>
      <c r="F266">
        <v>1</v>
      </c>
      <c r="G266">
        <v>1</v>
      </c>
      <c r="H266">
        <v>3</v>
      </c>
      <c r="I266" t="s">
        <v>1009</v>
      </c>
      <c r="J266" t="s">
        <v>1010</v>
      </c>
      <c r="K266" t="s">
        <v>1011</v>
      </c>
      <c r="L266">
        <v>1348</v>
      </c>
      <c r="N266">
        <v>1009</v>
      </c>
      <c r="O266" t="s">
        <v>105</v>
      </c>
      <c r="P266" t="s">
        <v>105</v>
      </c>
      <c r="Q266">
        <v>1000</v>
      </c>
      <c r="W266">
        <v>0</v>
      </c>
      <c r="X266">
        <v>1174253204</v>
      </c>
      <c r="Y266">
        <f t="shared" si="107"/>
        <v>2.8999999999999998E-3</v>
      </c>
      <c r="AA266">
        <v>6397.5</v>
      </c>
      <c r="AB266">
        <v>0</v>
      </c>
      <c r="AC266">
        <v>0</v>
      </c>
      <c r="AD266">
        <v>0</v>
      </c>
      <c r="AE266">
        <v>734.5</v>
      </c>
      <c r="AF266">
        <v>0</v>
      </c>
      <c r="AG266">
        <v>0</v>
      </c>
      <c r="AH266">
        <v>0</v>
      </c>
      <c r="AI266">
        <v>8.7100000000000009</v>
      </c>
      <c r="AJ266">
        <v>1</v>
      </c>
      <c r="AK266">
        <v>1</v>
      </c>
      <c r="AL266">
        <v>1</v>
      </c>
      <c r="AM266">
        <v>4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2.8999999999999998E-3</v>
      </c>
      <c r="AU266" t="s">
        <v>3</v>
      </c>
      <c r="AV266">
        <v>0</v>
      </c>
      <c r="AW266">
        <v>2</v>
      </c>
      <c r="AX266">
        <v>145051250</v>
      </c>
      <c r="AY266">
        <v>1</v>
      </c>
      <c r="AZ266">
        <v>0</v>
      </c>
      <c r="BA266">
        <v>266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ROUND(Y266*Source!I123,9)</f>
        <v>2.32E-3</v>
      </c>
      <c r="CY266">
        <f t="shared" si="108"/>
        <v>6397.5</v>
      </c>
      <c r="CZ266">
        <f t="shared" si="109"/>
        <v>734.5</v>
      </c>
      <c r="DA266">
        <f t="shared" si="110"/>
        <v>8.7100000000000009</v>
      </c>
      <c r="DB266">
        <f t="shared" si="111"/>
        <v>2.13</v>
      </c>
      <c r="DC266">
        <f t="shared" si="112"/>
        <v>0</v>
      </c>
      <c r="DD266" t="s">
        <v>3</v>
      </c>
      <c r="DE266" t="s">
        <v>3</v>
      </c>
      <c r="DF266">
        <f t="shared" si="113"/>
        <v>14.84</v>
      </c>
      <c r="DG266">
        <f t="shared" si="114"/>
        <v>0</v>
      </c>
      <c r="DH266">
        <f t="shared" si="115"/>
        <v>0</v>
      </c>
      <c r="DI266">
        <f t="shared" si="106"/>
        <v>0</v>
      </c>
      <c r="DJ266">
        <f t="shared" si="116"/>
        <v>14.84</v>
      </c>
      <c r="DK266">
        <v>0</v>
      </c>
      <c r="DL266" t="s">
        <v>3</v>
      </c>
      <c r="DM266">
        <v>0</v>
      </c>
      <c r="DN266" t="s">
        <v>3</v>
      </c>
      <c r="DO266">
        <v>0</v>
      </c>
    </row>
    <row r="267" spans="1:119" x14ac:dyDescent="0.2">
      <c r="A267">
        <f>ROW(Source!A123)</f>
        <v>123</v>
      </c>
      <c r="B267">
        <v>145033679</v>
      </c>
      <c r="C267">
        <v>145051242</v>
      </c>
      <c r="D267">
        <v>140761051</v>
      </c>
      <c r="E267">
        <v>70</v>
      </c>
      <c r="F267">
        <v>1</v>
      </c>
      <c r="G267">
        <v>1</v>
      </c>
      <c r="H267">
        <v>3</v>
      </c>
      <c r="I267" t="s">
        <v>1012</v>
      </c>
      <c r="J267" t="s">
        <v>3</v>
      </c>
      <c r="K267" t="s">
        <v>1013</v>
      </c>
      <c r="L267">
        <v>1339</v>
      </c>
      <c r="N267">
        <v>1007</v>
      </c>
      <c r="O267" t="s">
        <v>66</v>
      </c>
      <c r="P267" t="s">
        <v>66</v>
      </c>
      <c r="Q267">
        <v>1</v>
      </c>
      <c r="W267">
        <v>0</v>
      </c>
      <c r="X267">
        <v>-157982121</v>
      </c>
      <c r="Y267">
        <f t="shared" si="107"/>
        <v>1.02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8.7100000000000009</v>
      </c>
      <c r="AJ267">
        <v>1</v>
      </c>
      <c r="AK267">
        <v>1</v>
      </c>
      <c r="AL267">
        <v>1</v>
      </c>
      <c r="AM267">
        <v>4</v>
      </c>
      <c r="AN267">
        <v>0</v>
      </c>
      <c r="AO267">
        <v>0</v>
      </c>
      <c r="AP267">
        <v>0</v>
      </c>
      <c r="AQ267">
        <v>0</v>
      </c>
      <c r="AR267">
        <v>0</v>
      </c>
      <c r="AS267" t="s">
        <v>3</v>
      </c>
      <c r="AT267">
        <v>1.02</v>
      </c>
      <c r="AU267" t="s">
        <v>3</v>
      </c>
      <c r="AV267">
        <v>0</v>
      </c>
      <c r="AW267">
        <v>2</v>
      </c>
      <c r="AX267">
        <v>145051251</v>
      </c>
      <c r="AY267">
        <v>1</v>
      </c>
      <c r="AZ267">
        <v>0</v>
      </c>
      <c r="BA267">
        <v>267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ROUND(Y267*Source!I123,9)</f>
        <v>0.81599999999999995</v>
      </c>
      <c r="CY267">
        <f t="shared" si="108"/>
        <v>0</v>
      </c>
      <c r="CZ267">
        <f t="shared" si="109"/>
        <v>0</v>
      </c>
      <c r="DA267">
        <f t="shared" si="110"/>
        <v>8.7100000000000009</v>
      </c>
      <c r="DB267">
        <f t="shared" si="111"/>
        <v>0</v>
      </c>
      <c r="DC267">
        <f t="shared" si="112"/>
        <v>0</v>
      </c>
      <c r="DD267" t="s">
        <v>3</v>
      </c>
      <c r="DE267" t="s">
        <v>3</v>
      </c>
      <c r="DF267">
        <f t="shared" si="113"/>
        <v>0</v>
      </c>
      <c r="DG267">
        <f t="shared" si="114"/>
        <v>0</v>
      </c>
      <c r="DH267">
        <f t="shared" si="115"/>
        <v>0</v>
      </c>
      <c r="DI267">
        <f t="shared" si="106"/>
        <v>0</v>
      </c>
      <c r="DJ267">
        <f t="shared" si="116"/>
        <v>0</v>
      </c>
      <c r="DK267">
        <v>0</v>
      </c>
      <c r="DL267" t="s">
        <v>3</v>
      </c>
      <c r="DM267">
        <v>0</v>
      </c>
      <c r="DN267" t="s">
        <v>3</v>
      </c>
      <c r="DO267">
        <v>0</v>
      </c>
    </row>
    <row r="268" spans="1:119" x14ac:dyDescent="0.2">
      <c r="A268">
        <f>ROW(Source!A123)</f>
        <v>123</v>
      </c>
      <c r="B268">
        <v>145033679</v>
      </c>
      <c r="C268">
        <v>145051242</v>
      </c>
      <c r="D268">
        <v>140778119</v>
      </c>
      <c r="E268">
        <v>1</v>
      </c>
      <c r="F268">
        <v>1</v>
      </c>
      <c r="G268">
        <v>1</v>
      </c>
      <c r="H268">
        <v>3</v>
      </c>
      <c r="I268" t="s">
        <v>900</v>
      </c>
      <c r="J268" t="s">
        <v>901</v>
      </c>
      <c r="K268" t="s">
        <v>902</v>
      </c>
      <c r="L268">
        <v>1339</v>
      </c>
      <c r="N268">
        <v>1007</v>
      </c>
      <c r="O268" t="s">
        <v>66</v>
      </c>
      <c r="P268" t="s">
        <v>66</v>
      </c>
      <c r="Q268">
        <v>1</v>
      </c>
      <c r="W268">
        <v>0</v>
      </c>
      <c r="X268">
        <v>-412739892</v>
      </c>
      <c r="Y268">
        <f t="shared" si="107"/>
        <v>0.09</v>
      </c>
      <c r="AA268">
        <v>4328.87</v>
      </c>
      <c r="AB268">
        <v>0</v>
      </c>
      <c r="AC268">
        <v>0</v>
      </c>
      <c r="AD268">
        <v>0</v>
      </c>
      <c r="AE268">
        <v>497</v>
      </c>
      <c r="AF268">
        <v>0</v>
      </c>
      <c r="AG268">
        <v>0</v>
      </c>
      <c r="AH268">
        <v>0</v>
      </c>
      <c r="AI268">
        <v>8.7100000000000009</v>
      </c>
      <c r="AJ268">
        <v>1</v>
      </c>
      <c r="AK268">
        <v>1</v>
      </c>
      <c r="AL268">
        <v>1</v>
      </c>
      <c r="AM268">
        <v>4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0.09</v>
      </c>
      <c r="AU268" t="s">
        <v>3</v>
      </c>
      <c r="AV268">
        <v>0</v>
      </c>
      <c r="AW268">
        <v>2</v>
      </c>
      <c r="AX268">
        <v>145051252</v>
      </c>
      <c r="AY268">
        <v>1</v>
      </c>
      <c r="AZ268">
        <v>0</v>
      </c>
      <c r="BA268">
        <v>268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ROUND(Y268*Source!I123,9)</f>
        <v>7.1999999999999995E-2</v>
      </c>
      <c r="CY268">
        <f t="shared" si="108"/>
        <v>4328.87</v>
      </c>
      <c r="CZ268">
        <f t="shared" si="109"/>
        <v>497</v>
      </c>
      <c r="DA268">
        <f t="shared" si="110"/>
        <v>8.7100000000000009</v>
      </c>
      <c r="DB268">
        <f t="shared" si="111"/>
        <v>44.73</v>
      </c>
      <c r="DC268">
        <f t="shared" si="112"/>
        <v>0</v>
      </c>
      <c r="DD268" t="s">
        <v>3</v>
      </c>
      <c r="DE268" t="s">
        <v>3</v>
      </c>
      <c r="DF268">
        <f t="shared" si="113"/>
        <v>311.68</v>
      </c>
      <c r="DG268">
        <f t="shared" si="114"/>
        <v>0</v>
      </c>
      <c r="DH268">
        <f t="shared" si="115"/>
        <v>0</v>
      </c>
      <c r="DI268">
        <f t="shared" si="106"/>
        <v>0</v>
      </c>
      <c r="DJ268">
        <f t="shared" si="116"/>
        <v>311.68</v>
      </c>
      <c r="DK268">
        <v>0</v>
      </c>
      <c r="DL268" t="s">
        <v>3</v>
      </c>
      <c r="DM268">
        <v>0</v>
      </c>
      <c r="DN268" t="s">
        <v>3</v>
      </c>
      <c r="DO268">
        <v>0</v>
      </c>
    </row>
    <row r="269" spans="1:119" x14ac:dyDescent="0.2">
      <c r="A269">
        <f>ROW(Source!A123)</f>
        <v>123</v>
      </c>
      <c r="B269">
        <v>145033679</v>
      </c>
      <c r="C269">
        <v>145051242</v>
      </c>
      <c r="D269">
        <v>140790834</v>
      </c>
      <c r="E269">
        <v>1</v>
      </c>
      <c r="F269">
        <v>1</v>
      </c>
      <c r="G269">
        <v>1</v>
      </c>
      <c r="H269">
        <v>3</v>
      </c>
      <c r="I269" t="s">
        <v>1014</v>
      </c>
      <c r="J269" t="s">
        <v>1015</v>
      </c>
      <c r="K269" t="s">
        <v>1016</v>
      </c>
      <c r="L269">
        <v>1348</v>
      </c>
      <c r="N269">
        <v>1009</v>
      </c>
      <c r="O269" t="s">
        <v>105</v>
      </c>
      <c r="P269" t="s">
        <v>105</v>
      </c>
      <c r="Q269">
        <v>1000</v>
      </c>
      <c r="W269">
        <v>0</v>
      </c>
      <c r="X269">
        <v>-807853778</v>
      </c>
      <c r="Y269">
        <f t="shared" si="107"/>
        <v>4.0000000000000001E-3</v>
      </c>
      <c r="AA269">
        <v>52164.19</v>
      </c>
      <c r="AB269">
        <v>0</v>
      </c>
      <c r="AC269">
        <v>0</v>
      </c>
      <c r="AD269">
        <v>0</v>
      </c>
      <c r="AE269">
        <v>5989</v>
      </c>
      <c r="AF269">
        <v>0</v>
      </c>
      <c r="AG269">
        <v>0</v>
      </c>
      <c r="AH269">
        <v>0</v>
      </c>
      <c r="AI269">
        <v>8.7100000000000009</v>
      </c>
      <c r="AJ269">
        <v>1</v>
      </c>
      <c r="AK269">
        <v>1</v>
      </c>
      <c r="AL269">
        <v>1</v>
      </c>
      <c r="AM269">
        <v>4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4.0000000000000001E-3</v>
      </c>
      <c r="AU269" t="s">
        <v>3</v>
      </c>
      <c r="AV269">
        <v>0</v>
      </c>
      <c r="AW269">
        <v>2</v>
      </c>
      <c r="AX269">
        <v>145051253</v>
      </c>
      <c r="AY269">
        <v>1</v>
      </c>
      <c r="AZ269">
        <v>0</v>
      </c>
      <c r="BA269">
        <v>269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ROUND(Y269*Source!I123,9)</f>
        <v>3.2000000000000002E-3</v>
      </c>
      <c r="CY269">
        <f t="shared" si="108"/>
        <v>52164.19</v>
      </c>
      <c r="CZ269">
        <f t="shared" si="109"/>
        <v>5989</v>
      </c>
      <c r="DA269">
        <f t="shared" si="110"/>
        <v>8.7100000000000009</v>
      </c>
      <c r="DB269">
        <f t="shared" si="111"/>
        <v>23.96</v>
      </c>
      <c r="DC269">
        <f t="shared" si="112"/>
        <v>0</v>
      </c>
      <c r="DD269" t="s">
        <v>3</v>
      </c>
      <c r="DE269" t="s">
        <v>3</v>
      </c>
      <c r="DF269">
        <f t="shared" si="113"/>
        <v>166.93</v>
      </c>
      <c r="DG269">
        <f t="shared" si="114"/>
        <v>0</v>
      </c>
      <c r="DH269">
        <f t="shared" si="115"/>
        <v>0</v>
      </c>
      <c r="DI269">
        <f t="shared" si="106"/>
        <v>0</v>
      </c>
      <c r="DJ269">
        <f t="shared" si="116"/>
        <v>166.93</v>
      </c>
      <c r="DK269">
        <v>0</v>
      </c>
      <c r="DL269" t="s">
        <v>3</v>
      </c>
      <c r="DM269">
        <v>0</v>
      </c>
      <c r="DN269" t="s">
        <v>3</v>
      </c>
      <c r="DO269">
        <v>0</v>
      </c>
    </row>
    <row r="270" spans="1:119" x14ac:dyDescent="0.2">
      <c r="A270">
        <f>ROW(Source!A123)</f>
        <v>123</v>
      </c>
      <c r="B270">
        <v>145033679</v>
      </c>
      <c r="C270">
        <v>145051242</v>
      </c>
      <c r="D270">
        <v>140793309</v>
      </c>
      <c r="E270">
        <v>1</v>
      </c>
      <c r="F270">
        <v>1</v>
      </c>
      <c r="G270">
        <v>1</v>
      </c>
      <c r="H270">
        <v>3</v>
      </c>
      <c r="I270" t="s">
        <v>411</v>
      </c>
      <c r="J270" t="s">
        <v>413</v>
      </c>
      <c r="K270" t="s">
        <v>412</v>
      </c>
      <c r="L270">
        <v>1348</v>
      </c>
      <c r="N270">
        <v>1009</v>
      </c>
      <c r="O270" t="s">
        <v>105</v>
      </c>
      <c r="P270" t="s">
        <v>105</v>
      </c>
      <c r="Q270">
        <v>1000</v>
      </c>
      <c r="W270">
        <v>1</v>
      </c>
      <c r="X270">
        <v>1291003592</v>
      </c>
      <c r="Y270">
        <f t="shared" si="107"/>
        <v>-0.09</v>
      </c>
      <c r="AA270">
        <v>49211.5</v>
      </c>
      <c r="AB270">
        <v>0</v>
      </c>
      <c r="AC270">
        <v>0</v>
      </c>
      <c r="AD270">
        <v>0</v>
      </c>
      <c r="AE270">
        <v>5650</v>
      </c>
      <c r="AF270">
        <v>0</v>
      </c>
      <c r="AG270">
        <v>0</v>
      </c>
      <c r="AH270">
        <v>0</v>
      </c>
      <c r="AI270">
        <v>8.7100000000000009</v>
      </c>
      <c r="AJ270">
        <v>1</v>
      </c>
      <c r="AK270">
        <v>1</v>
      </c>
      <c r="AL270">
        <v>1</v>
      </c>
      <c r="AM270">
        <v>4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-0.09</v>
      </c>
      <c r="AU270" t="s">
        <v>3</v>
      </c>
      <c r="AV270">
        <v>0</v>
      </c>
      <c r="AW270">
        <v>2</v>
      </c>
      <c r="AX270">
        <v>145051254</v>
      </c>
      <c r="AY270">
        <v>1</v>
      </c>
      <c r="AZ270">
        <v>6144</v>
      </c>
      <c r="BA270">
        <v>270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ROUND(Y270*Source!I123,9)</f>
        <v>-7.1999999999999995E-2</v>
      </c>
      <c r="CY270">
        <f t="shared" si="108"/>
        <v>49211.5</v>
      </c>
      <c r="CZ270">
        <f t="shared" si="109"/>
        <v>5650</v>
      </c>
      <c r="DA270">
        <f t="shared" si="110"/>
        <v>8.7100000000000009</v>
      </c>
      <c r="DB270">
        <f t="shared" si="111"/>
        <v>-508.5</v>
      </c>
      <c r="DC270">
        <f t="shared" si="112"/>
        <v>0</v>
      </c>
      <c r="DD270" t="s">
        <v>3</v>
      </c>
      <c r="DE270" t="s">
        <v>3</v>
      </c>
      <c r="DF270">
        <f t="shared" si="113"/>
        <v>-3543.23</v>
      </c>
      <c r="DG270">
        <f t="shared" si="114"/>
        <v>0</v>
      </c>
      <c r="DH270">
        <f t="shared" si="115"/>
        <v>0</v>
      </c>
      <c r="DI270">
        <f t="shared" si="106"/>
        <v>0</v>
      </c>
      <c r="DJ270">
        <f t="shared" si="116"/>
        <v>-3543.23</v>
      </c>
      <c r="DK270">
        <v>0</v>
      </c>
      <c r="DL270" t="s">
        <v>3</v>
      </c>
      <c r="DM270">
        <v>0</v>
      </c>
      <c r="DN270" t="s">
        <v>3</v>
      </c>
      <c r="DO270">
        <v>0</v>
      </c>
    </row>
    <row r="271" spans="1:119" x14ac:dyDescent="0.2">
      <c r="A271">
        <f>ROW(Source!A123)</f>
        <v>123</v>
      </c>
      <c r="B271">
        <v>145033679</v>
      </c>
      <c r="C271">
        <v>145051242</v>
      </c>
      <c r="D271">
        <v>140796259</v>
      </c>
      <c r="E271">
        <v>1</v>
      </c>
      <c r="F271">
        <v>1</v>
      </c>
      <c r="G271">
        <v>1</v>
      </c>
      <c r="H271">
        <v>3</v>
      </c>
      <c r="I271" t="s">
        <v>1017</v>
      </c>
      <c r="J271" t="s">
        <v>1018</v>
      </c>
      <c r="K271" t="s">
        <v>1019</v>
      </c>
      <c r="L271">
        <v>1339</v>
      </c>
      <c r="N271">
        <v>1007</v>
      </c>
      <c r="O271" t="s">
        <v>66</v>
      </c>
      <c r="P271" t="s">
        <v>66</v>
      </c>
      <c r="Q271">
        <v>1</v>
      </c>
      <c r="W271">
        <v>0</v>
      </c>
      <c r="X271">
        <v>-1106705582</v>
      </c>
      <c r="Y271">
        <f t="shared" si="107"/>
        <v>0.12</v>
      </c>
      <c r="AA271">
        <v>4863.05</v>
      </c>
      <c r="AB271">
        <v>0</v>
      </c>
      <c r="AC271">
        <v>0</v>
      </c>
      <c r="AD271">
        <v>0</v>
      </c>
      <c r="AE271">
        <v>558.33000000000004</v>
      </c>
      <c r="AF271">
        <v>0</v>
      </c>
      <c r="AG271">
        <v>0</v>
      </c>
      <c r="AH271">
        <v>0</v>
      </c>
      <c r="AI271">
        <v>8.7100000000000009</v>
      </c>
      <c r="AJ271">
        <v>1</v>
      </c>
      <c r="AK271">
        <v>1</v>
      </c>
      <c r="AL271">
        <v>1</v>
      </c>
      <c r="AM271">
        <v>4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0.12</v>
      </c>
      <c r="AU271" t="s">
        <v>3</v>
      </c>
      <c r="AV271">
        <v>0</v>
      </c>
      <c r="AW271">
        <v>2</v>
      </c>
      <c r="AX271">
        <v>145051255</v>
      </c>
      <c r="AY271">
        <v>1</v>
      </c>
      <c r="AZ271">
        <v>0</v>
      </c>
      <c r="BA271">
        <v>271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ROUND(Y271*Source!I123,9)</f>
        <v>9.6000000000000002E-2</v>
      </c>
      <c r="CY271">
        <f t="shared" si="108"/>
        <v>4863.05</v>
      </c>
      <c r="CZ271">
        <f t="shared" si="109"/>
        <v>558.33000000000004</v>
      </c>
      <c r="DA271">
        <f t="shared" si="110"/>
        <v>8.7100000000000009</v>
      </c>
      <c r="DB271">
        <f t="shared" si="111"/>
        <v>67</v>
      </c>
      <c r="DC271">
        <f t="shared" si="112"/>
        <v>0</v>
      </c>
      <c r="DD271" t="s">
        <v>3</v>
      </c>
      <c r="DE271" t="s">
        <v>3</v>
      </c>
      <c r="DF271">
        <f t="shared" si="113"/>
        <v>466.85</v>
      </c>
      <c r="DG271">
        <f t="shared" si="114"/>
        <v>0</v>
      </c>
      <c r="DH271">
        <f t="shared" si="115"/>
        <v>0</v>
      </c>
      <c r="DI271">
        <f t="shared" si="106"/>
        <v>0</v>
      </c>
      <c r="DJ271">
        <f t="shared" si="116"/>
        <v>466.85</v>
      </c>
      <c r="DK271">
        <v>0</v>
      </c>
      <c r="DL271" t="s">
        <v>3</v>
      </c>
      <c r="DM271">
        <v>0</v>
      </c>
      <c r="DN271" t="s">
        <v>3</v>
      </c>
      <c r="DO271">
        <v>0</v>
      </c>
    </row>
    <row r="272" spans="1:119" x14ac:dyDescent="0.2">
      <c r="A272">
        <f>ROW(Source!A123)</f>
        <v>123</v>
      </c>
      <c r="B272">
        <v>145033679</v>
      </c>
      <c r="C272">
        <v>145051242</v>
      </c>
      <c r="D272">
        <v>140796540</v>
      </c>
      <c r="E272">
        <v>1</v>
      </c>
      <c r="F272">
        <v>1</v>
      </c>
      <c r="G272">
        <v>1</v>
      </c>
      <c r="H272">
        <v>3</v>
      </c>
      <c r="I272" t="s">
        <v>1020</v>
      </c>
      <c r="J272" t="s">
        <v>1021</v>
      </c>
      <c r="K272" t="s">
        <v>1022</v>
      </c>
      <c r="L272">
        <v>1339</v>
      </c>
      <c r="N272">
        <v>1007</v>
      </c>
      <c r="O272" t="s">
        <v>66</v>
      </c>
      <c r="P272" t="s">
        <v>66</v>
      </c>
      <c r="Q272">
        <v>1</v>
      </c>
      <c r="W272">
        <v>0</v>
      </c>
      <c r="X272">
        <v>-677177805</v>
      </c>
      <c r="Y272">
        <f t="shared" si="107"/>
        <v>0.14000000000000001</v>
      </c>
      <c r="AA272">
        <v>11497.2</v>
      </c>
      <c r="AB272">
        <v>0</v>
      </c>
      <c r="AC272">
        <v>0</v>
      </c>
      <c r="AD272">
        <v>0</v>
      </c>
      <c r="AE272">
        <v>1320</v>
      </c>
      <c r="AF272">
        <v>0</v>
      </c>
      <c r="AG272">
        <v>0</v>
      </c>
      <c r="AH272">
        <v>0</v>
      </c>
      <c r="AI272">
        <v>8.7100000000000009</v>
      </c>
      <c r="AJ272">
        <v>1</v>
      </c>
      <c r="AK272">
        <v>1</v>
      </c>
      <c r="AL272">
        <v>1</v>
      </c>
      <c r="AM272">
        <v>4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0.14000000000000001</v>
      </c>
      <c r="AU272" t="s">
        <v>3</v>
      </c>
      <c r="AV272">
        <v>0</v>
      </c>
      <c r="AW272">
        <v>2</v>
      </c>
      <c r="AX272">
        <v>145051256</v>
      </c>
      <c r="AY272">
        <v>1</v>
      </c>
      <c r="AZ272">
        <v>0</v>
      </c>
      <c r="BA272">
        <v>272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ROUND(Y272*Source!I123,9)</f>
        <v>0.112</v>
      </c>
      <c r="CY272">
        <f t="shared" si="108"/>
        <v>11497.2</v>
      </c>
      <c r="CZ272">
        <f t="shared" si="109"/>
        <v>1320</v>
      </c>
      <c r="DA272">
        <f t="shared" si="110"/>
        <v>8.7100000000000009</v>
      </c>
      <c r="DB272">
        <f t="shared" si="111"/>
        <v>184.8</v>
      </c>
      <c r="DC272">
        <f t="shared" si="112"/>
        <v>0</v>
      </c>
      <c r="DD272" t="s">
        <v>3</v>
      </c>
      <c r="DE272" t="s">
        <v>3</v>
      </c>
      <c r="DF272">
        <f t="shared" si="113"/>
        <v>1287.69</v>
      </c>
      <c r="DG272">
        <f t="shared" si="114"/>
        <v>0</v>
      </c>
      <c r="DH272">
        <f t="shared" si="115"/>
        <v>0</v>
      </c>
      <c r="DI272">
        <f t="shared" si="106"/>
        <v>0</v>
      </c>
      <c r="DJ272">
        <f t="shared" si="116"/>
        <v>1287.69</v>
      </c>
      <c r="DK272">
        <v>0</v>
      </c>
      <c r="DL272" t="s">
        <v>3</v>
      </c>
      <c r="DM272">
        <v>0</v>
      </c>
      <c r="DN272" t="s">
        <v>3</v>
      </c>
      <c r="DO272">
        <v>0</v>
      </c>
    </row>
    <row r="273" spans="1:119" x14ac:dyDescent="0.2">
      <c r="A273">
        <f>ROW(Source!A123)</f>
        <v>123</v>
      </c>
      <c r="B273">
        <v>145033679</v>
      </c>
      <c r="C273">
        <v>145051242</v>
      </c>
      <c r="D273">
        <v>140797730</v>
      </c>
      <c r="E273">
        <v>1</v>
      </c>
      <c r="F273">
        <v>1</v>
      </c>
      <c r="G273">
        <v>1</v>
      </c>
      <c r="H273">
        <v>3</v>
      </c>
      <c r="I273" t="s">
        <v>1023</v>
      </c>
      <c r="J273" t="s">
        <v>1024</v>
      </c>
      <c r="K273" t="s">
        <v>1025</v>
      </c>
      <c r="L273">
        <v>1327</v>
      </c>
      <c r="N273">
        <v>1005</v>
      </c>
      <c r="O273" t="s">
        <v>131</v>
      </c>
      <c r="P273" t="s">
        <v>131</v>
      </c>
      <c r="Q273">
        <v>1</v>
      </c>
      <c r="W273">
        <v>0</v>
      </c>
      <c r="X273">
        <v>334453153</v>
      </c>
      <c r="Y273">
        <f t="shared" si="107"/>
        <v>2.2999999999999998</v>
      </c>
      <c r="AA273">
        <v>309.47000000000003</v>
      </c>
      <c r="AB273">
        <v>0</v>
      </c>
      <c r="AC273">
        <v>0</v>
      </c>
      <c r="AD273">
        <v>0</v>
      </c>
      <c r="AE273">
        <v>35.53</v>
      </c>
      <c r="AF273">
        <v>0</v>
      </c>
      <c r="AG273">
        <v>0</v>
      </c>
      <c r="AH273">
        <v>0</v>
      </c>
      <c r="AI273">
        <v>8.7100000000000009</v>
      </c>
      <c r="AJ273">
        <v>1</v>
      </c>
      <c r="AK273">
        <v>1</v>
      </c>
      <c r="AL273">
        <v>1</v>
      </c>
      <c r="AM273">
        <v>4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2.2999999999999998</v>
      </c>
      <c r="AU273" t="s">
        <v>3</v>
      </c>
      <c r="AV273">
        <v>0</v>
      </c>
      <c r="AW273">
        <v>2</v>
      </c>
      <c r="AX273">
        <v>145051257</v>
      </c>
      <c r="AY273">
        <v>1</v>
      </c>
      <c r="AZ273">
        <v>0</v>
      </c>
      <c r="BA273">
        <v>273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ROUND(Y273*Source!I123,9)</f>
        <v>1.84</v>
      </c>
      <c r="CY273">
        <f t="shared" si="108"/>
        <v>309.47000000000003</v>
      </c>
      <c r="CZ273">
        <f t="shared" si="109"/>
        <v>35.53</v>
      </c>
      <c r="DA273">
        <f t="shared" si="110"/>
        <v>8.7100000000000009</v>
      </c>
      <c r="DB273">
        <f t="shared" si="111"/>
        <v>81.72</v>
      </c>
      <c r="DC273">
        <f t="shared" si="112"/>
        <v>0</v>
      </c>
      <c r="DD273" t="s">
        <v>3</v>
      </c>
      <c r="DE273" t="s">
        <v>3</v>
      </c>
      <c r="DF273">
        <f t="shared" si="113"/>
        <v>569.41999999999996</v>
      </c>
      <c r="DG273">
        <f t="shared" si="114"/>
        <v>0</v>
      </c>
      <c r="DH273">
        <f t="shared" si="115"/>
        <v>0</v>
      </c>
      <c r="DI273">
        <f t="shared" si="106"/>
        <v>0</v>
      </c>
      <c r="DJ273">
        <f t="shared" si="116"/>
        <v>569.41999999999996</v>
      </c>
      <c r="DK273">
        <v>0</v>
      </c>
      <c r="DL273" t="s">
        <v>3</v>
      </c>
      <c r="DM273">
        <v>0</v>
      </c>
      <c r="DN273" t="s">
        <v>3</v>
      </c>
      <c r="DO273">
        <v>0</v>
      </c>
    </row>
    <row r="274" spans="1:119" x14ac:dyDescent="0.2">
      <c r="A274">
        <f>ROW(Source!A127)</f>
        <v>127</v>
      </c>
      <c r="B274">
        <v>145033679</v>
      </c>
      <c r="C274">
        <v>145051560</v>
      </c>
      <c r="D274">
        <v>140760031</v>
      </c>
      <c r="E274">
        <v>70</v>
      </c>
      <c r="F274">
        <v>1</v>
      </c>
      <c r="G274">
        <v>1</v>
      </c>
      <c r="H274">
        <v>1</v>
      </c>
      <c r="I274" t="s">
        <v>885</v>
      </c>
      <c r="J274" t="s">
        <v>3</v>
      </c>
      <c r="K274" t="s">
        <v>886</v>
      </c>
      <c r="L274">
        <v>1191</v>
      </c>
      <c r="N274">
        <v>1013</v>
      </c>
      <c r="O274" t="s">
        <v>725</v>
      </c>
      <c r="P274" t="s">
        <v>725</v>
      </c>
      <c r="Q274">
        <v>1</v>
      </c>
      <c r="W274">
        <v>0</v>
      </c>
      <c r="X274">
        <v>-1111239348</v>
      </c>
      <c r="Y274">
        <f t="shared" si="107"/>
        <v>91.8</v>
      </c>
      <c r="AA274">
        <v>0</v>
      </c>
      <c r="AB274">
        <v>0</v>
      </c>
      <c r="AC274">
        <v>0</v>
      </c>
      <c r="AD274">
        <v>293.79000000000002</v>
      </c>
      <c r="AE274">
        <v>0</v>
      </c>
      <c r="AF274">
        <v>0</v>
      </c>
      <c r="AG274">
        <v>0</v>
      </c>
      <c r="AH274">
        <v>9.6199999999999992</v>
      </c>
      <c r="AI274">
        <v>1</v>
      </c>
      <c r="AJ274">
        <v>1</v>
      </c>
      <c r="AK274">
        <v>1</v>
      </c>
      <c r="AL274">
        <v>30.54</v>
      </c>
      <c r="AM274">
        <v>4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91.8</v>
      </c>
      <c r="AU274" t="s">
        <v>3</v>
      </c>
      <c r="AV274">
        <v>1</v>
      </c>
      <c r="AW274">
        <v>2</v>
      </c>
      <c r="AX274">
        <v>145051561</v>
      </c>
      <c r="AY274">
        <v>1</v>
      </c>
      <c r="AZ274">
        <v>0</v>
      </c>
      <c r="BA274">
        <v>274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ROUND(Y274*Source!I127,9)</f>
        <v>98.574839999999995</v>
      </c>
      <c r="CY274">
        <f>AD274</f>
        <v>293.79000000000002</v>
      </c>
      <c r="CZ274">
        <f>AH274</f>
        <v>9.6199999999999992</v>
      </c>
      <c r="DA274">
        <f>AL274</f>
        <v>30.54</v>
      </c>
      <c r="DB274">
        <f t="shared" si="111"/>
        <v>883.12</v>
      </c>
      <c r="DC274">
        <f t="shared" si="112"/>
        <v>0</v>
      </c>
      <c r="DD274" t="s">
        <v>3</v>
      </c>
      <c r="DE274" t="s">
        <v>3</v>
      </c>
      <c r="DF274">
        <f t="shared" ref="DF274:DF281" si="117">ROUND(ROUND(AE274,2)*CX274,2)</f>
        <v>0</v>
      </c>
      <c r="DG274">
        <f t="shared" si="114"/>
        <v>0</v>
      </c>
      <c r="DH274">
        <f t="shared" si="115"/>
        <v>0</v>
      </c>
      <c r="DI274">
        <f>ROUND(ROUND(AH274*AL274,2)*CX274,2)</f>
        <v>28960.3</v>
      </c>
      <c r="DJ274">
        <f>DI274</f>
        <v>28960.3</v>
      </c>
      <c r="DK274">
        <v>0</v>
      </c>
      <c r="DL274" t="s">
        <v>3</v>
      </c>
      <c r="DM274">
        <v>0</v>
      </c>
      <c r="DN274" t="s">
        <v>3</v>
      </c>
      <c r="DO274">
        <v>0</v>
      </c>
    </row>
    <row r="275" spans="1:119" x14ac:dyDescent="0.2">
      <c r="A275">
        <f>ROW(Source!A127)</f>
        <v>127</v>
      </c>
      <c r="B275">
        <v>145033679</v>
      </c>
      <c r="C275">
        <v>145051560</v>
      </c>
      <c r="D275">
        <v>140760225</v>
      </c>
      <c r="E275">
        <v>70</v>
      </c>
      <c r="F275">
        <v>1</v>
      </c>
      <c r="G275">
        <v>1</v>
      </c>
      <c r="H275">
        <v>1</v>
      </c>
      <c r="I275" t="s">
        <v>730</v>
      </c>
      <c r="J275" t="s">
        <v>3</v>
      </c>
      <c r="K275" t="s">
        <v>731</v>
      </c>
      <c r="L275">
        <v>1191</v>
      </c>
      <c r="N275">
        <v>1013</v>
      </c>
      <c r="O275" t="s">
        <v>725</v>
      </c>
      <c r="P275" t="s">
        <v>725</v>
      </c>
      <c r="Q275">
        <v>1</v>
      </c>
      <c r="W275">
        <v>0</v>
      </c>
      <c r="X275">
        <v>-1417349443</v>
      </c>
      <c r="Y275">
        <f t="shared" si="107"/>
        <v>9.5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30.54</v>
      </c>
      <c r="AL275">
        <v>1</v>
      </c>
      <c r="AM275">
        <v>4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9.5</v>
      </c>
      <c r="AU275" t="s">
        <v>3</v>
      </c>
      <c r="AV275">
        <v>2</v>
      </c>
      <c r="AW275">
        <v>2</v>
      </c>
      <c r="AX275">
        <v>145051562</v>
      </c>
      <c r="AY275">
        <v>1</v>
      </c>
      <c r="AZ275">
        <v>0</v>
      </c>
      <c r="BA275">
        <v>275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ROUND(Y275*Source!I127,9)</f>
        <v>10.2011</v>
      </c>
      <c r="CY275">
        <f>AD275</f>
        <v>0</v>
      </c>
      <c r="CZ275">
        <f>AH275</f>
        <v>0</v>
      </c>
      <c r="DA275">
        <f>AL275</f>
        <v>1</v>
      </c>
      <c r="DB275">
        <f t="shared" si="111"/>
        <v>0</v>
      </c>
      <c r="DC275">
        <f t="shared" si="112"/>
        <v>0</v>
      </c>
      <c r="DD275" t="s">
        <v>3</v>
      </c>
      <c r="DE275" t="s">
        <v>3</v>
      </c>
      <c r="DF275">
        <f t="shared" si="117"/>
        <v>0</v>
      </c>
      <c r="DG275">
        <f t="shared" si="114"/>
        <v>0</v>
      </c>
      <c r="DH275">
        <f t="shared" ref="DH275:DH281" si="118">ROUND(ROUND(AG275*AK275,2)*CX275,2)</f>
        <v>0</v>
      </c>
      <c r="DI275">
        <f t="shared" ref="DI275:DI285" si="119">ROUND(ROUND(AH275,2)*CX275,2)</f>
        <v>0</v>
      </c>
      <c r="DJ275">
        <f>DI275</f>
        <v>0</v>
      </c>
      <c r="DK275">
        <v>0</v>
      </c>
      <c r="DL275" t="s">
        <v>3</v>
      </c>
      <c r="DM275">
        <v>0</v>
      </c>
      <c r="DN275" t="s">
        <v>3</v>
      </c>
      <c r="DO275">
        <v>0</v>
      </c>
    </row>
    <row r="276" spans="1:119" x14ac:dyDescent="0.2">
      <c r="A276">
        <f>ROW(Source!A127)</f>
        <v>127</v>
      </c>
      <c r="B276">
        <v>145033679</v>
      </c>
      <c r="C276">
        <v>145051560</v>
      </c>
      <c r="D276">
        <v>140922951</v>
      </c>
      <c r="E276">
        <v>1</v>
      </c>
      <c r="F276">
        <v>1</v>
      </c>
      <c r="G276">
        <v>1</v>
      </c>
      <c r="H276">
        <v>2</v>
      </c>
      <c r="I276" t="s">
        <v>752</v>
      </c>
      <c r="J276" t="s">
        <v>753</v>
      </c>
      <c r="K276" t="s">
        <v>754</v>
      </c>
      <c r="L276">
        <v>1367</v>
      </c>
      <c r="N276">
        <v>1011</v>
      </c>
      <c r="O276" t="s">
        <v>79</v>
      </c>
      <c r="P276" t="s">
        <v>79</v>
      </c>
      <c r="Q276">
        <v>1</v>
      </c>
      <c r="W276">
        <v>0</v>
      </c>
      <c r="X276">
        <v>-430484415</v>
      </c>
      <c r="Y276">
        <f t="shared" si="107"/>
        <v>9</v>
      </c>
      <c r="AA276">
        <v>0</v>
      </c>
      <c r="AB276">
        <v>1399.8</v>
      </c>
      <c r="AC276">
        <v>412.29</v>
      </c>
      <c r="AD276">
        <v>0</v>
      </c>
      <c r="AE276">
        <v>0</v>
      </c>
      <c r="AF276">
        <v>115.4</v>
      </c>
      <c r="AG276">
        <v>13.5</v>
      </c>
      <c r="AH276">
        <v>0</v>
      </c>
      <c r="AI276">
        <v>1</v>
      </c>
      <c r="AJ276">
        <v>12.13</v>
      </c>
      <c r="AK276">
        <v>30.54</v>
      </c>
      <c r="AL276">
        <v>1</v>
      </c>
      <c r="AM276">
        <v>4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9</v>
      </c>
      <c r="AU276" t="s">
        <v>3</v>
      </c>
      <c r="AV276">
        <v>0</v>
      </c>
      <c r="AW276">
        <v>2</v>
      </c>
      <c r="AX276">
        <v>145051563</v>
      </c>
      <c r="AY276">
        <v>1</v>
      </c>
      <c r="AZ276">
        <v>0</v>
      </c>
      <c r="BA276">
        <v>276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ROUND(Y276*Source!I127,9)</f>
        <v>9.6641999999999992</v>
      </c>
      <c r="CY276">
        <f t="shared" ref="CY276:CY281" si="120">AB276</f>
        <v>1399.8</v>
      </c>
      <c r="CZ276">
        <f t="shared" ref="CZ276:CZ281" si="121">AF276</f>
        <v>115.4</v>
      </c>
      <c r="DA276">
        <f t="shared" ref="DA276:DA281" si="122">AJ276</f>
        <v>12.13</v>
      </c>
      <c r="DB276">
        <f t="shared" si="111"/>
        <v>1038.5999999999999</v>
      </c>
      <c r="DC276">
        <f t="shared" si="112"/>
        <v>121.5</v>
      </c>
      <c r="DD276" t="s">
        <v>3</v>
      </c>
      <c r="DE276" t="s">
        <v>3</v>
      </c>
      <c r="DF276">
        <f t="shared" si="117"/>
        <v>0</v>
      </c>
      <c r="DG276">
        <f t="shared" ref="DG276:DG281" si="123">ROUND(ROUND(AF276*AJ276,2)*CX276,2)</f>
        <v>13527.95</v>
      </c>
      <c r="DH276">
        <f t="shared" si="118"/>
        <v>3984.45</v>
      </c>
      <c r="DI276">
        <f t="shared" si="119"/>
        <v>0</v>
      </c>
      <c r="DJ276">
        <f t="shared" ref="DJ276:DJ281" si="124">DG276</f>
        <v>13527.95</v>
      </c>
      <c r="DK276">
        <v>0</v>
      </c>
      <c r="DL276" t="s">
        <v>3</v>
      </c>
      <c r="DM276">
        <v>0</v>
      </c>
      <c r="DN276" t="s">
        <v>3</v>
      </c>
      <c r="DO276">
        <v>0</v>
      </c>
    </row>
    <row r="277" spans="1:119" x14ac:dyDescent="0.2">
      <c r="A277">
        <f>ROW(Source!A127)</f>
        <v>127</v>
      </c>
      <c r="B277">
        <v>145033679</v>
      </c>
      <c r="C277">
        <v>145051560</v>
      </c>
      <c r="D277">
        <v>140923886</v>
      </c>
      <c r="E277">
        <v>1</v>
      </c>
      <c r="F277">
        <v>1</v>
      </c>
      <c r="G277">
        <v>1</v>
      </c>
      <c r="H277">
        <v>2</v>
      </c>
      <c r="I277" t="s">
        <v>771</v>
      </c>
      <c r="J277" t="s">
        <v>772</v>
      </c>
      <c r="K277" t="s">
        <v>773</v>
      </c>
      <c r="L277">
        <v>1367</v>
      </c>
      <c r="N277">
        <v>1011</v>
      </c>
      <c r="O277" t="s">
        <v>79</v>
      </c>
      <c r="P277" t="s">
        <v>79</v>
      </c>
      <c r="Q277">
        <v>1</v>
      </c>
      <c r="W277">
        <v>0</v>
      </c>
      <c r="X277">
        <v>2006019958</v>
      </c>
      <c r="Y277">
        <f t="shared" si="107"/>
        <v>0.5</v>
      </c>
      <c r="AA277">
        <v>0</v>
      </c>
      <c r="AB277">
        <v>1041.24</v>
      </c>
      <c r="AC277">
        <v>354.26</v>
      </c>
      <c r="AD277">
        <v>0</v>
      </c>
      <c r="AE277">
        <v>0</v>
      </c>
      <c r="AF277">
        <v>85.84</v>
      </c>
      <c r="AG277">
        <v>11.6</v>
      </c>
      <c r="AH277">
        <v>0</v>
      </c>
      <c r="AI277">
        <v>1</v>
      </c>
      <c r="AJ277">
        <v>12.13</v>
      </c>
      <c r="AK277">
        <v>30.54</v>
      </c>
      <c r="AL277">
        <v>1</v>
      </c>
      <c r="AM277">
        <v>4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0.5</v>
      </c>
      <c r="AU277" t="s">
        <v>3</v>
      </c>
      <c r="AV277">
        <v>0</v>
      </c>
      <c r="AW277">
        <v>2</v>
      </c>
      <c r="AX277">
        <v>145051564</v>
      </c>
      <c r="AY277">
        <v>1</v>
      </c>
      <c r="AZ277">
        <v>0</v>
      </c>
      <c r="BA277">
        <v>277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ROUND(Y277*Source!I127,9)</f>
        <v>0.53690000000000004</v>
      </c>
      <c r="CY277">
        <f t="shared" si="120"/>
        <v>1041.24</v>
      </c>
      <c r="CZ277">
        <f t="shared" si="121"/>
        <v>85.84</v>
      </c>
      <c r="DA277">
        <f t="shared" si="122"/>
        <v>12.13</v>
      </c>
      <c r="DB277">
        <f t="shared" si="111"/>
        <v>42.92</v>
      </c>
      <c r="DC277">
        <f t="shared" si="112"/>
        <v>5.8</v>
      </c>
      <c r="DD277" t="s">
        <v>3</v>
      </c>
      <c r="DE277" t="s">
        <v>3</v>
      </c>
      <c r="DF277">
        <f t="shared" si="117"/>
        <v>0</v>
      </c>
      <c r="DG277">
        <f t="shared" si="123"/>
        <v>559.04</v>
      </c>
      <c r="DH277">
        <f t="shared" si="118"/>
        <v>190.2</v>
      </c>
      <c r="DI277">
        <f t="shared" si="119"/>
        <v>0</v>
      </c>
      <c r="DJ277">
        <f t="shared" si="124"/>
        <v>559.04</v>
      </c>
      <c r="DK277">
        <v>0</v>
      </c>
      <c r="DL277" t="s">
        <v>3</v>
      </c>
      <c r="DM277">
        <v>0</v>
      </c>
      <c r="DN277" t="s">
        <v>3</v>
      </c>
      <c r="DO277">
        <v>0</v>
      </c>
    </row>
    <row r="278" spans="1:119" x14ac:dyDescent="0.2">
      <c r="A278">
        <f>ROW(Source!A127)</f>
        <v>127</v>
      </c>
      <c r="B278">
        <v>145033679</v>
      </c>
      <c r="C278">
        <v>145051560</v>
      </c>
      <c r="D278">
        <v>140924041</v>
      </c>
      <c r="E278">
        <v>1</v>
      </c>
      <c r="F278">
        <v>1</v>
      </c>
      <c r="G278">
        <v>1</v>
      </c>
      <c r="H278">
        <v>2</v>
      </c>
      <c r="I278" t="s">
        <v>777</v>
      </c>
      <c r="J278" t="s">
        <v>778</v>
      </c>
      <c r="K278" t="s">
        <v>779</v>
      </c>
      <c r="L278">
        <v>1367</v>
      </c>
      <c r="N278">
        <v>1011</v>
      </c>
      <c r="O278" t="s">
        <v>79</v>
      </c>
      <c r="P278" t="s">
        <v>79</v>
      </c>
      <c r="Q278">
        <v>1</v>
      </c>
      <c r="W278">
        <v>0</v>
      </c>
      <c r="X278">
        <v>2077867240</v>
      </c>
      <c r="Y278">
        <f t="shared" si="107"/>
        <v>0.7</v>
      </c>
      <c r="AA278">
        <v>0</v>
      </c>
      <c r="AB278">
        <v>14.56</v>
      </c>
      <c r="AC278">
        <v>0</v>
      </c>
      <c r="AD278">
        <v>0</v>
      </c>
      <c r="AE278">
        <v>0</v>
      </c>
      <c r="AF278">
        <v>1.2</v>
      </c>
      <c r="AG278">
        <v>0</v>
      </c>
      <c r="AH278">
        <v>0</v>
      </c>
      <c r="AI278">
        <v>1</v>
      </c>
      <c r="AJ278">
        <v>12.13</v>
      </c>
      <c r="AK278">
        <v>30.54</v>
      </c>
      <c r="AL278">
        <v>1</v>
      </c>
      <c r="AM278">
        <v>4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0.7</v>
      </c>
      <c r="AU278" t="s">
        <v>3</v>
      </c>
      <c r="AV278">
        <v>0</v>
      </c>
      <c r="AW278">
        <v>2</v>
      </c>
      <c r="AX278">
        <v>145051565</v>
      </c>
      <c r="AY278">
        <v>1</v>
      </c>
      <c r="AZ278">
        <v>0</v>
      </c>
      <c r="BA278">
        <v>278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ROUND(Y278*Source!I127,9)</f>
        <v>0.75165999999999999</v>
      </c>
      <c r="CY278">
        <f t="shared" si="120"/>
        <v>14.56</v>
      </c>
      <c r="CZ278">
        <f t="shared" si="121"/>
        <v>1.2</v>
      </c>
      <c r="DA278">
        <f t="shared" si="122"/>
        <v>12.13</v>
      </c>
      <c r="DB278">
        <f t="shared" si="111"/>
        <v>0.84</v>
      </c>
      <c r="DC278">
        <f t="shared" si="112"/>
        <v>0</v>
      </c>
      <c r="DD278" t="s">
        <v>3</v>
      </c>
      <c r="DE278" t="s">
        <v>3</v>
      </c>
      <c r="DF278">
        <f t="shared" si="117"/>
        <v>0</v>
      </c>
      <c r="DG278">
        <f t="shared" si="123"/>
        <v>10.94</v>
      </c>
      <c r="DH278">
        <f t="shared" si="118"/>
        <v>0</v>
      </c>
      <c r="DI278">
        <f t="shared" si="119"/>
        <v>0</v>
      </c>
      <c r="DJ278">
        <f t="shared" si="124"/>
        <v>10.94</v>
      </c>
      <c r="DK278">
        <v>0</v>
      </c>
      <c r="DL278" t="s">
        <v>3</v>
      </c>
      <c r="DM278">
        <v>0</v>
      </c>
      <c r="DN278" t="s">
        <v>3</v>
      </c>
      <c r="DO278">
        <v>0</v>
      </c>
    </row>
    <row r="279" spans="1:119" x14ac:dyDescent="0.2">
      <c r="A279">
        <f>ROW(Source!A127)</f>
        <v>127</v>
      </c>
      <c r="B279">
        <v>145033679</v>
      </c>
      <c r="C279">
        <v>145051560</v>
      </c>
      <c r="D279">
        <v>140924098</v>
      </c>
      <c r="E279">
        <v>1</v>
      </c>
      <c r="F279">
        <v>1</v>
      </c>
      <c r="G279">
        <v>1</v>
      </c>
      <c r="H279">
        <v>2</v>
      </c>
      <c r="I279" t="s">
        <v>755</v>
      </c>
      <c r="J279" t="s">
        <v>756</v>
      </c>
      <c r="K279" t="s">
        <v>757</v>
      </c>
      <c r="L279">
        <v>1367</v>
      </c>
      <c r="N279">
        <v>1011</v>
      </c>
      <c r="O279" t="s">
        <v>79</v>
      </c>
      <c r="P279" t="s">
        <v>79</v>
      </c>
      <c r="Q279">
        <v>1</v>
      </c>
      <c r="W279">
        <v>0</v>
      </c>
      <c r="X279">
        <v>829370094</v>
      </c>
      <c r="Y279">
        <f t="shared" si="107"/>
        <v>28.6</v>
      </c>
      <c r="AA279">
        <v>0</v>
      </c>
      <c r="AB279">
        <v>98.25</v>
      </c>
      <c r="AC279">
        <v>0</v>
      </c>
      <c r="AD279">
        <v>0</v>
      </c>
      <c r="AE279">
        <v>0</v>
      </c>
      <c r="AF279">
        <v>8.1</v>
      </c>
      <c r="AG279">
        <v>0</v>
      </c>
      <c r="AH279">
        <v>0</v>
      </c>
      <c r="AI279">
        <v>1</v>
      </c>
      <c r="AJ279">
        <v>12.13</v>
      </c>
      <c r="AK279">
        <v>30.54</v>
      </c>
      <c r="AL279">
        <v>1</v>
      </c>
      <c r="AM279">
        <v>4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28.6</v>
      </c>
      <c r="AU279" t="s">
        <v>3</v>
      </c>
      <c r="AV279">
        <v>0</v>
      </c>
      <c r="AW279">
        <v>2</v>
      </c>
      <c r="AX279">
        <v>145051566</v>
      </c>
      <c r="AY279">
        <v>1</v>
      </c>
      <c r="AZ279">
        <v>0</v>
      </c>
      <c r="BA279">
        <v>279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ROUND(Y279*Source!I127,9)</f>
        <v>30.71068</v>
      </c>
      <c r="CY279">
        <f t="shared" si="120"/>
        <v>98.25</v>
      </c>
      <c r="CZ279">
        <f t="shared" si="121"/>
        <v>8.1</v>
      </c>
      <c r="DA279">
        <f t="shared" si="122"/>
        <v>12.13</v>
      </c>
      <c r="DB279">
        <f t="shared" si="111"/>
        <v>231.66</v>
      </c>
      <c r="DC279">
        <f t="shared" si="112"/>
        <v>0</v>
      </c>
      <c r="DD279" t="s">
        <v>3</v>
      </c>
      <c r="DE279" t="s">
        <v>3</v>
      </c>
      <c r="DF279">
        <f t="shared" si="117"/>
        <v>0</v>
      </c>
      <c r="DG279">
        <f t="shared" si="123"/>
        <v>3017.32</v>
      </c>
      <c r="DH279">
        <f t="shared" si="118"/>
        <v>0</v>
      </c>
      <c r="DI279">
        <f t="shared" si="119"/>
        <v>0</v>
      </c>
      <c r="DJ279">
        <f t="shared" si="124"/>
        <v>3017.32</v>
      </c>
      <c r="DK279">
        <v>0</v>
      </c>
      <c r="DL279" t="s">
        <v>3</v>
      </c>
      <c r="DM279">
        <v>0</v>
      </c>
      <c r="DN279" t="s">
        <v>3</v>
      </c>
      <c r="DO279">
        <v>0</v>
      </c>
    </row>
    <row r="280" spans="1:119" x14ac:dyDescent="0.2">
      <c r="A280">
        <f>ROW(Source!A127)</f>
        <v>127</v>
      </c>
      <c r="B280">
        <v>145033679</v>
      </c>
      <c r="C280">
        <v>145051560</v>
      </c>
      <c r="D280">
        <v>140924589</v>
      </c>
      <c r="E280">
        <v>1</v>
      </c>
      <c r="F280">
        <v>1</v>
      </c>
      <c r="G280">
        <v>1</v>
      </c>
      <c r="H280">
        <v>2</v>
      </c>
      <c r="I280" t="s">
        <v>1026</v>
      </c>
      <c r="J280" t="s">
        <v>1027</v>
      </c>
      <c r="K280" t="s">
        <v>1028</v>
      </c>
      <c r="L280">
        <v>1367</v>
      </c>
      <c r="N280">
        <v>1011</v>
      </c>
      <c r="O280" t="s">
        <v>79</v>
      </c>
      <c r="P280" t="s">
        <v>79</v>
      </c>
      <c r="Q280">
        <v>1</v>
      </c>
      <c r="W280">
        <v>0</v>
      </c>
      <c r="X280">
        <v>1110685659</v>
      </c>
      <c r="Y280">
        <f t="shared" si="107"/>
        <v>2.6</v>
      </c>
      <c r="AA280">
        <v>0</v>
      </c>
      <c r="AB280">
        <v>849.1</v>
      </c>
      <c r="AC280">
        <v>0</v>
      </c>
      <c r="AD280">
        <v>0</v>
      </c>
      <c r="AE280">
        <v>0</v>
      </c>
      <c r="AF280">
        <v>70</v>
      </c>
      <c r="AG280">
        <v>0</v>
      </c>
      <c r="AH280">
        <v>0</v>
      </c>
      <c r="AI280">
        <v>1</v>
      </c>
      <c r="AJ280">
        <v>12.13</v>
      </c>
      <c r="AK280">
        <v>30.54</v>
      </c>
      <c r="AL280">
        <v>1</v>
      </c>
      <c r="AM280">
        <v>4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2.6</v>
      </c>
      <c r="AU280" t="s">
        <v>3</v>
      </c>
      <c r="AV280">
        <v>0</v>
      </c>
      <c r="AW280">
        <v>2</v>
      </c>
      <c r="AX280">
        <v>145051567</v>
      </c>
      <c r="AY280">
        <v>1</v>
      </c>
      <c r="AZ280">
        <v>0</v>
      </c>
      <c r="BA280">
        <v>280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ROUND(Y280*Source!I127,9)</f>
        <v>2.7918799999999999</v>
      </c>
      <c r="CY280">
        <f t="shared" si="120"/>
        <v>849.1</v>
      </c>
      <c r="CZ280">
        <f t="shared" si="121"/>
        <v>70</v>
      </c>
      <c r="DA280">
        <f t="shared" si="122"/>
        <v>12.13</v>
      </c>
      <c r="DB280">
        <f t="shared" si="111"/>
        <v>182</v>
      </c>
      <c r="DC280">
        <f t="shared" si="112"/>
        <v>0</v>
      </c>
      <c r="DD280" t="s">
        <v>3</v>
      </c>
      <c r="DE280" t="s">
        <v>3</v>
      </c>
      <c r="DF280">
        <f t="shared" si="117"/>
        <v>0</v>
      </c>
      <c r="DG280">
        <f t="shared" si="123"/>
        <v>2370.59</v>
      </c>
      <c r="DH280">
        <f t="shared" si="118"/>
        <v>0</v>
      </c>
      <c r="DI280">
        <f t="shared" si="119"/>
        <v>0</v>
      </c>
      <c r="DJ280">
        <f t="shared" si="124"/>
        <v>2370.59</v>
      </c>
      <c r="DK280">
        <v>0</v>
      </c>
      <c r="DL280" t="s">
        <v>3</v>
      </c>
      <c r="DM280">
        <v>0</v>
      </c>
      <c r="DN280" t="s">
        <v>3</v>
      </c>
      <c r="DO280">
        <v>0</v>
      </c>
    </row>
    <row r="281" spans="1:119" x14ac:dyDescent="0.2">
      <c r="A281">
        <f>ROW(Source!A127)</f>
        <v>127</v>
      </c>
      <c r="B281">
        <v>145033679</v>
      </c>
      <c r="C281">
        <v>145051560</v>
      </c>
      <c r="D281">
        <v>140924612</v>
      </c>
      <c r="E281">
        <v>1</v>
      </c>
      <c r="F281">
        <v>1</v>
      </c>
      <c r="G281">
        <v>1</v>
      </c>
      <c r="H281">
        <v>2</v>
      </c>
      <c r="I281" t="s">
        <v>1029</v>
      </c>
      <c r="J281" t="s">
        <v>1030</v>
      </c>
      <c r="K281" t="s">
        <v>1031</v>
      </c>
      <c r="L281">
        <v>1367</v>
      </c>
      <c r="N281">
        <v>1011</v>
      </c>
      <c r="O281" t="s">
        <v>79</v>
      </c>
      <c r="P281" t="s">
        <v>79</v>
      </c>
      <c r="Q281">
        <v>1</v>
      </c>
      <c r="W281">
        <v>0</v>
      </c>
      <c r="X281">
        <v>512384869</v>
      </c>
      <c r="Y281">
        <f t="shared" si="107"/>
        <v>0.7</v>
      </c>
      <c r="AA281">
        <v>0</v>
      </c>
      <c r="AB281">
        <v>13.46</v>
      </c>
      <c r="AC281">
        <v>0</v>
      </c>
      <c r="AD281">
        <v>0</v>
      </c>
      <c r="AE281">
        <v>0</v>
      </c>
      <c r="AF281">
        <v>1.1100000000000001</v>
      </c>
      <c r="AG281">
        <v>0</v>
      </c>
      <c r="AH281">
        <v>0</v>
      </c>
      <c r="AI281">
        <v>1</v>
      </c>
      <c r="AJ281">
        <v>12.13</v>
      </c>
      <c r="AK281">
        <v>30.54</v>
      </c>
      <c r="AL281">
        <v>1</v>
      </c>
      <c r="AM281">
        <v>4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0.7</v>
      </c>
      <c r="AU281" t="s">
        <v>3</v>
      </c>
      <c r="AV281">
        <v>0</v>
      </c>
      <c r="AW281">
        <v>2</v>
      </c>
      <c r="AX281">
        <v>145051568</v>
      </c>
      <c r="AY281">
        <v>1</v>
      </c>
      <c r="AZ281">
        <v>0</v>
      </c>
      <c r="BA281">
        <v>281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ROUND(Y281*Source!I127,9)</f>
        <v>0.75165999999999999</v>
      </c>
      <c r="CY281">
        <f t="shared" si="120"/>
        <v>13.46</v>
      </c>
      <c r="CZ281">
        <f t="shared" si="121"/>
        <v>1.1100000000000001</v>
      </c>
      <c r="DA281">
        <f t="shared" si="122"/>
        <v>12.13</v>
      </c>
      <c r="DB281">
        <f t="shared" si="111"/>
        <v>0.78</v>
      </c>
      <c r="DC281">
        <f t="shared" si="112"/>
        <v>0</v>
      </c>
      <c r="DD281" t="s">
        <v>3</v>
      </c>
      <c r="DE281" t="s">
        <v>3</v>
      </c>
      <c r="DF281">
        <f t="shared" si="117"/>
        <v>0</v>
      </c>
      <c r="DG281">
        <f t="shared" si="123"/>
        <v>10.119999999999999</v>
      </c>
      <c r="DH281">
        <f t="shared" si="118"/>
        <v>0</v>
      </c>
      <c r="DI281">
        <f t="shared" si="119"/>
        <v>0</v>
      </c>
      <c r="DJ281">
        <f t="shared" si="124"/>
        <v>10.119999999999999</v>
      </c>
      <c r="DK281">
        <v>0</v>
      </c>
      <c r="DL281" t="s">
        <v>3</v>
      </c>
      <c r="DM281">
        <v>0</v>
      </c>
      <c r="DN281" t="s">
        <v>3</v>
      </c>
      <c r="DO281">
        <v>0</v>
      </c>
    </row>
    <row r="282" spans="1:119" x14ac:dyDescent="0.2">
      <c r="A282">
        <f>ROW(Source!A127)</f>
        <v>127</v>
      </c>
      <c r="B282">
        <v>145033679</v>
      </c>
      <c r="C282">
        <v>145051560</v>
      </c>
      <c r="D282">
        <v>140771005</v>
      </c>
      <c r="E282">
        <v>1</v>
      </c>
      <c r="F282">
        <v>1</v>
      </c>
      <c r="G282">
        <v>1</v>
      </c>
      <c r="H282">
        <v>3</v>
      </c>
      <c r="I282" t="s">
        <v>786</v>
      </c>
      <c r="J282" t="s">
        <v>787</v>
      </c>
      <c r="K282" t="s">
        <v>788</v>
      </c>
      <c r="L282">
        <v>1339</v>
      </c>
      <c r="N282">
        <v>1007</v>
      </c>
      <c r="O282" t="s">
        <v>66</v>
      </c>
      <c r="P282" t="s">
        <v>66</v>
      </c>
      <c r="Q282">
        <v>1</v>
      </c>
      <c r="W282">
        <v>0</v>
      </c>
      <c r="X282">
        <v>-1761807714</v>
      </c>
      <c r="Y282">
        <f t="shared" si="107"/>
        <v>2.2000000000000002</v>
      </c>
      <c r="AA282">
        <v>54.18</v>
      </c>
      <c r="AB282">
        <v>0</v>
      </c>
      <c r="AC282">
        <v>0</v>
      </c>
      <c r="AD282">
        <v>0</v>
      </c>
      <c r="AE282">
        <v>6.22</v>
      </c>
      <c r="AF282">
        <v>0</v>
      </c>
      <c r="AG282">
        <v>0</v>
      </c>
      <c r="AH282">
        <v>0</v>
      </c>
      <c r="AI282">
        <v>8.7100000000000009</v>
      </c>
      <c r="AJ282">
        <v>1</v>
      </c>
      <c r="AK282">
        <v>1</v>
      </c>
      <c r="AL282">
        <v>1</v>
      </c>
      <c r="AM282">
        <v>4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2.2000000000000002</v>
      </c>
      <c r="AU282" t="s">
        <v>3</v>
      </c>
      <c r="AV282">
        <v>0</v>
      </c>
      <c r="AW282">
        <v>2</v>
      </c>
      <c r="AX282">
        <v>145051569</v>
      </c>
      <c r="AY282">
        <v>1</v>
      </c>
      <c r="AZ282">
        <v>0</v>
      </c>
      <c r="BA282">
        <v>282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ROUND(Y282*Source!I127,9)</f>
        <v>2.3623599999999998</v>
      </c>
      <c r="CY282">
        <f>AA282</f>
        <v>54.18</v>
      </c>
      <c r="CZ282">
        <f>AE282</f>
        <v>6.22</v>
      </c>
      <c r="DA282">
        <f>AI282</f>
        <v>8.7100000000000009</v>
      </c>
      <c r="DB282">
        <f t="shared" si="111"/>
        <v>13.68</v>
      </c>
      <c r="DC282">
        <f t="shared" si="112"/>
        <v>0</v>
      </c>
      <c r="DD282" t="s">
        <v>3</v>
      </c>
      <c r="DE282" t="s">
        <v>3</v>
      </c>
      <c r="DF282">
        <f>ROUND(ROUND(AE282*AI282,2)*CX282,2)</f>
        <v>127.99</v>
      </c>
      <c r="DG282">
        <f t="shared" ref="DG282:DG287" si="125">ROUND(ROUND(AF282,2)*CX282,2)</f>
        <v>0</v>
      </c>
      <c r="DH282">
        <f>ROUND(ROUND(AG282,2)*CX282,2)</f>
        <v>0</v>
      </c>
      <c r="DI282">
        <f t="shared" si="119"/>
        <v>0</v>
      </c>
      <c r="DJ282">
        <f>DF282</f>
        <v>127.99</v>
      </c>
      <c r="DK282">
        <v>0</v>
      </c>
      <c r="DL282" t="s">
        <v>3</v>
      </c>
      <c r="DM282">
        <v>0</v>
      </c>
      <c r="DN282" t="s">
        <v>3</v>
      </c>
      <c r="DO282">
        <v>0</v>
      </c>
    </row>
    <row r="283" spans="1:119" x14ac:dyDescent="0.2">
      <c r="A283">
        <f>ROW(Source!A127)</f>
        <v>127</v>
      </c>
      <c r="B283">
        <v>145033679</v>
      </c>
      <c r="C283">
        <v>145051560</v>
      </c>
      <c r="D283">
        <v>140771011</v>
      </c>
      <c r="E283">
        <v>1</v>
      </c>
      <c r="F283">
        <v>1</v>
      </c>
      <c r="G283">
        <v>1</v>
      </c>
      <c r="H283">
        <v>3</v>
      </c>
      <c r="I283" t="s">
        <v>789</v>
      </c>
      <c r="J283" t="s">
        <v>790</v>
      </c>
      <c r="K283" t="s">
        <v>791</v>
      </c>
      <c r="L283">
        <v>1346</v>
      </c>
      <c r="N283">
        <v>1009</v>
      </c>
      <c r="O283" t="s">
        <v>43</v>
      </c>
      <c r="P283" t="s">
        <v>43</v>
      </c>
      <c r="Q283">
        <v>1</v>
      </c>
      <c r="W283">
        <v>0</v>
      </c>
      <c r="X283">
        <v>-2118006079</v>
      </c>
      <c r="Y283">
        <f t="shared" si="107"/>
        <v>0.5</v>
      </c>
      <c r="AA283">
        <v>53.04</v>
      </c>
      <c r="AB283">
        <v>0</v>
      </c>
      <c r="AC283">
        <v>0</v>
      </c>
      <c r="AD283">
        <v>0</v>
      </c>
      <c r="AE283">
        <v>6.09</v>
      </c>
      <c r="AF283">
        <v>0</v>
      </c>
      <c r="AG283">
        <v>0</v>
      </c>
      <c r="AH283">
        <v>0</v>
      </c>
      <c r="AI283">
        <v>8.7100000000000009</v>
      </c>
      <c r="AJ283">
        <v>1</v>
      </c>
      <c r="AK283">
        <v>1</v>
      </c>
      <c r="AL283">
        <v>1</v>
      </c>
      <c r="AM283">
        <v>4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0.5</v>
      </c>
      <c r="AU283" t="s">
        <v>3</v>
      </c>
      <c r="AV283">
        <v>0</v>
      </c>
      <c r="AW283">
        <v>2</v>
      </c>
      <c r="AX283">
        <v>145051570</v>
      </c>
      <c r="AY283">
        <v>1</v>
      </c>
      <c r="AZ283">
        <v>0</v>
      </c>
      <c r="BA283">
        <v>283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ROUND(Y283*Source!I127,9)</f>
        <v>0.53690000000000004</v>
      </c>
      <c r="CY283">
        <f>AA283</f>
        <v>53.04</v>
      </c>
      <c r="CZ283">
        <f>AE283</f>
        <v>6.09</v>
      </c>
      <c r="DA283">
        <f>AI283</f>
        <v>8.7100000000000009</v>
      </c>
      <c r="DB283">
        <f t="shared" si="111"/>
        <v>3.05</v>
      </c>
      <c r="DC283">
        <f t="shared" si="112"/>
        <v>0</v>
      </c>
      <c r="DD283" t="s">
        <v>3</v>
      </c>
      <c r="DE283" t="s">
        <v>3</v>
      </c>
      <c r="DF283">
        <f>ROUND(ROUND(AE283*AI283,2)*CX283,2)</f>
        <v>28.48</v>
      </c>
      <c r="DG283">
        <f t="shared" si="125"/>
        <v>0</v>
      </c>
      <c r="DH283">
        <f>ROUND(ROUND(AG283,2)*CX283,2)</f>
        <v>0</v>
      </c>
      <c r="DI283">
        <f t="shared" si="119"/>
        <v>0</v>
      </c>
      <c r="DJ283">
        <f>DF283</f>
        <v>28.48</v>
      </c>
      <c r="DK283">
        <v>0</v>
      </c>
      <c r="DL283" t="s">
        <v>3</v>
      </c>
      <c r="DM283">
        <v>0</v>
      </c>
      <c r="DN283" t="s">
        <v>3</v>
      </c>
      <c r="DO283">
        <v>0</v>
      </c>
    </row>
    <row r="284" spans="1:119" x14ac:dyDescent="0.2">
      <c r="A284">
        <f>ROW(Source!A127)</f>
        <v>127</v>
      </c>
      <c r="B284">
        <v>145033679</v>
      </c>
      <c r="C284">
        <v>145051560</v>
      </c>
      <c r="D284">
        <v>140773788</v>
      </c>
      <c r="E284">
        <v>1</v>
      </c>
      <c r="F284">
        <v>1</v>
      </c>
      <c r="G284">
        <v>1</v>
      </c>
      <c r="H284">
        <v>3</v>
      </c>
      <c r="I284" t="s">
        <v>792</v>
      </c>
      <c r="J284" t="s">
        <v>793</v>
      </c>
      <c r="K284" t="s">
        <v>794</v>
      </c>
      <c r="L284">
        <v>1348</v>
      </c>
      <c r="N284">
        <v>1009</v>
      </c>
      <c r="O284" t="s">
        <v>105</v>
      </c>
      <c r="P284" t="s">
        <v>105</v>
      </c>
      <c r="Q284">
        <v>1000</v>
      </c>
      <c r="W284">
        <v>0</v>
      </c>
      <c r="X284">
        <v>1238940307</v>
      </c>
      <c r="Y284">
        <f t="shared" si="107"/>
        <v>2.1700000000000001E-2</v>
      </c>
      <c r="AA284">
        <v>85053.15</v>
      </c>
      <c r="AB284">
        <v>0</v>
      </c>
      <c r="AC284">
        <v>0</v>
      </c>
      <c r="AD284">
        <v>0</v>
      </c>
      <c r="AE284">
        <v>9765</v>
      </c>
      <c r="AF284">
        <v>0</v>
      </c>
      <c r="AG284">
        <v>0</v>
      </c>
      <c r="AH284">
        <v>0</v>
      </c>
      <c r="AI284">
        <v>8.7100000000000009</v>
      </c>
      <c r="AJ284">
        <v>1</v>
      </c>
      <c r="AK284">
        <v>1</v>
      </c>
      <c r="AL284">
        <v>1</v>
      </c>
      <c r="AM284">
        <v>4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2.1700000000000001E-2</v>
      </c>
      <c r="AU284" t="s">
        <v>3</v>
      </c>
      <c r="AV284">
        <v>0</v>
      </c>
      <c r="AW284">
        <v>2</v>
      </c>
      <c r="AX284">
        <v>145051571</v>
      </c>
      <c r="AY284">
        <v>1</v>
      </c>
      <c r="AZ284">
        <v>0</v>
      </c>
      <c r="BA284">
        <v>284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ROUND(Y284*Source!I127,9)</f>
        <v>2.330146E-2</v>
      </c>
      <c r="CY284">
        <f>AA284</f>
        <v>85053.15</v>
      </c>
      <c r="CZ284">
        <f>AE284</f>
        <v>9765</v>
      </c>
      <c r="DA284">
        <f>AI284</f>
        <v>8.7100000000000009</v>
      </c>
      <c r="DB284">
        <f t="shared" si="111"/>
        <v>211.9</v>
      </c>
      <c r="DC284">
        <f t="shared" si="112"/>
        <v>0</v>
      </c>
      <c r="DD284" t="s">
        <v>3</v>
      </c>
      <c r="DE284" t="s">
        <v>3</v>
      </c>
      <c r="DF284">
        <f>ROUND(ROUND(AE284*AI284,2)*CX284,2)</f>
        <v>1981.86</v>
      </c>
      <c r="DG284">
        <f t="shared" si="125"/>
        <v>0</v>
      </c>
      <c r="DH284">
        <f>ROUND(ROUND(AG284,2)*CX284,2)</f>
        <v>0</v>
      </c>
      <c r="DI284">
        <f t="shared" si="119"/>
        <v>0</v>
      </c>
      <c r="DJ284">
        <f>DF284</f>
        <v>1981.86</v>
      </c>
      <c r="DK284">
        <v>0</v>
      </c>
      <c r="DL284" t="s">
        <v>3</v>
      </c>
      <c r="DM284">
        <v>0</v>
      </c>
      <c r="DN284" t="s">
        <v>3</v>
      </c>
      <c r="DO284">
        <v>0</v>
      </c>
    </row>
    <row r="285" spans="1:119" x14ac:dyDescent="0.2">
      <c r="A285">
        <f>ROW(Source!A127)</f>
        <v>127</v>
      </c>
      <c r="B285">
        <v>145033679</v>
      </c>
      <c r="C285">
        <v>145051560</v>
      </c>
      <c r="D285">
        <v>140765022</v>
      </c>
      <c r="E285">
        <v>70</v>
      </c>
      <c r="F285">
        <v>1</v>
      </c>
      <c r="G285">
        <v>1</v>
      </c>
      <c r="H285">
        <v>3</v>
      </c>
      <c r="I285" t="s">
        <v>795</v>
      </c>
      <c r="J285" t="s">
        <v>3</v>
      </c>
      <c r="K285" t="s">
        <v>796</v>
      </c>
      <c r="L285">
        <v>1374</v>
      </c>
      <c r="N285">
        <v>1013</v>
      </c>
      <c r="O285" t="s">
        <v>275</v>
      </c>
      <c r="P285" t="s">
        <v>275</v>
      </c>
      <c r="Q285">
        <v>1</v>
      </c>
      <c r="W285">
        <v>0</v>
      </c>
      <c r="X285">
        <v>-1731369543</v>
      </c>
      <c r="Y285">
        <f t="shared" si="107"/>
        <v>17.66</v>
      </c>
      <c r="AA285">
        <v>8.7100000000000009</v>
      </c>
      <c r="AB285">
        <v>0</v>
      </c>
      <c r="AC285">
        <v>0</v>
      </c>
      <c r="AD285">
        <v>0</v>
      </c>
      <c r="AE285">
        <v>1</v>
      </c>
      <c r="AF285">
        <v>0</v>
      </c>
      <c r="AG285">
        <v>0</v>
      </c>
      <c r="AH285">
        <v>0</v>
      </c>
      <c r="AI285">
        <v>8.7100000000000009</v>
      </c>
      <c r="AJ285">
        <v>1</v>
      </c>
      <c r="AK285">
        <v>1</v>
      </c>
      <c r="AL285">
        <v>1</v>
      </c>
      <c r="AM285">
        <v>4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17.66</v>
      </c>
      <c r="AU285" t="s">
        <v>3</v>
      </c>
      <c r="AV285">
        <v>0</v>
      </c>
      <c r="AW285">
        <v>2</v>
      </c>
      <c r="AX285">
        <v>145051572</v>
      </c>
      <c r="AY285">
        <v>1</v>
      </c>
      <c r="AZ285">
        <v>0</v>
      </c>
      <c r="BA285">
        <v>285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ROUND(Y285*Source!I127,9)</f>
        <v>18.963308000000001</v>
      </c>
      <c r="CY285">
        <f>AA285</f>
        <v>8.7100000000000009</v>
      </c>
      <c r="CZ285">
        <f>AE285</f>
        <v>1</v>
      </c>
      <c r="DA285">
        <f>AI285</f>
        <v>8.7100000000000009</v>
      </c>
      <c r="DB285">
        <f t="shared" si="111"/>
        <v>17.66</v>
      </c>
      <c r="DC285">
        <f t="shared" si="112"/>
        <v>0</v>
      </c>
      <c r="DD285" t="s">
        <v>3</v>
      </c>
      <c r="DE285" t="s">
        <v>3</v>
      </c>
      <c r="DF285">
        <f>ROUND(ROUND(AE285*AI285,2)*CX285,2)</f>
        <v>165.17</v>
      </c>
      <c r="DG285">
        <f t="shared" si="125"/>
        <v>0</v>
      </c>
      <c r="DH285">
        <f>ROUND(ROUND(AG285,2)*CX285,2)</f>
        <v>0</v>
      </c>
      <c r="DI285">
        <f t="shared" si="119"/>
        <v>0</v>
      </c>
      <c r="DJ285">
        <f>DF285</f>
        <v>165.17</v>
      </c>
      <c r="DK285">
        <v>0</v>
      </c>
      <c r="DL285" t="s">
        <v>3</v>
      </c>
      <c r="DM285">
        <v>0</v>
      </c>
      <c r="DN285" t="s">
        <v>3</v>
      </c>
      <c r="DO285">
        <v>0</v>
      </c>
    </row>
    <row r="286" spans="1:119" x14ac:dyDescent="0.2">
      <c r="A286">
        <f>ROW(Source!A130)</f>
        <v>130</v>
      </c>
      <c r="B286">
        <v>145033679</v>
      </c>
      <c r="C286">
        <v>145051576</v>
      </c>
      <c r="D286">
        <v>140759979</v>
      </c>
      <c r="E286">
        <v>70</v>
      </c>
      <c r="F286">
        <v>1</v>
      </c>
      <c r="G286">
        <v>1</v>
      </c>
      <c r="H286">
        <v>1</v>
      </c>
      <c r="I286" t="s">
        <v>745</v>
      </c>
      <c r="J286" t="s">
        <v>3</v>
      </c>
      <c r="K286" t="s">
        <v>746</v>
      </c>
      <c r="L286">
        <v>1191</v>
      </c>
      <c r="N286">
        <v>1013</v>
      </c>
      <c r="O286" t="s">
        <v>725</v>
      </c>
      <c r="P286" t="s">
        <v>725</v>
      </c>
      <c r="Q286">
        <v>1</v>
      </c>
      <c r="W286">
        <v>0</v>
      </c>
      <c r="X286">
        <v>1049124552</v>
      </c>
      <c r="Y286">
        <f>((AT286*1.15)*1.15)</f>
        <v>108.57724999999998</v>
      </c>
      <c r="AA286">
        <v>0</v>
      </c>
      <c r="AB286">
        <v>0</v>
      </c>
      <c r="AC286">
        <v>0</v>
      </c>
      <c r="AD286">
        <v>260.51</v>
      </c>
      <c r="AE286">
        <v>0</v>
      </c>
      <c r="AF286">
        <v>0</v>
      </c>
      <c r="AG286">
        <v>0</v>
      </c>
      <c r="AH286">
        <v>8.5299999999999994</v>
      </c>
      <c r="AI286">
        <v>1</v>
      </c>
      <c r="AJ286">
        <v>1</v>
      </c>
      <c r="AK286">
        <v>1</v>
      </c>
      <c r="AL286">
        <v>30.54</v>
      </c>
      <c r="AM286">
        <v>4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82.1</v>
      </c>
      <c r="AU286" t="s">
        <v>91</v>
      </c>
      <c r="AV286">
        <v>1</v>
      </c>
      <c r="AW286">
        <v>2</v>
      </c>
      <c r="AX286">
        <v>145051577</v>
      </c>
      <c r="AY286">
        <v>1</v>
      </c>
      <c r="AZ286">
        <v>0</v>
      </c>
      <c r="BA286">
        <v>286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ROUND(Y286*Source!I130,9)</f>
        <v>116.59025105000001</v>
      </c>
      <c r="CY286">
        <f>AD286</f>
        <v>260.51</v>
      </c>
      <c r="CZ286">
        <f>AH286</f>
        <v>8.5299999999999994</v>
      </c>
      <c r="DA286">
        <f>AL286</f>
        <v>30.54</v>
      </c>
      <c r="DB286">
        <f>ROUND(((ROUND(AT286*CZ286,2)*1.15)*1.15),2)</f>
        <v>926.16</v>
      </c>
      <c r="DC286">
        <f>ROUND(((ROUND(AT286*AG286,2)*1.15)*1.15),2)</f>
        <v>0</v>
      </c>
      <c r="DD286" t="s">
        <v>3</v>
      </c>
      <c r="DE286" t="s">
        <v>3</v>
      </c>
      <c r="DF286">
        <f t="shared" ref="DF286:DF291" si="126">ROUND(ROUND(AE286,2)*CX286,2)</f>
        <v>0</v>
      </c>
      <c r="DG286">
        <f t="shared" si="125"/>
        <v>0</v>
      </c>
      <c r="DH286">
        <f>ROUND(ROUND(AG286,2)*CX286,2)</f>
        <v>0</v>
      </c>
      <c r="DI286">
        <f>ROUND(ROUND(AH286*AL286,2)*CX286,2)</f>
        <v>30372.93</v>
      </c>
      <c r="DJ286">
        <f>DI286</f>
        <v>30372.93</v>
      </c>
      <c r="DK286">
        <v>0</v>
      </c>
      <c r="DL286" t="s">
        <v>3</v>
      </c>
      <c r="DM286">
        <v>0</v>
      </c>
      <c r="DN286" t="s">
        <v>3</v>
      </c>
      <c r="DO286">
        <v>0</v>
      </c>
    </row>
    <row r="287" spans="1:119" x14ac:dyDescent="0.2">
      <c r="A287">
        <f>ROW(Source!A130)</f>
        <v>130</v>
      </c>
      <c r="B287">
        <v>145033679</v>
      </c>
      <c r="C287">
        <v>145051576</v>
      </c>
      <c r="D287">
        <v>140760225</v>
      </c>
      <c r="E287">
        <v>70</v>
      </c>
      <c r="F287">
        <v>1</v>
      </c>
      <c r="G287">
        <v>1</v>
      </c>
      <c r="H287">
        <v>1</v>
      </c>
      <c r="I287" t="s">
        <v>730</v>
      </c>
      <c r="J287" t="s">
        <v>3</v>
      </c>
      <c r="K287" t="s">
        <v>731</v>
      </c>
      <c r="L287">
        <v>1191</v>
      </c>
      <c r="N287">
        <v>1013</v>
      </c>
      <c r="O287" t="s">
        <v>725</v>
      </c>
      <c r="P287" t="s">
        <v>725</v>
      </c>
      <c r="Q287">
        <v>1</v>
      </c>
      <c r="W287">
        <v>0</v>
      </c>
      <c r="X287">
        <v>-1417349443</v>
      </c>
      <c r="Y287">
        <f>((AT287*1.25)*1.15)</f>
        <v>1.7537499999999997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30.54</v>
      </c>
      <c r="AL287">
        <v>1</v>
      </c>
      <c r="AM287">
        <v>4</v>
      </c>
      <c r="AN287">
        <v>0</v>
      </c>
      <c r="AO287">
        <v>1</v>
      </c>
      <c r="AP287">
        <v>1</v>
      </c>
      <c r="AQ287">
        <v>0</v>
      </c>
      <c r="AR287">
        <v>0</v>
      </c>
      <c r="AS287" t="s">
        <v>3</v>
      </c>
      <c r="AT287">
        <v>1.22</v>
      </c>
      <c r="AU287" t="s">
        <v>90</v>
      </c>
      <c r="AV287">
        <v>2</v>
      </c>
      <c r="AW287">
        <v>2</v>
      </c>
      <c r="AX287">
        <v>145051578</v>
      </c>
      <c r="AY287">
        <v>1</v>
      </c>
      <c r="AZ287">
        <v>0</v>
      </c>
      <c r="BA287">
        <v>287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ROUND(Y287*Source!I130,9)</f>
        <v>1.8831767500000001</v>
      </c>
      <c r="CY287">
        <f>AD287</f>
        <v>0</v>
      </c>
      <c r="CZ287">
        <f>AH287</f>
        <v>0</v>
      </c>
      <c r="DA287">
        <f>AL287</f>
        <v>1</v>
      </c>
      <c r="DB287">
        <f>ROUND(((ROUND(AT287*CZ287,2)*1.25)*1.15),2)</f>
        <v>0</v>
      </c>
      <c r="DC287">
        <f>ROUND(((ROUND(AT287*AG287,2)*1.25)*1.15),2)</f>
        <v>0</v>
      </c>
      <c r="DD287" t="s">
        <v>3</v>
      </c>
      <c r="DE287" t="s">
        <v>3</v>
      </c>
      <c r="DF287">
        <f t="shared" si="126"/>
        <v>0</v>
      </c>
      <c r="DG287">
        <f t="shared" si="125"/>
        <v>0</v>
      </c>
      <c r="DH287">
        <f>ROUND(ROUND(AG287*AK287,2)*CX287,2)</f>
        <v>0</v>
      </c>
      <c r="DI287">
        <f t="shared" ref="DI287:DI302" si="127">ROUND(ROUND(AH287,2)*CX287,2)</f>
        <v>0</v>
      </c>
      <c r="DJ287">
        <f>DI287</f>
        <v>0</v>
      </c>
      <c r="DK287">
        <v>0</v>
      </c>
      <c r="DL287" t="s">
        <v>3</v>
      </c>
      <c r="DM287">
        <v>0</v>
      </c>
      <c r="DN287" t="s">
        <v>3</v>
      </c>
      <c r="DO287">
        <v>0</v>
      </c>
    </row>
    <row r="288" spans="1:119" x14ac:dyDescent="0.2">
      <c r="A288">
        <f>ROW(Source!A130)</f>
        <v>130</v>
      </c>
      <c r="B288">
        <v>145033679</v>
      </c>
      <c r="C288">
        <v>145051576</v>
      </c>
      <c r="D288">
        <v>140922951</v>
      </c>
      <c r="E288">
        <v>1</v>
      </c>
      <c r="F288">
        <v>1</v>
      </c>
      <c r="G288">
        <v>1</v>
      </c>
      <c r="H288">
        <v>2</v>
      </c>
      <c r="I288" t="s">
        <v>752</v>
      </c>
      <c r="J288" t="s">
        <v>753</v>
      </c>
      <c r="K288" t="s">
        <v>754</v>
      </c>
      <c r="L288">
        <v>1367</v>
      </c>
      <c r="N288">
        <v>1011</v>
      </c>
      <c r="O288" t="s">
        <v>79</v>
      </c>
      <c r="P288" t="s">
        <v>79</v>
      </c>
      <c r="Q288">
        <v>1</v>
      </c>
      <c r="W288">
        <v>0</v>
      </c>
      <c r="X288">
        <v>-430484415</v>
      </c>
      <c r="Y288">
        <f>((AT288*1.25)*1.15)</f>
        <v>0.70437499999999997</v>
      </c>
      <c r="AA288">
        <v>0</v>
      </c>
      <c r="AB288">
        <v>1399.8</v>
      </c>
      <c r="AC288">
        <v>412.29</v>
      </c>
      <c r="AD288">
        <v>0</v>
      </c>
      <c r="AE288">
        <v>0</v>
      </c>
      <c r="AF288">
        <v>115.4</v>
      </c>
      <c r="AG288">
        <v>13.5</v>
      </c>
      <c r="AH288">
        <v>0</v>
      </c>
      <c r="AI288">
        <v>1</v>
      </c>
      <c r="AJ288">
        <v>12.13</v>
      </c>
      <c r="AK288">
        <v>30.54</v>
      </c>
      <c r="AL288">
        <v>1</v>
      </c>
      <c r="AM288">
        <v>4</v>
      </c>
      <c r="AN288">
        <v>0</v>
      </c>
      <c r="AO288">
        <v>1</v>
      </c>
      <c r="AP288">
        <v>1</v>
      </c>
      <c r="AQ288">
        <v>0</v>
      </c>
      <c r="AR288">
        <v>0</v>
      </c>
      <c r="AS288" t="s">
        <v>3</v>
      </c>
      <c r="AT288">
        <v>0.49</v>
      </c>
      <c r="AU288" t="s">
        <v>90</v>
      </c>
      <c r="AV288">
        <v>0</v>
      </c>
      <c r="AW288">
        <v>2</v>
      </c>
      <c r="AX288">
        <v>145051579</v>
      </c>
      <c r="AY288">
        <v>1</v>
      </c>
      <c r="AZ288">
        <v>0</v>
      </c>
      <c r="BA288">
        <v>288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ROUND(Y288*Source!I130,9)</f>
        <v>0.75635787499999996</v>
      </c>
      <c r="CY288">
        <f>AB288</f>
        <v>1399.8</v>
      </c>
      <c r="CZ288">
        <f>AF288</f>
        <v>115.4</v>
      </c>
      <c r="DA288">
        <f>AJ288</f>
        <v>12.13</v>
      </c>
      <c r="DB288">
        <f>ROUND(((ROUND(AT288*CZ288,2)*1.25)*1.15),2)</f>
        <v>81.290000000000006</v>
      </c>
      <c r="DC288">
        <f>ROUND(((ROUND(AT288*AG288,2)*1.25)*1.15),2)</f>
        <v>9.52</v>
      </c>
      <c r="DD288" t="s">
        <v>3</v>
      </c>
      <c r="DE288" t="s">
        <v>3</v>
      </c>
      <c r="DF288">
        <f t="shared" si="126"/>
        <v>0</v>
      </c>
      <c r="DG288">
        <f>ROUND(ROUND(AF288*AJ288,2)*CX288,2)</f>
        <v>1058.75</v>
      </c>
      <c r="DH288">
        <f>ROUND(ROUND(AG288*AK288,2)*CX288,2)</f>
        <v>311.83999999999997</v>
      </c>
      <c r="DI288">
        <f t="shared" si="127"/>
        <v>0</v>
      </c>
      <c r="DJ288">
        <f>DG288</f>
        <v>1058.75</v>
      </c>
      <c r="DK288">
        <v>0</v>
      </c>
      <c r="DL288" t="s">
        <v>3</v>
      </c>
      <c r="DM288">
        <v>0</v>
      </c>
      <c r="DN288" t="s">
        <v>3</v>
      </c>
      <c r="DO288">
        <v>0</v>
      </c>
    </row>
    <row r="289" spans="1:119" x14ac:dyDescent="0.2">
      <c r="A289">
        <f>ROW(Source!A130)</f>
        <v>130</v>
      </c>
      <c r="B289">
        <v>145033679</v>
      </c>
      <c r="C289">
        <v>145051576</v>
      </c>
      <c r="D289">
        <v>140923885</v>
      </c>
      <c r="E289">
        <v>1</v>
      </c>
      <c r="F289">
        <v>1</v>
      </c>
      <c r="G289">
        <v>1</v>
      </c>
      <c r="H289">
        <v>2</v>
      </c>
      <c r="I289" t="s">
        <v>732</v>
      </c>
      <c r="J289" t="s">
        <v>733</v>
      </c>
      <c r="K289" t="s">
        <v>734</v>
      </c>
      <c r="L289">
        <v>1367</v>
      </c>
      <c r="N289">
        <v>1011</v>
      </c>
      <c r="O289" t="s">
        <v>79</v>
      </c>
      <c r="P289" t="s">
        <v>79</v>
      </c>
      <c r="Q289">
        <v>1</v>
      </c>
      <c r="W289">
        <v>0</v>
      </c>
      <c r="X289">
        <v>509054691</v>
      </c>
      <c r="Y289">
        <f>((AT289*1.25)*1.15)</f>
        <v>1.0493749999999999</v>
      </c>
      <c r="AA289">
        <v>0</v>
      </c>
      <c r="AB289">
        <v>797.06</v>
      </c>
      <c r="AC289">
        <v>354.26</v>
      </c>
      <c r="AD289">
        <v>0</v>
      </c>
      <c r="AE289">
        <v>0</v>
      </c>
      <c r="AF289">
        <v>65.709999999999994</v>
      </c>
      <c r="AG289">
        <v>11.6</v>
      </c>
      <c r="AH289">
        <v>0</v>
      </c>
      <c r="AI289">
        <v>1</v>
      </c>
      <c r="AJ289">
        <v>12.13</v>
      </c>
      <c r="AK289">
        <v>30.54</v>
      </c>
      <c r="AL289">
        <v>1</v>
      </c>
      <c r="AM289">
        <v>4</v>
      </c>
      <c r="AN289">
        <v>0</v>
      </c>
      <c r="AO289">
        <v>1</v>
      </c>
      <c r="AP289">
        <v>1</v>
      </c>
      <c r="AQ289">
        <v>0</v>
      </c>
      <c r="AR289">
        <v>0</v>
      </c>
      <c r="AS289" t="s">
        <v>3</v>
      </c>
      <c r="AT289">
        <v>0.73</v>
      </c>
      <c r="AU289" t="s">
        <v>90</v>
      </c>
      <c r="AV289">
        <v>0</v>
      </c>
      <c r="AW289">
        <v>2</v>
      </c>
      <c r="AX289">
        <v>145051580</v>
      </c>
      <c r="AY289">
        <v>1</v>
      </c>
      <c r="AZ289">
        <v>0</v>
      </c>
      <c r="BA289">
        <v>289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ROUND(Y289*Source!I130,9)</f>
        <v>1.1268188750000001</v>
      </c>
      <c r="CY289">
        <f>AB289</f>
        <v>797.06</v>
      </c>
      <c r="CZ289">
        <f>AF289</f>
        <v>65.709999999999994</v>
      </c>
      <c r="DA289">
        <f>AJ289</f>
        <v>12.13</v>
      </c>
      <c r="DB289">
        <f>ROUND(((ROUND(AT289*CZ289,2)*1.25)*1.15),2)</f>
        <v>68.959999999999994</v>
      </c>
      <c r="DC289">
        <f>ROUND(((ROUND(AT289*AG289,2)*1.25)*1.15),2)</f>
        <v>12.18</v>
      </c>
      <c r="DD289" t="s">
        <v>3</v>
      </c>
      <c r="DE289" t="s">
        <v>3</v>
      </c>
      <c r="DF289">
        <f t="shared" si="126"/>
        <v>0</v>
      </c>
      <c r="DG289">
        <f>ROUND(ROUND(AF289*AJ289,2)*CX289,2)</f>
        <v>898.14</v>
      </c>
      <c r="DH289">
        <f>ROUND(ROUND(AG289*AK289,2)*CX289,2)</f>
        <v>399.19</v>
      </c>
      <c r="DI289">
        <f t="shared" si="127"/>
        <v>0</v>
      </c>
      <c r="DJ289">
        <f>DG289</f>
        <v>898.14</v>
      </c>
      <c r="DK289">
        <v>0</v>
      </c>
      <c r="DL289" t="s">
        <v>3</v>
      </c>
      <c r="DM289">
        <v>0</v>
      </c>
      <c r="DN289" t="s">
        <v>3</v>
      </c>
      <c r="DO289">
        <v>0</v>
      </c>
    </row>
    <row r="290" spans="1:119" x14ac:dyDescent="0.2">
      <c r="A290">
        <f>ROW(Source!A130)</f>
        <v>130</v>
      </c>
      <c r="B290">
        <v>145033679</v>
      </c>
      <c r="C290">
        <v>145051576</v>
      </c>
      <c r="D290">
        <v>140924041</v>
      </c>
      <c r="E290">
        <v>1</v>
      </c>
      <c r="F290">
        <v>1</v>
      </c>
      <c r="G290">
        <v>1</v>
      </c>
      <c r="H290">
        <v>2</v>
      </c>
      <c r="I290" t="s">
        <v>777</v>
      </c>
      <c r="J290" t="s">
        <v>778</v>
      </c>
      <c r="K290" t="s">
        <v>779</v>
      </c>
      <c r="L290">
        <v>1367</v>
      </c>
      <c r="N290">
        <v>1011</v>
      </c>
      <c r="O290" t="s">
        <v>79</v>
      </c>
      <c r="P290" t="s">
        <v>79</v>
      </c>
      <c r="Q290">
        <v>1</v>
      </c>
      <c r="W290">
        <v>0</v>
      </c>
      <c r="X290">
        <v>2077867240</v>
      </c>
      <c r="Y290">
        <f>((AT290*1.25)*1.15)</f>
        <v>1.0062499999999999</v>
      </c>
      <c r="AA290">
        <v>0</v>
      </c>
      <c r="AB290">
        <v>14.56</v>
      </c>
      <c r="AC290">
        <v>0</v>
      </c>
      <c r="AD290">
        <v>0</v>
      </c>
      <c r="AE290">
        <v>0</v>
      </c>
      <c r="AF290">
        <v>1.2</v>
      </c>
      <c r="AG290">
        <v>0</v>
      </c>
      <c r="AH290">
        <v>0</v>
      </c>
      <c r="AI290">
        <v>1</v>
      </c>
      <c r="AJ290">
        <v>12.13</v>
      </c>
      <c r="AK290">
        <v>30.54</v>
      </c>
      <c r="AL290">
        <v>1</v>
      </c>
      <c r="AM290">
        <v>4</v>
      </c>
      <c r="AN290">
        <v>0</v>
      </c>
      <c r="AO290">
        <v>1</v>
      </c>
      <c r="AP290">
        <v>1</v>
      </c>
      <c r="AQ290">
        <v>0</v>
      </c>
      <c r="AR290">
        <v>0</v>
      </c>
      <c r="AS290" t="s">
        <v>3</v>
      </c>
      <c r="AT290">
        <v>0.7</v>
      </c>
      <c r="AU290" t="s">
        <v>90</v>
      </c>
      <c r="AV290">
        <v>0</v>
      </c>
      <c r="AW290">
        <v>2</v>
      </c>
      <c r="AX290">
        <v>145051581</v>
      </c>
      <c r="AY290">
        <v>1</v>
      </c>
      <c r="AZ290">
        <v>0</v>
      </c>
      <c r="BA290">
        <v>290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ROUND(Y290*Source!I130,9)</f>
        <v>1.08051125</v>
      </c>
      <c r="CY290">
        <f>AB290</f>
        <v>14.56</v>
      </c>
      <c r="CZ290">
        <f>AF290</f>
        <v>1.2</v>
      </c>
      <c r="DA290">
        <f>AJ290</f>
        <v>12.13</v>
      </c>
      <c r="DB290">
        <f>ROUND(((ROUND(AT290*CZ290,2)*1.25)*1.15),2)</f>
        <v>1.21</v>
      </c>
      <c r="DC290">
        <f>ROUND(((ROUND(AT290*AG290,2)*1.25)*1.15),2)</f>
        <v>0</v>
      </c>
      <c r="DD290" t="s">
        <v>3</v>
      </c>
      <c r="DE290" t="s">
        <v>3</v>
      </c>
      <c r="DF290">
        <f t="shared" si="126"/>
        <v>0</v>
      </c>
      <c r="DG290">
        <f>ROUND(ROUND(AF290*AJ290,2)*CX290,2)</f>
        <v>15.73</v>
      </c>
      <c r="DH290">
        <f>ROUND(ROUND(AG290*AK290,2)*CX290,2)</f>
        <v>0</v>
      </c>
      <c r="DI290">
        <f t="shared" si="127"/>
        <v>0</v>
      </c>
      <c r="DJ290">
        <f>DG290</f>
        <v>15.73</v>
      </c>
      <c r="DK290">
        <v>0</v>
      </c>
      <c r="DL290" t="s">
        <v>3</v>
      </c>
      <c r="DM290">
        <v>0</v>
      </c>
      <c r="DN290" t="s">
        <v>3</v>
      </c>
      <c r="DO290">
        <v>0</v>
      </c>
    </row>
    <row r="291" spans="1:119" x14ac:dyDescent="0.2">
      <c r="A291">
        <f>ROW(Source!A130)</f>
        <v>130</v>
      </c>
      <c r="B291">
        <v>145033679</v>
      </c>
      <c r="C291">
        <v>145051576</v>
      </c>
      <c r="D291">
        <v>140924084</v>
      </c>
      <c r="E291">
        <v>1</v>
      </c>
      <c r="F291">
        <v>1</v>
      </c>
      <c r="G291">
        <v>1</v>
      </c>
      <c r="H291">
        <v>2</v>
      </c>
      <c r="I291" t="s">
        <v>971</v>
      </c>
      <c r="J291" t="s">
        <v>972</v>
      </c>
      <c r="K291" t="s">
        <v>973</v>
      </c>
      <c r="L291">
        <v>1367</v>
      </c>
      <c r="N291">
        <v>1011</v>
      </c>
      <c r="O291" t="s">
        <v>79</v>
      </c>
      <c r="P291" t="s">
        <v>79</v>
      </c>
      <c r="Q291">
        <v>1</v>
      </c>
      <c r="W291">
        <v>0</v>
      </c>
      <c r="X291">
        <v>-1866313122</v>
      </c>
      <c r="Y291">
        <f>((AT291*1.25)*1.15)</f>
        <v>1.0924999999999998</v>
      </c>
      <c r="AA291">
        <v>0</v>
      </c>
      <c r="AB291">
        <v>149.32</v>
      </c>
      <c r="AC291">
        <v>0</v>
      </c>
      <c r="AD291">
        <v>0</v>
      </c>
      <c r="AE291">
        <v>0</v>
      </c>
      <c r="AF291">
        <v>12.31</v>
      </c>
      <c r="AG291">
        <v>0</v>
      </c>
      <c r="AH291">
        <v>0</v>
      </c>
      <c r="AI291">
        <v>1</v>
      </c>
      <c r="AJ291">
        <v>12.13</v>
      </c>
      <c r="AK291">
        <v>30.54</v>
      </c>
      <c r="AL291">
        <v>1</v>
      </c>
      <c r="AM291">
        <v>4</v>
      </c>
      <c r="AN291">
        <v>0</v>
      </c>
      <c r="AO291">
        <v>1</v>
      </c>
      <c r="AP291">
        <v>1</v>
      </c>
      <c r="AQ291">
        <v>0</v>
      </c>
      <c r="AR291">
        <v>0</v>
      </c>
      <c r="AS291" t="s">
        <v>3</v>
      </c>
      <c r="AT291">
        <v>0.76</v>
      </c>
      <c r="AU291" t="s">
        <v>90</v>
      </c>
      <c r="AV291">
        <v>0</v>
      </c>
      <c r="AW291">
        <v>2</v>
      </c>
      <c r="AX291">
        <v>145051582</v>
      </c>
      <c r="AY291">
        <v>1</v>
      </c>
      <c r="AZ291">
        <v>0</v>
      </c>
      <c r="BA291">
        <v>291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ROUND(Y291*Source!I130,9)</f>
        <v>1.1731265</v>
      </c>
      <c r="CY291">
        <f>AB291</f>
        <v>149.32</v>
      </c>
      <c r="CZ291">
        <f>AF291</f>
        <v>12.31</v>
      </c>
      <c r="DA291">
        <f>AJ291</f>
        <v>12.13</v>
      </c>
      <c r="DB291">
        <f>ROUND(((ROUND(AT291*CZ291,2)*1.25)*1.15),2)</f>
        <v>13.46</v>
      </c>
      <c r="DC291">
        <f>ROUND(((ROUND(AT291*AG291,2)*1.25)*1.15),2)</f>
        <v>0</v>
      </c>
      <c r="DD291" t="s">
        <v>3</v>
      </c>
      <c r="DE291" t="s">
        <v>3</v>
      </c>
      <c r="DF291">
        <f t="shared" si="126"/>
        <v>0</v>
      </c>
      <c r="DG291">
        <f>ROUND(ROUND(AF291*AJ291,2)*CX291,2)</f>
        <v>175.17</v>
      </c>
      <c r="DH291">
        <f>ROUND(ROUND(AG291*AK291,2)*CX291,2)</f>
        <v>0</v>
      </c>
      <c r="DI291">
        <f t="shared" si="127"/>
        <v>0</v>
      </c>
      <c r="DJ291">
        <f>DG291</f>
        <v>175.17</v>
      </c>
      <c r="DK291">
        <v>0</v>
      </c>
      <c r="DL291" t="s">
        <v>3</v>
      </c>
      <c r="DM291">
        <v>0</v>
      </c>
      <c r="DN291" t="s">
        <v>3</v>
      </c>
      <c r="DO291">
        <v>0</v>
      </c>
    </row>
    <row r="292" spans="1:119" x14ac:dyDescent="0.2">
      <c r="A292">
        <f>ROW(Source!A130)</f>
        <v>130</v>
      </c>
      <c r="B292">
        <v>145033679</v>
      </c>
      <c r="C292">
        <v>145051576</v>
      </c>
      <c r="D292">
        <v>140771005</v>
      </c>
      <c r="E292">
        <v>1</v>
      </c>
      <c r="F292">
        <v>1</v>
      </c>
      <c r="G292">
        <v>1</v>
      </c>
      <c r="H292">
        <v>3</v>
      </c>
      <c r="I292" t="s">
        <v>786</v>
      </c>
      <c r="J292" t="s">
        <v>787</v>
      </c>
      <c r="K292" t="s">
        <v>788</v>
      </c>
      <c r="L292">
        <v>1339</v>
      </c>
      <c r="N292">
        <v>1007</v>
      </c>
      <c r="O292" t="s">
        <v>66</v>
      </c>
      <c r="P292" t="s">
        <v>66</v>
      </c>
      <c r="Q292">
        <v>1</v>
      </c>
      <c r="W292">
        <v>0</v>
      </c>
      <c r="X292">
        <v>-1761807714</v>
      </c>
      <c r="Y292">
        <f t="shared" ref="Y292:Y302" si="128">AT292</f>
        <v>0.5</v>
      </c>
      <c r="AA292">
        <v>54.18</v>
      </c>
      <c r="AB292">
        <v>0</v>
      </c>
      <c r="AC292">
        <v>0</v>
      </c>
      <c r="AD292">
        <v>0</v>
      </c>
      <c r="AE292">
        <v>6.22</v>
      </c>
      <c r="AF292">
        <v>0</v>
      </c>
      <c r="AG292">
        <v>0</v>
      </c>
      <c r="AH292">
        <v>0</v>
      </c>
      <c r="AI292">
        <v>8.7100000000000009</v>
      </c>
      <c r="AJ292">
        <v>1</v>
      </c>
      <c r="AK292">
        <v>1</v>
      </c>
      <c r="AL292">
        <v>1</v>
      </c>
      <c r="AM292">
        <v>4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0.5</v>
      </c>
      <c r="AU292" t="s">
        <v>3</v>
      </c>
      <c r="AV292">
        <v>0</v>
      </c>
      <c r="AW292">
        <v>2</v>
      </c>
      <c r="AX292">
        <v>145051583</v>
      </c>
      <c r="AY292">
        <v>1</v>
      </c>
      <c r="AZ292">
        <v>0</v>
      </c>
      <c r="BA292">
        <v>292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ROUND(Y292*Source!I130,9)</f>
        <v>0.53690000000000004</v>
      </c>
      <c r="CY292">
        <f t="shared" ref="CY292:CY302" si="129">AA292</f>
        <v>54.18</v>
      </c>
      <c r="CZ292">
        <f t="shared" ref="CZ292:CZ302" si="130">AE292</f>
        <v>6.22</v>
      </c>
      <c r="DA292">
        <f t="shared" ref="DA292:DA302" si="131">AI292</f>
        <v>8.7100000000000009</v>
      </c>
      <c r="DB292">
        <f t="shared" ref="DB292:DB302" si="132">ROUND(ROUND(AT292*CZ292,2),2)</f>
        <v>3.11</v>
      </c>
      <c r="DC292">
        <f t="shared" ref="DC292:DC302" si="133">ROUND(ROUND(AT292*AG292,2),2)</f>
        <v>0</v>
      </c>
      <c r="DD292" t="s">
        <v>3</v>
      </c>
      <c r="DE292" t="s">
        <v>3</v>
      </c>
      <c r="DF292">
        <f t="shared" ref="DF292:DF302" si="134">ROUND(ROUND(AE292*AI292,2)*CX292,2)</f>
        <v>29.09</v>
      </c>
      <c r="DG292">
        <f t="shared" ref="DG292:DG304" si="135">ROUND(ROUND(AF292,2)*CX292,2)</f>
        <v>0</v>
      </c>
      <c r="DH292">
        <f t="shared" ref="DH292:DH303" si="136">ROUND(ROUND(AG292,2)*CX292,2)</f>
        <v>0</v>
      </c>
      <c r="DI292">
        <f t="shared" si="127"/>
        <v>0</v>
      </c>
      <c r="DJ292">
        <f t="shared" ref="DJ292:DJ302" si="137">DF292</f>
        <v>29.09</v>
      </c>
      <c r="DK292">
        <v>0</v>
      </c>
      <c r="DL292" t="s">
        <v>3</v>
      </c>
      <c r="DM292">
        <v>0</v>
      </c>
      <c r="DN292" t="s">
        <v>3</v>
      </c>
      <c r="DO292">
        <v>0</v>
      </c>
    </row>
    <row r="293" spans="1:119" x14ac:dyDescent="0.2">
      <c r="A293">
        <f>ROW(Source!A130)</f>
        <v>130</v>
      </c>
      <c r="B293">
        <v>145033679</v>
      </c>
      <c r="C293">
        <v>145051576</v>
      </c>
      <c r="D293">
        <v>140771011</v>
      </c>
      <c r="E293">
        <v>1</v>
      </c>
      <c r="F293">
        <v>1</v>
      </c>
      <c r="G293">
        <v>1</v>
      </c>
      <c r="H293">
        <v>3</v>
      </c>
      <c r="I293" t="s">
        <v>789</v>
      </c>
      <c r="J293" t="s">
        <v>790</v>
      </c>
      <c r="K293" t="s">
        <v>791</v>
      </c>
      <c r="L293">
        <v>1346</v>
      </c>
      <c r="N293">
        <v>1009</v>
      </c>
      <c r="O293" t="s">
        <v>43</v>
      </c>
      <c r="P293" t="s">
        <v>43</v>
      </c>
      <c r="Q293">
        <v>1</v>
      </c>
      <c r="W293">
        <v>0</v>
      </c>
      <c r="X293">
        <v>-2118006079</v>
      </c>
      <c r="Y293">
        <f t="shared" si="128"/>
        <v>0.15</v>
      </c>
      <c r="AA293">
        <v>53.04</v>
      </c>
      <c r="AB293">
        <v>0</v>
      </c>
      <c r="AC293">
        <v>0</v>
      </c>
      <c r="AD293">
        <v>0</v>
      </c>
      <c r="AE293">
        <v>6.09</v>
      </c>
      <c r="AF293">
        <v>0</v>
      </c>
      <c r="AG293">
        <v>0</v>
      </c>
      <c r="AH293">
        <v>0</v>
      </c>
      <c r="AI293">
        <v>8.7100000000000009</v>
      </c>
      <c r="AJ293">
        <v>1</v>
      </c>
      <c r="AK293">
        <v>1</v>
      </c>
      <c r="AL293">
        <v>1</v>
      </c>
      <c r="AM293">
        <v>4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0.15</v>
      </c>
      <c r="AU293" t="s">
        <v>3</v>
      </c>
      <c r="AV293">
        <v>0</v>
      </c>
      <c r="AW293">
        <v>2</v>
      </c>
      <c r="AX293">
        <v>145051584</v>
      </c>
      <c r="AY293">
        <v>1</v>
      </c>
      <c r="AZ293">
        <v>0</v>
      </c>
      <c r="BA293">
        <v>293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ROUND(Y293*Source!I130,9)</f>
        <v>0.16106999999999999</v>
      </c>
      <c r="CY293">
        <f t="shared" si="129"/>
        <v>53.04</v>
      </c>
      <c r="CZ293">
        <f t="shared" si="130"/>
        <v>6.09</v>
      </c>
      <c r="DA293">
        <f t="shared" si="131"/>
        <v>8.7100000000000009</v>
      </c>
      <c r="DB293">
        <f t="shared" si="132"/>
        <v>0.91</v>
      </c>
      <c r="DC293">
        <f t="shared" si="133"/>
        <v>0</v>
      </c>
      <c r="DD293" t="s">
        <v>3</v>
      </c>
      <c r="DE293" t="s">
        <v>3</v>
      </c>
      <c r="DF293">
        <f t="shared" si="134"/>
        <v>8.5399999999999991</v>
      </c>
      <c r="DG293">
        <f t="shared" si="135"/>
        <v>0</v>
      </c>
      <c r="DH293">
        <f t="shared" si="136"/>
        <v>0</v>
      </c>
      <c r="DI293">
        <f t="shared" si="127"/>
        <v>0</v>
      </c>
      <c r="DJ293">
        <f t="shared" si="137"/>
        <v>8.5399999999999991</v>
      </c>
      <c r="DK293">
        <v>0</v>
      </c>
      <c r="DL293" t="s">
        <v>3</v>
      </c>
      <c r="DM293">
        <v>0</v>
      </c>
      <c r="DN293" t="s">
        <v>3</v>
      </c>
      <c r="DO293">
        <v>0</v>
      </c>
    </row>
    <row r="294" spans="1:119" x14ac:dyDescent="0.2">
      <c r="A294">
        <f>ROW(Source!A130)</f>
        <v>130</v>
      </c>
      <c r="B294">
        <v>145033679</v>
      </c>
      <c r="C294">
        <v>145051576</v>
      </c>
      <c r="D294">
        <v>140773780</v>
      </c>
      <c r="E294">
        <v>1</v>
      </c>
      <c r="F294">
        <v>1</v>
      </c>
      <c r="G294">
        <v>1</v>
      </c>
      <c r="H294">
        <v>3</v>
      </c>
      <c r="I294" t="s">
        <v>974</v>
      </c>
      <c r="J294" t="s">
        <v>975</v>
      </c>
      <c r="K294" t="s">
        <v>976</v>
      </c>
      <c r="L294">
        <v>1346</v>
      </c>
      <c r="N294">
        <v>1009</v>
      </c>
      <c r="O294" t="s">
        <v>43</v>
      </c>
      <c r="P294" t="s">
        <v>43</v>
      </c>
      <c r="Q294">
        <v>1</v>
      </c>
      <c r="W294">
        <v>0</v>
      </c>
      <c r="X294">
        <v>149355137</v>
      </c>
      <c r="Y294">
        <f t="shared" si="128"/>
        <v>0.7</v>
      </c>
      <c r="AA294">
        <v>93.63</v>
      </c>
      <c r="AB294">
        <v>0</v>
      </c>
      <c r="AC294">
        <v>0</v>
      </c>
      <c r="AD294">
        <v>0</v>
      </c>
      <c r="AE294">
        <v>10.75</v>
      </c>
      <c r="AF294">
        <v>0</v>
      </c>
      <c r="AG294">
        <v>0</v>
      </c>
      <c r="AH294">
        <v>0</v>
      </c>
      <c r="AI294">
        <v>8.7100000000000009</v>
      </c>
      <c r="AJ294">
        <v>1</v>
      </c>
      <c r="AK294">
        <v>1</v>
      </c>
      <c r="AL294">
        <v>1</v>
      </c>
      <c r="AM294">
        <v>4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0.7</v>
      </c>
      <c r="AU294" t="s">
        <v>3</v>
      </c>
      <c r="AV294">
        <v>0</v>
      </c>
      <c r="AW294">
        <v>2</v>
      </c>
      <c r="AX294">
        <v>145051585</v>
      </c>
      <c r="AY294">
        <v>1</v>
      </c>
      <c r="AZ294">
        <v>0</v>
      </c>
      <c r="BA294">
        <v>294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ROUND(Y294*Source!I130,9)</f>
        <v>0.75165999999999999</v>
      </c>
      <c r="CY294">
        <f t="shared" si="129"/>
        <v>93.63</v>
      </c>
      <c r="CZ294">
        <f t="shared" si="130"/>
        <v>10.75</v>
      </c>
      <c r="DA294">
        <f t="shared" si="131"/>
        <v>8.7100000000000009</v>
      </c>
      <c r="DB294">
        <f t="shared" si="132"/>
        <v>7.53</v>
      </c>
      <c r="DC294">
        <f t="shared" si="133"/>
        <v>0</v>
      </c>
      <c r="DD294" t="s">
        <v>3</v>
      </c>
      <c r="DE294" t="s">
        <v>3</v>
      </c>
      <c r="DF294">
        <f t="shared" si="134"/>
        <v>70.38</v>
      </c>
      <c r="DG294">
        <f t="shared" si="135"/>
        <v>0</v>
      </c>
      <c r="DH294">
        <f t="shared" si="136"/>
        <v>0</v>
      </c>
      <c r="DI294">
        <f t="shared" si="127"/>
        <v>0</v>
      </c>
      <c r="DJ294">
        <f t="shared" si="137"/>
        <v>70.38</v>
      </c>
      <c r="DK294">
        <v>0</v>
      </c>
      <c r="DL294" t="s">
        <v>3</v>
      </c>
      <c r="DM294">
        <v>0</v>
      </c>
      <c r="DN294" t="s">
        <v>3</v>
      </c>
      <c r="DO294">
        <v>0</v>
      </c>
    </row>
    <row r="295" spans="1:119" x14ac:dyDescent="0.2">
      <c r="A295">
        <f>ROW(Source!A130)</f>
        <v>130</v>
      </c>
      <c r="B295">
        <v>145033679</v>
      </c>
      <c r="C295">
        <v>145051576</v>
      </c>
      <c r="D295">
        <v>140775118</v>
      </c>
      <c r="E295">
        <v>1</v>
      </c>
      <c r="F295">
        <v>1</v>
      </c>
      <c r="G295">
        <v>1</v>
      </c>
      <c r="H295">
        <v>3</v>
      </c>
      <c r="I295" t="s">
        <v>980</v>
      </c>
      <c r="J295" t="s">
        <v>981</v>
      </c>
      <c r="K295" t="s">
        <v>982</v>
      </c>
      <c r="L295">
        <v>1348</v>
      </c>
      <c r="N295">
        <v>1009</v>
      </c>
      <c r="O295" t="s">
        <v>105</v>
      </c>
      <c r="P295" t="s">
        <v>105</v>
      </c>
      <c r="Q295">
        <v>1000</v>
      </c>
      <c r="W295">
        <v>0</v>
      </c>
      <c r="X295">
        <v>-45966985</v>
      </c>
      <c r="Y295">
        <f t="shared" si="128"/>
        <v>1.0000000000000001E-5</v>
      </c>
      <c r="AA295">
        <v>104328.38</v>
      </c>
      <c r="AB295">
        <v>0</v>
      </c>
      <c r="AC295">
        <v>0</v>
      </c>
      <c r="AD295">
        <v>0</v>
      </c>
      <c r="AE295">
        <v>11978</v>
      </c>
      <c r="AF295">
        <v>0</v>
      </c>
      <c r="AG295">
        <v>0</v>
      </c>
      <c r="AH295">
        <v>0</v>
      </c>
      <c r="AI295">
        <v>8.7100000000000009</v>
      </c>
      <c r="AJ295">
        <v>1</v>
      </c>
      <c r="AK295">
        <v>1</v>
      </c>
      <c r="AL295">
        <v>1</v>
      </c>
      <c r="AM295">
        <v>4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1.0000000000000001E-5</v>
      </c>
      <c r="AU295" t="s">
        <v>3</v>
      </c>
      <c r="AV295">
        <v>0</v>
      </c>
      <c r="AW295">
        <v>2</v>
      </c>
      <c r="AX295">
        <v>145051586</v>
      </c>
      <c r="AY295">
        <v>1</v>
      </c>
      <c r="AZ295">
        <v>0</v>
      </c>
      <c r="BA295">
        <v>295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ROUND(Y295*Source!I130,9)</f>
        <v>1.0738E-5</v>
      </c>
      <c r="CY295">
        <f t="shared" si="129"/>
        <v>104328.38</v>
      </c>
      <c r="CZ295">
        <f t="shared" si="130"/>
        <v>11978</v>
      </c>
      <c r="DA295">
        <f t="shared" si="131"/>
        <v>8.7100000000000009</v>
      </c>
      <c r="DB295">
        <f t="shared" si="132"/>
        <v>0.12</v>
      </c>
      <c r="DC295">
        <f t="shared" si="133"/>
        <v>0</v>
      </c>
      <c r="DD295" t="s">
        <v>3</v>
      </c>
      <c r="DE295" t="s">
        <v>3</v>
      </c>
      <c r="DF295">
        <f t="shared" si="134"/>
        <v>1.1200000000000001</v>
      </c>
      <c r="DG295">
        <f t="shared" si="135"/>
        <v>0</v>
      </c>
      <c r="DH295">
        <f t="shared" si="136"/>
        <v>0</v>
      </c>
      <c r="DI295">
        <f t="shared" si="127"/>
        <v>0</v>
      </c>
      <c r="DJ295">
        <f t="shared" si="137"/>
        <v>1.1200000000000001</v>
      </c>
      <c r="DK295">
        <v>0</v>
      </c>
      <c r="DL295" t="s">
        <v>3</v>
      </c>
      <c r="DM295">
        <v>0</v>
      </c>
      <c r="DN295" t="s">
        <v>3</v>
      </c>
      <c r="DO295">
        <v>0</v>
      </c>
    </row>
    <row r="296" spans="1:119" x14ac:dyDescent="0.2">
      <c r="A296">
        <f>ROW(Source!A130)</f>
        <v>130</v>
      </c>
      <c r="B296">
        <v>145033679</v>
      </c>
      <c r="C296">
        <v>145051576</v>
      </c>
      <c r="D296">
        <v>140776229</v>
      </c>
      <c r="E296">
        <v>1</v>
      </c>
      <c r="F296">
        <v>1</v>
      </c>
      <c r="G296">
        <v>1</v>
      </c>
      <c r="H296">
        <v>3</v>
      </c>
      <c r="I296" t="s">
        <v>983</v>
      </c>
      <c r="J296" t="s">
        <v>984</v>
      </c>
      <c r="K296" t="s">
        <v>985</v>
      </c>
      <c r="L296">
        <v>1348</v>
      </c>
      <c r="N296">
        <v>1009</v>
      </c>
      <c r="O296" t="s">
        <v>105</v>
      </c>
      <c r="P296" t="s">
        <v>105</v>
      </c>
      <c r="Q296">
        <v>1000</v>
      </c>
      <c r="W296">
        <v>0</v>
      </c>
      <c r="X296">
        <v>-1671348935</v>
      </c>
      <c r="Y296">
        <f t="shared" si="128"/>
        <v>1E-4</v>
      </c>
      <c r="AA296">
        <v>330109</v>
      </c>
      <c r="AB296">
        <v>0</v>
      </c>
      <c r="AC296">
        <v>0</v>
      </c>
      <c r="AD296">
        <v>0</v>
      </c>
      <c r="AE296">
        <v>37900</v>
      </c>
      <c r="AF296">
        <v>0</v>
      </c>
      <c r="AG296">
        <v>0</v>
      </c>
      <c r="AH296">
        <v>0</v>
      </c>
      <c r="AI296">
        <v>8.7100000000000009</v>
      </c>
      <c r="AJ296">
        <v>1</v>
      </c>
      <c r="AK296">
        <v>1</v>
      </c>
      <c r="AL296">
        <v>1</v>
      </c>
      <c r="AM296">
        <v>4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1E-4</v>
      </c>
      <c r="AU296" t="s">
        <v>3</v>
      </c>
      <c r="AV296">
        <v>0</v>
      </c>
      <c r="AW296">
        <v>2</v>
      </c>
      <c r="AX296">
        <v>145051587</v>
      </c>
      <c r="AY296">
        <v>1</v>
      </c>
      <c r="AZ296">
        <v>0</v>
      </c>
      <c r="BA296">
        <v>296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ROUND(Y296*Source!I130,9)</f>
        <v>1.0738000000000001E-4</v>
      </c>
      <c r="CY296">
        <f t="shared" si="129"/>
        <v>330109</v>
      </c>
      <c r="CZ296">
        <f t="shared" si="130"/>
        <v>37900</v>
      </c>
      <c r="DA296">
        <f t="shared" si="131"/>
        <v>8.7100000000000009</v>
      </c>
      <c r="DB296">
        <f t="shared" si="132"/>
        <v>3.79</v>
      </c>
      <c r="DC296">
        <f t="shared" si="133"/>
        <v>0</v>
      </c>
      <c r="DD296" t="s">
        <v>3</v>
      </c>
      <c r="DE296" t="s">
        <v>3</v>
      </c>
      <c r="DF296">
        <f t="shared" si="134"/>
        <v>35.450000000000003</v>
      </c>
      <c r="DG296">
        <f t="shared" si="135"/>
        <v>0</v>
      </c>
      <c r="DH296">
        <f t="shared" si="136"/>
        <v>0</v>
      </c>
      <c r="DI296">
        <f t="shared" si="127"/>
        <v>0</v>
      </c>
      <c r="DJ296">
        <f t="shared" si="137"/>
        <v>35.450000000000003</v>
      </c>
      <c r="DK296">
        <v>0</v>
      </c>
      <c r="DL296" t="s">
        <v>3</v>
      </c>
      <c r="DM296">
        <v>0</v>
      </c>
      <c r="DN296" t="s">
        <v>3</v>
      </c>
      <c r="DO296">
        <v>0</v>
      </c>
    </row>
    <row r="297" spans="1:119" x14ac:dyDescent="0.2">
      <c r="A297">
        <f>ROW(Source!A130)</f>
        <v>130</v>
      </c>
      <c r="B297">
        <v>145033679</v>
      </c>
      <c r="C297">
        <v>145051576</v>
      </c>
      <c r="D297">
        <v>140762042</v>
      </c>
      <c r="E297">
        <v>70</v>
      </c>
      <c r="F297">
        <v>1</v>
      </c>
      <c r="G297">
        <v>1</v>
      </c>
      <c r="H297">
        <v>3</v>
      </c>
      <c r="I297" t="s">
        <v>764</v>
      </c>
      <c r="J297" t="s">
        <v>3</v>
      </c>
      <c r="K297" t="s">
        <v>960</v>
      </c>
      <c r="L297">
        <v>1348</v>
      </c>
      <c r="N297">
        <v>1009</v>
      </c>
      <c r="O297" t="s">
        <v>105</v>
      </c>
      <c r="P297" t="s">
        <v>105</v>
      </c>
      <c r="Q297">
        <v>1000</v>
      </c>
      <c r="W297">
        <v>0</v>
      </c>
      <c r="X297">
        <v>748648226</v>
      </c>
      <c r="Y297">
        <f t="shared" si="128"/>
        <v>1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8.7100000000000009</v>
      </c>
      <c r="AJ297">
        <v>1</v>
      </c>
      <c r="AK297">
        <v>1</v>
      </c>
      <c r="AL297">
        <v>1</v>
      </c>
      <c r="AM297">
        <v>4</v>
      </c>
      <c r="AN297">
        <v>0</v>
      </c>
      <c r="AO297">
        <v>0</v>
      </c>
      <c r="AP297">
        <v>0</v>
      </c>
      <c r="AQ297">
        <v>0</v>
      </c>
      <c r="AR297">
        <v>0</v>
      </c>
      <c r="AS297" t="s">
        <v>3</v>
      </c>
      <c r="AT297">
        <v>1</v>
      </c>
      <c r="AU297" t="s">
        <v>3</v>
      </c>
      <c r="AV297">
        <v>0</v>
      </c>
      <c r="AW297">
        <v>2</v>
      </c>
      <c r="AX297">
        <v>145051588</v>
      </c>
      <c r="AY297">
        <v>1</v>
      </c>
      <c r="AZ297">
        <v>0</v>
      </c>
      <c r="BA297">
        <v>297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ROUND(Y297*Source!I130,9)</f>
        <v>1.0738000000000001</v>
      </c>
      <c r="CY297">
        <f t="shared" si="129"/>
        <v>0</v>
      </c>
      <c r="CZ297">
        <f t="shared" si="130"/>
        <v>0</v>
      </c>
      <c r="DA297">
        <f t="shared" si="131"/>
        <v>8.7100000000000009</v>
      </c>
      <c r="DB297">
        <f t="shared" si="132"/>
        <v>0</v>
      </c>
      <c r="DC297">
        <f t="shared" si="133"/>
        <v>0</v>
      </c>
      <c r="DD297" t="s">
        <v>3</v>
      </c>
      <c r="DE297" t="s">
        <v>3</v>
      </c>
      <c r="DF297">
        <f t="shared" si="134"/>
        <v>0</v>
      </c>
      <c r="DG297">
        <f t="shared" si="135"/>
        <v>0</v>
      </c>
      <c r="DH297">
        <f t="shared" si="136"/>
        <v>0</v>
      </c>
      <c r="DI297">
        <f t="shared" si="127"/>
        <v>0</v>
      </c>
      <c r="DJ297">
        <f t="shared" si="137"/>
        <v>0</v>
      </c>
      <c r="DK297">
        <v>0</v>
      </c>
      <c r="DL297" t="s">
        <v>3</v>
      </c>
      <c r="DM297">
        <v>0</v>
      </c>
      <c r="DN297" t="s">
        <v>3</v>
      </c>
      <c r="DO297">
        <v>0</v>
      </c>
    </row>
    <row r="298" spans="1:119" x14ac:dyDescent="0.2">
      <c r="A298">
        <f>ROW(Source!A130)</f>
        <v>130</v>
      </c>
      <c r="B298">
        <v>145033679</v>
      </c>
      <c r="C298">
        <v>145051576</v>
      </c>
      <c r="D298">
        <v>140791984</v>
      </c>
      <c r="E298">
        <v>1</v>
      </c>
      <c r="F298">
        <v>1</v>
      </c>
      <c r="G298">
        <v>1</v>
      </c>
      <c r="H298">
        <v>3</v>
      </c>
      <c r="I298" t="s">
        <v>989</v>
      </c>
      <c r="J298" t="s">
        <v>990</v>
      </c>
      <c r="K298" t="s">
        <v>991</v>
      </c>
      <c r="L298">
        <v>1302</v>
      </c>
      <c r="N298">
        <v>1003</v>
      </c>
      <c r="O298" t="s">
        <v>928</v>
      </c>
      <c r="P298" t="s">
        <v>928</v>
      </c>
      <c r="Q298">
        <v>10</v>
      </c>
      <c r="W298">
        <v>0</v>
      </c>
      <c r="X298">
        <v>581091037</v>
      </c>
      <c r="Y298">
        <f t="shared" si="128"/>
        <v>1.8700000000000001E-2</v>
      </c>
      <c r="AA298">
        <v>437.59</v>
      </c>
      <c r="AB298">
        <v>0</v>
      </c>
      <c r="AC298">
        <v>0</v>
      </c>
      <c r="AD298">
        <v>0</v>
      </c>
      <c r="AE298">
        <v>50.24</v>
      </c>
      <c r="AF298">
        <v>0</v>
      </c>
      <c r="AG298">
        <v>0</v>
      </c>
      <c r="AH298">
        <v>0</v>
      </c>
      <c r="AI298">
        <v>8.7100000000000009</v>
      </c>
      <c r="AJ298">
        <v>1</v>
      </c>
      <c r="AK298">
        <v>1</v>
      </c>
      <c r="AL298">
        <v>1</v>
      </c>
      <c r="AM298">
        <v>4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1.8700000000000001E-2</v>
      </c>
      <c r="AU298" t="s">
        <v>3</v>
      </c>
      <c r="AV298">
        <v>0</v>
      </c>
      <c r="AW298">
        <v>2</v>
      </c>
      <c r="AX298">
        <v>145051589</v>
      </c>
      <c r="AY298">
        <v>1</v>
      </c>
      <c r="AZ298">
        <v>0</v>
      </c>
      <c r="BA298">
        <v>298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ROUND(Y298*Source!I130,9)</f>
        <v>2.008006E-2</v>
      </c>
      <c r="CY298">
        <f t="shared" si="129"/>
        <v>437.59</v>
      </c>
      <c r="CZ298">
        <f t="shared" si="130"/>
        <v>50.24</v>
      </c>
      <c r="DA298">
        <f t="shared" si="131"/>
        <v>8.7100000000000009</v>
      </c>
      <c r="DB298">
        <f t="shared" si="132"/>
        <v>0.94</v>
      </c>
      <c r="DC298">
        <f t="shared" si="133"/>
        <v>0</v>
      </c>
      <c r="DD298" t="s">
        <v>3</v>
      </c>
      <c r="DE298" t="s">
        <v>3</v>
      </c>
      <c r="DF298">
        <f t="shared" si="134"/>
        <v>8.7899999999999991</v>
      </c>
      <c r="DG298">
        <f t="shared" si="135"/>
        <v>0</v>
      </c>
      <c r="DH298">
        <f t="shared" si="136"/>
        <v>0</v>
      </c>
      <c r="DI298">
        <f t="shared" si="127"/>
        <v>0</v>
      </c>
      <c r="DJ298">
        <f t="shared" si="137"/>
        <v>8.7899999999999991</v>
      </c>
      <c r="DK298">
        <v>0</v>
      </c>
      <c r="DL298" t="s">
        <v>3</v>
      </c>
      <c r="DM298">
        <v>0</v>
      </c>
      <c r="DN298" t="s">
        <v>3</v>
      </c>
      <c r="DO298">
        <v>0</v>
      </c>
    </row>
    <row r="299" spans="1:119" x14ac:dyDescent="0.2">
      <c r="A299">
        <f>ROW(Source!A130)</f>
        <v>130</v>
      </c>
      <c r="B299">
        <v>145033679</v>
      </c>
      <c r="C299">
        <v>145051576</v>
      </c>
      <c r="D299">
        <v>140792339</v>
      </c>
      <c r="E299">
        <v>1</v>
      </c>
      <c r="F299">
        <v>1</v>
      </c>
      <c r="G299">
        <v>1</v>
      </c>
      <c r="H299">
        <v>3</v>
      </c>
      <c r="I299" t="s">
        <v>832</v>
      </c>
      <c r="J299" t="s">
        <v>833</v>
      </c>
      <c r="K299" t="s">
        <v>834</v>
      </c>
      <c r="L299">
        <v>1348</v>
      </c>
      <c r="N299">
        <v>1009</v>
      </c>
      <c r="O299" t="s">
        <v>105</v>
      </c>
      <c r="P299" t="s">
        <v>105</v>
      </c>
      <c r="Q299">
        <v>1000</v>
      </c>
      <c r="W299">
        <v>0</v>
      </c>
      <c r="X299">
        <v>-120483918</v>
      </c>
      <c r="Y299">
        <f t="shared" si="128"/>
        <v>3.0000000000000001E-5</v>
      </c>
      <c r="AA299">
        <v>38804.79</v>
      </c>
      <c r="AB299">
        <v>0</v>
      </c>
      <c r="AC299">
        <v>0</v>
      </c>
      <c r="AD299">
        <v>0</v>
      </c>
      <c r="AE299">
        <v>4455.2</v>
      </c>
      <c r="AF299">
        <v>0</v>
      </c>
      <c r="AG299">
        <v>0</v>
      </c>
      <c r="AH299">
        <v>0</v>
      </c>
      <c r="AI299">
        <v>8.7100000000000009</v>
      </c>
      <c r="AJ299">
        <v>1</v>
      </c>
      <c r="AK299">
        <v>1</v>
      </c>
      <c r="AL299">
        <v>1</v>
      </c>
      <c r="AM299">
        <v>4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3.0000000000000001E-5</v>
      </c>
      <c r="AU299" t="s">
        <v>3</v>
      </c>
      <c r="AV299">
        <v>0</v>
      </c>
      <c r="AW299">
        <v>2</v>
      </c>
      <c r="AX299">
        <v>145051590</v>
      </c>
      <c r="AY299">
        <v>1</v>
      </c>
      <c r="AZ299">
        <v>0</v>
      </c>
      <c r="BA299">
        <v>299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ROUND(Y299*Source!I130,9)</f>
        <v>3.2214E-5</v>
      </c>
      <c r="CY299">
        <f t="shared" si="129"/>
        <v>38804.79</v>
      </c>
      <c r="CZ299">
        <f t="shared" si="130"/>
        <v>4455.2</v>
      </c>
      <c r="DA299">
        <f t="shared" si="131"/>
        <v>8.7100000000000009</v>
      </c>
      <c r="DB299">
        <f t="shared" si="132"/>
        <v>0.13</v>
      </c>
      <c r="DC299">
        <f t="shared" si="133"/>
        <v>0</v>
      </c>
      <c r="DD299" t="s">
        <v>3</v>
      </c>
      <c r="DE299" t="s">
        <v>3</v>
      </c>
      <c r="DF299">
        <f t="shared" si="134"/>
        <v>1.25</v>
      </c>
      <c r="DG299">
        <f t="shared" si="135"/>
        <v>0</v>
      </c>
      <c r="DH299">
        <f t="shared" si="136"/>
        <v>0</v>
      </c>
      <c r="DI299">
        <f t="shared" si="127"/>
        <v>0</v>
      </c>
      <c r="DJ299">
        <f t="shared" si="137"/>
        <v>1.25</v>
      </c>
      <c r="DK299">
        <v>0</v>
      </c>
      <c r="DL299" t="s">
        <v>3</v>
      </c>
      <c r="DM299">
        <v>0</v>
      </c>
      <c r="DN299" t="s">
        <v>3</v>
      </c>
      <c r="DO299">
        <v>0</v>
      </c>
    </row>
    <row r="300" spans="1:119" x14ac:dyDescent="0.2">
      <c r="A300">
        <f>ROW(Source!A130)</f>
        <v>130</v>
      </c>
      <c r="B300">
        <v>145033679</v>
      </c>
      <c r="C300">
        <v>145051576</v>
      </c>
      <c r="D300">
        <v>140793072</v>
      </c>
      <c r="E300">
        <v>1</v>
      </c>
      <c r="F300">
        <v>1</v>
      </c>
      <c r="G300">
        <v>1</v>
      </c>
      <c r="H300">
        <v>3</v>
      </c>
      <c r="I300" t="s">
        <v>992</v>
      </c>
      <c r="J300" t="s">
        <v>993</v>
      </c>
      <c r="K300" t="s">
        <v>994</v>
      </c>
      <c r="L300">
        <v>1348</v>
      </c>
      <c r="N300">
        <v>1009</v>
      </c>
      <c r="O300" t="s">
        <v>105</v>
      </c>
      <c r="P300" t="s">
        <v>105</v>
      </c>
      <c r="Q300">
        <v>1000</v>
      </c>
      <c r="W300">
        <v>0</v>
      </c>
      <c r="X300">
        <v>834877976</v>
      </c>
      <c r="Y300">
        <f t="shared" si="128"/>
        <v>1.9400000000000001E-3</v>
      </c>
      <c r="AA300">
        <v>42853.2</v>
      </c>
      <c r="AB300">
        <v>0</v>
      </c>
      <c r="AC300">
        <v>0</v>
      </c>
      <c r="AD300">
        <v>0</v>
      </c>
      <c r="AE300">
        <v>4920</v>
      </c>
      <c r="AF300">
        <v>0</v>
      </c>
      <c r="AG300">
        <v>0</v>
      </c>
      <c r="AH300">
        <v>0</v>
      </c>
      <c r="AI300">
        <v>8.7100000000000009</v>
      </c>
      <c r="AJ300">
        <v>1</v>
      </c>
      <c r="AK300">
        <v>1</v>
      </c>
      <c r="AL300">
        <v>1</v>
      </c>
      <c r="AM300">
        <v>4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1.9400000000000001E-3</v>
      </c>
      <c r="AU300" t="s">
        <v>3</v>
      </c>
      <c r="AV300">
        <v>0</v>
      </c>
      <c r="AW300">
        <v>2</v>
      </c>
      <c r="AX300">
        <v>145051591</v>
      </c>
      <c r="AY300">
        <v>1</v>
      </c>
      <c r="AZ300">
        <v>0</v>
      </c>
      <c r="BA300">
        <v>300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ROUND(Y300*Source!I130,9)</f>
        <v>2.0831719999999999E-3</v>
      </c>
      <c r="CY300">
        <f t="shared" si="129"/>
        <v>42853.2</v>
      </c>
      <c r="CZ300">
        <f t="shared" si="130"/>
        <v>4920</v>
      </c>
      <c r="DA300">
        <f t="shared" si="131"/>
        <v>8.7100000000000009</v>
      </c>
      <c r="DB300">
        <f t="shared" si="132"/>
        <v>9.5399999999999991</v>
      </c>
      <c r="DC300">
        <f t="shared" si="133"/>
        <v>0</v>
      </c>
      <c r="DD300" t="s">
        <v>3</v>
      </c>
      <c r="DE300" t="s">
        <v>3</v>
      </c>
      <c r="DF300">
        <f t="shared" si="134"/>
        <v>89.27</v>
      </c>
      <c r="DG300">
        <f t="shared" si="135"/>
        <v>0</v>
      </c>
      <c r="DH300">
        <f t="shared" si="136"/>
        <v>0</v>
      </c>
      <c r="DI300">
        <f t="shared" si="127"/>
        <v>0</v>
      </c>
      <c r="DJ300">
        <f t="shared" si="137"/>
        <v>89.27</v>
      </c>
      <c r="DK300">
        <v>0</v>
      </c>
      <c r="DL300" t="s">
        <v>3</v>
      </c>
      <c r="DM300">
        <v>0</v>
      </c>
      <c r="DN300" t="s">
        <v>3</v>
      </c>
      <c r="DO300">
        <v>0</v>
      </c>
    </row>
    <row r="301" spans="1:119" x14ac:dyDescent="0.2">
      <c r="A301">
        <f>ROW(Source!A130)</f>
        <v>130</v>
      </c>
      <c r="B301">
        <v>145033679</v>
      </c>
      <c r="C301">
        <v>145051576</v>
      </c>
      <c r="D301">
        <v>140804058</v>
      </c>
      <c r="E301">
        <v>1</v>
      </c>
      <c r="F301">
        <v>1</v>
      </c>
      <c r="G301">
        <v>1</v>
      </c>
      <c r="H301">
        <v>3</v>
      </c>
      <c r="I301" t="s">
        <v>998</v>
      </c>
      <c r="J301" t="s">
        <v>999</v>
      </c>
      <c r="K301" t="s">
        <v>1000</v>
      </c>
      <c r="L301">
        <v>1348</v>
      </c>
      <c r="N301">
        <v>1009</v>
      </c>
      <c r="O301" t="s">
        <v>105</v>
      </c>
      <c r="P301" t="s">
        <v>105</v>
      </c>
      <c r="Q301">
        <v>1000</v>
      </c>
      <c r="W301">
        <v>0</v>
      </c>
      <c r="X301">
        <v>264248573</v>
      </c>
      <c r="Y301">
        <f t="shared" si="128"/>
        <v>3.1E-4</v>
      </c>
      <c r="AA301">
        <v>136050.20000000001</v>
      </c>
      <c r="AB301">
        <v>0</v>
      </c>
      <c r="AC301">
        <v>0</v>
      </c>
      <c r="AD301">
        <v>0</v>
      </c>
      <c r="AE301">
        <v>15620</v>
      </c>
      <c r="AF301">
        <v>0</v>
      </c>
      <c r="AG301">
        <v>0</v>
      </c>
      <c r="AH301">
        <v>0</v>
      </c>
      <c r="AI301">
        <v>8.7100000000000009</v>
      </c>
      <c r="AJ301">
        <v>1</v>
      </c>
      <c r="AK301">
        <v>1</v>
      </c>
      <c r="AL301">
        <v>1</v>
      </c>
      <c r="AM301">
        <v>4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3.1E-4</v>
      </c>
      <c r="AU301" t="s">
        <v>3</v>
      </c>
      <c r="AV301">
        <v>0</v>
      </c>
      <c r="AW301">
        <v>2</v>
      </c>
      <c r="AX301">
        <v>145051592</v>
      </c>
      <c r="AY301">
        <v>1</v>
      </c>
      <c r="AZ301">
        <v>0</v>
      </c>
      <c r="BA301">
        <v>301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ROUND(Y301*Source!I130,9)</f>
        <v>3.3287799999999999E-4</v>
      </c>
      <c r="CY301">
        <f t="shared" si="129"/>
        <v>136050.20000000001</v>
      </c>
      <c r="CZ301">
        <f t="shared" si="130"/>
        <v>15620</v>
      </c>
      <c r="DA301">
        <f t="shared" si="131"/>
        <v>8.7100000000000009</v>
      </c>
      <c r="DB301">
        <f t="shared" si="132"/>
        <v>4.84</v>
      </c>
      <c r="DC301">
        <f t="shared" si="133"/>
        <v>0</v>
      </c>
      <c r="DD301" t="s">
        <v>3</v>
      </c>
      <c r="DE301" t="s">
        <v>3</v>
      </c>
      <c r="DF301">
        <f t="shared" si="134"/>
        <v>45.29</v>
      </c>
      <c r="DG301">
        <f t="shared" si="135"/>
        <v>0</v>
      </c>
      <c r="DH301">
        <f t="shared" si="136"/>
        <v>0</v>
      </c>
      <c r="DI301">
        <f t="shared" si="127"/>
        <v>0</v>
      </c>
      <c r="DJ301">
        <f t="shared" si="137"/>
        <v>45.29</v>
      </c>
      <c r="DK301">
        <v>0</v>
      </c>
      <c r="DL301" t="s">
        <v>3</v>
      </c>
      <c r="DM301">
        <v>0</v>
      </c>
      <c r="DN301" t="s">
        <v>3</v>
      </c>
      <c r="DO301">
        <v>0</v>
      </c>
    </row>
    <row r="302" spans="1:119" x14ac:dyDescent="0.2">
      <c r="A302">
        <f>ROW(Source!A130)</f>
        <v>130</v>
      </c>
      <c r="B302">
        <v>145033679</v>
      </c>
      <c r="C302">
        <v>145051576</v>
      </c>
      <c r="D302">
        <v>140805182</v>
      </c>
      <c r="E302">
        <v>1</v>
      </c>
      <c r="F302">
        <v>1</v>
      </c>
      <c r="G302">
        <v>1</v>
      </c>
      <c r="H302">
        <v>3</v>
      </c>
      <c r="I302" t="s">
        <v>1001</v>
      </c>
      <c r="J302" t="s">
        <v>1002</v>
      </c>
      <c r="K302" t="s">
        <v>1003</v>
      </c>
      <c r="L302">
        <v>1346</v>
      </c>
      <c r="N302">
        <v>1009</v>
      </c>
      <c r="O302" t="s">
        <v>43</v>
      </c>
      <c r="P302" t="s">
        <v>43</v>
      </c>
      <c r="Q302">
        <v>1</v>
      </c>
      <c r="W302">
        <v>0</v>
      </c>
      <c r="X302">
        <v>-1449230318</v>
      </c>
      <c r="Y302">
        <f t="shared" si="128"/>
        <v>0.6</v>
      </c>
      <c r="AA302">
        <v>82.05</v>
      </c>
      <c r="AB302">
        <v>0</v>
      </c>
      <c r="AC302">
        <v>0</v>
      </c>
      <c r="AD302">
        <v>0</v>
      </c>
      <c r="AE302">
        <v>9.42</v>
      </c>
      <c r="AF302">
        <v>0</v>
      </c>
      <c r="AG302">
        <v>0</v>
      </c>
      <c r="AH302">
        <v>0</v>
      </c>
      <c r="AI302">
        <v>8.7100000000000009</v>
      </c>
      <c r="AJ302">
        <v>1</v>
      </c>
      <c r="AK302">
        <v>1</v>
      </c>
      <c r="AL302">
        <v>1</v>
      </c>
      <c r="AM302">
        <v>4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0.6</v>
      </c>
      <c r="AU302" t="s">
        <v>3</v>
      </c>
      <c r="AV302">
        <v>0</v>
      </c>
      <c r="AW302">
        <v>2</v>
      </c>
      <c r="AX302">
        <v>145051593</v>
      </c>
      <c r="AY302">
        <v>1</v>
      </c>
      <c r="AZ302">
        <v>0</v>
      </c>
      <c r="BA302">
        <v>302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ROUND(Y302*Source!I130,9)</f>
        <v>0.64427999999999996</v>
      </c>
      <c r="CY302">
        <f t="shared" si="129"/>
        <v>82.05</v>
      </c>
      <c r="CZ302">
        <f t="shared" si="130"/>
        <v>9.42</v>
      </c>
      <c r="DA302">
        <f t="shared" si="131"/>
        <v>8.7100000000000009</v>
      </c>
      <c r="DB302">
        <f t="shared" si="132"/>
        <v>5.65</v>
      </c>
      <c r="DC302">
        <f t="shared" si="133"/>
        <v>0</v>
      </c>
      <c r="DD302" t="s">
        <v>3</v>
      </c>
      <c r="DE302" t="s">
        <v>3</v>
      </c>
      <c r="DF302">
        <f t="shared" si="134"/>
        <v>52.86</v>
      </c>
      <c r="DG302">
        <f t="shared" si="135"/>
        <v>0</v>
      </c>
      <c r="DH302">
        <f t="shared" si="136"/>
        <v>0</v>
      </c>
      <c r="DI302">
        <f t="shared" si="127"/>
        <v>0</v>
      </c>
      <c r="DJ302">
        <f t="shared" si="137"/>
        <v>52.86</v>
      </c>
      <c r="DK302">
        <v>0</v>
      </c>
      <c r="DL302" t="s">
        <v>3</v>
      </c>
      <c r="DM302">
        <v>0</v>
      </c>
      <c r="DN302" t="s">
        <v>3</v>
      </c>
      <c r="DO302">
        <v>0</v>
      </c>
    </row>
    <row r="303" spans="1:119" x14ac:dyDescent="0.2">
      <c r="A303">
        <f>ROW(Source!A132)</f>
        <v>132</v>
      </c>
      <c r="B303">
        <v>145033679</v>
      </c>
      <c r="C303">
        <v>145070984</v>
      </c>
      <c r="D303">
        <v>140759935</v>
      </c>
      <c r="E303">
        <v>70</v>
      </c>
      <c r="F303">
        <v>1</v>
      </c>
      <c r="G303">
        <v>1</v>
      </c>
      <c r="H303">
        <v>1</v>
      </c>
      <c r="I303" t="s">
        <v>723</v>
      </c>
      <c r="J303" t="s">
        <v>3</v>
      </c>
      <c r="K303" t="s">
        <v>724</v>
      </c>
      <c r="L303">
        <v>1191</v>
      </c>
      <c r="N303">
        <v>1013</v>
      </c>
      <c r="O303" t="s">
        <v>725</v>
      </c>
      <c r="P303" t="s">
        <v>725</v>
      </c>
      <c r="Q303">
        <v>1</v>
      </c>
      <c r="W303">
        <v>0</v>
      </c>
      <c r="X303">
        <v>2031828327</v>
      </c>
      <c r="Y303">
        <f>((AT303*1.15)*1.15)</f>
        <v>13.013399999999997</v>
      </c>
      <c r="AA303">
        <v>0</v>
      </c>
      <c r="AB303">
        <v>0</v>
      </c>
      <c r="AC303">
        <v>0</v>
      </c>
      <c r="AD303">
        <v>238.21</v>
      </c>
      <c r="AE303">
        <v>0</v>
      </c>
      <c r="AF303">
        <v>0</v>
      </c>
      <c r="AG303">
        <v>0</v>
      </c>
      <c r="AH303">
        <v>7.8</v>
      </c>
      <c r="AI303">
        <v>1</v>
      </c>
      <c r="AJ303">
        <v>1</v>
      </c>
      <c r="AK303">
        <v>1</v>
      </c>
      <c r="AL303">
        <v>30.54</v>
      </c>
      <c r="AM303">
        <v>4</v>
      </c>
      <c r="AN303">
        <v>0</v>
      </c>
      <c r="AO303">
        <v>1</v>
      </c>
      <c r="AP303">
        <v>1</v>
      </c>
      <c r="AQ303">
        <v>0</v>
      </c>
      <c r="AR303">
        <v>0</v>
      </c>
      <c r="AS303" t="s">
        <v>3</v>
      </c>
      <c r="AT303">
        <v>9.84</v>
      </c>
      <c r="AU303" t="s">
        <v>91</v>
      </c>
      <c r="AV303">
        <v>1</v>
      </c>
      <c r="AW303">
        <v>2</v>
      </c>
      <c r="AX303">
        <v>145070985</v>
      </c>
      <c r="AY303">
        <v>1</v>
      </c>
      <c r="AZ303">
        <v>0</v>
      </c>
      <c r="BA303">
        <v>303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ROUND(Y303*Source!I132,9)</f>
        <v>0.23424120000000001</v>
      </c>
      <c r="CY303">
        <f>AD303</f>
        <v>238.21</v>
      </c>
      <c r="CZ303">
        <f>AH303</f>
        <v>7.8</v>
      </c>
      <c r="DA303">
        <f>AL303</f>
        <v>30.54</v>
      </c>
      <c r="DB303">
        <f>ROUND(((ROUND(AT303*CZ303,2)*1.15)*1.15),2)</f>
        <v>101.5</v>
      </c>
      <c r="DC303">
        <f>ROUND(((ROUND(AT303*AG303,2)*1.15)*1.15),2)</f>
        <v>0</v>
      </c>
      <c r="DD303" t="s">
        <v>3</v>
      </c>
      <c r="DE303" t="s">
        <v>3</v>
      </c>
      <c r="DF303">
        <f>ROUND(ROUND(AE303,2)*CX303,2)</f>
        <v>0</v>
      </c>
      <c r="DG303">
        <f t="shared" si="135"/>
        <v>0</v>
      </c>
      <c r="DH303">
        <f t="shared" si="136"/>
        <v>0</v>
      </c>
      <c r="DI303">
        <f>ROUND(ROUND(AH303*AL303,2)*CX303,2)</f>
        <v>55.8</v>
      </c>
      <c r="DJ303">
        <f>DI303</f>
        <v>55.8</v>
      </c>
      <c r="DK303">
        <v>0</v>
      </c>
      <c r="DL303" t="s">
        <v>3</v>
      </c>
      <c r="DM303">
        <v>0</v>
      </c>
      <c r="DN303" t="s">
        <v>3</v>
      </c>
      <c r="DO303">
        <v>0</v>
      </c>
    </row>
    <row r="304" spans="1:119" x14ac:dyDescent="0.2">
      <c r="A304">
        <f>ROW(Source!A132)</f>
        <v>132</v>
      </c>
      <c r="B304">
        <v>145033679</v>
      </c>
      <c r="C304">
        <v>145070984</v>
      </c>
      <c r="D304">
        <v>140760225</v>
      </c>
      <c r="E304">
        <v>70</v>
      </c>
      <c r="F304">
        <v>1</v>
      </c>
      <c r="G304">
        <v>1</v>
      </c>
      <c r="H304">
        <v>1</v>
      </c>
      <c r="I304" t="s">
        <v>730</v>
      </c>
      <c r="J304" t="s">
        <v>3</v>
      </c>
      <c r="K304" t="s">
        <v>731</v>
      </c>
      <c r="L304">
        <v>1191</v>
      </c>
      <c r="N304">
        <v>1013</v>
      </c>
      <c r="O304" t="s">
        <v>725</v>
      </c>
      <c r="P304" t="s">
        <v>725</v>
      </c>
      <c r="Q304">
        <v>1</v>
      </c>
      <c r="W304">
        <v>0</v>
      </c>
      <c r="X304">
        <v>-1417349443</v>
      </c>
      <c r="Y304">
        <f>((AT304*1.15)*1.25)</f>
        <v>41.011875000000003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1</v>
      </c>
      <c r="AJ304">
        <v>1</v>
      </c>
      <c r="AK304">
        <v>30.54</v>
      </c>
      <c r="AL304">
        <v>1</v>
      </c>
      <c r="AM304">
        <v>4</v>
      </c>
      <c r="AN304">
        <v>0</v>
      </c>
      <c r="AO304">
        <v>1</v>
      </c>
      <c r="AP304">
        <v>1</v>
      </c>
      <c r="AQ304">
        <v>0</v>
      </c>
      <c r="AR304">
        <v>0</v>
      </c>
      <c r="AS304" t="s">
        <v>3</v>
      </c>
      <c r="AT304">
        <v>28.53</v>
      </c>
      <c r="AU304" t="s">
        <v>339</v>
      </c>
      <c r="AV304">
        <v>2</v>
      </c>
      <c r="AW304">
        <v>2</v>
      </c>
      <c r="AX304">
        <v>145070986</v>
      </c>
      <c r="AY304">
        <v>1</v>
      </c>
      <c r="AZ304">
        <v>0</v>
      </c>
      <c r="BA304">
        <v>304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ROUND(Y304*Source!I132,9)</f>
        <v>0.73821375</v>
      </c>
      <c r="CY304">
        <f>AD304</f>
        <v>0</v>
      </c>
      <c r="CZ304">
        <f>AH304</f>
        <v>0</v>
      </c>
      <c r="DA304">
        <f>AL304</f>
        <v>1</v>
      </c>
      <c r="DB304">
        <f>ROUND(((ROUND(AT304*CZ304,2)*1.15)*1.25),2)</f>
        <v>0</v>
      </c>
      <c r="DC304">
        <f>ROUND(((ROUND(AT304*AG304,2)*1.15)*1.25),2)</f>
        <v>0</v>
      </c>
      <c r="DD304" t="s">
        <v>3</v>
      </c>
      <c r="DE304" t="s">
        <v>3</v>
      </c>
      <c r="DF304">
        <f>ROUND(ROUND(AE304,2)*CX304,2)</f>
        <v>0</v>
      </c>
      <c r="DG304">
        <f t="shared" si="135"/>
        <v>0</v>
      </c>
      <c r="DH304">
        <f>ROUND(ROUND(AG304*AK304,2)*CX304,2)</f>
        <v>0</v>
      </c>
      <c r="DI304">
        <f>ROUND(ROUND(AH304,2)*CX304,2)</f>
        <v>0</v>
      </c>
      <c r="DJ304">
        <f>DI304</f>
        <v>0</v>
      </c>
      <c r="DK304">
        <v>0</v>
      </c>
      <c r="DL304" t="s">
        <v>3</v>
      </c>
      <c r="DM304">
        <v>0</v>
      </c>
      <c r="DN304" t="s">
        <v>3</v>
      </c>
      <c r="DO304">
        <v>0</v>
      </c>
    </row>
    <row r="305" spans="1:119" x14ac:dyDescent="0.2">
      <c r="A305">
        <f>ROW(Source!A132)</f>
        <v>132</v>
      </c>
      <c r="B305">
        <v>145033679</v>
      </c>
      <c r="C305">
        <v>145070984</v>
      </c>
      <c r="D305">
        <v>140922396</v>
      </c>
      <c r="E305">
        <v>1</v>
      </c>
      <c r="F305">
        <v>1</v>
      </c>
      <c r="G305">
        <v>1</v>
      </c>
      <c r="H305">
        <v>2</v>
      </c>
      <c r="I305" t="s">
        <v>1032</v>
      </c>
      <c r="J305" t="s">
        <v>1033</v>
      </c>
      <c r="K305" t="s">
        <v>1034</v>
      </c>
      <c r="L305">
        <v>1367</v>
      </c>
      <c r="N305">
        <v>1011</v>
      </c>
      <c r="O305" t="s">
        <v>79</v>
      </c>
      <c r="P305" t="s">
        <v>79</v>
      </c>
      <c r="Q305">
        <v>1</v>
      </c>
      <c r="W305">
        <v>0</v>
      </c>
      <c r="X305">
        <v>-177383015</v>
      </c>
      <c r="Y305">
        <f>((AT305*1.15)*1.25)</f>
        <v>10.249374999999999</v>
      </c>
      <c r="AA305">
        <v>0</v>
      </c>
      <c r="AB305">
        <v>959.12</v>
      </c>
      <c r="AC305">
        <v>412.29</v>
      </c>
      <c r="AD305">
        <v>0</v>
      </c>
      <c r="AE305">
        <v>0</v>
      </c>
      <c r="AF305">
        <v>79.069999999999993</v>
      </c>
      <c r="AG305">
        <v>13.5</v>
      </c>
      <c r="AH305">
        <v>0</v>
      </c>
      <c r="AI305">
        <v>1</v>
      </c>
      <c r="AJ305">
        <v>12.13</v>
      </c>
      <c r="AK305">
        <v>30.54</v>
      </c>
      <c r="AL305">
        <v>1</v>
      </c>
      <c r="AM305">
        <v>4</v>
      </c>
      <c r="AN305">
        <v>0</v>
      </c>
      <c r="AO305">
        <v>1</v>
      </c>
      <c r="AP305">
        <v>1</v>
      </c>
      <c r="AQ305">
        <v>0</v>
      </c>
      <c r="AR305">
        <v>0</v>
      </c>
      <c r="AS305" t="s">
        <v>3</v>
      </c>
      <c r="AT305">
        <v>7.13</v>
      </c>
      <c r="AU305" t="s">
        <v>339</v>
      </c>
      <c r="AV305">
        <v>0</v>
      </c>
      <c r="AW305">
        <v>2</v>
      </c>
      <c r="AX305">
        <v>145070987</v>
      </c>
      <c r="AY305">
        <v>1</v>
      </c>
      <c r="AZ305">
        <v>0</v>
      </c>
      <c r="BA305">
        <v>305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ROUND(Y305*Source!I132,9)</f>
        <v>0.18448875000000001</v>
      </c>
      <c r="CY305">
        <f>AB305</f>
        <v>959.12</v>
      </c>
      <c r="CZ305">
        <f>AF305</f>
        <v>79.069999999999993</v>
      </c>
      <c r="DA305">
        <f>AJ305</f>
        <v>12.13</v>
      </c>
      <c r="DB305">
        <f>ROUND(((ROUND(AT305*CZ305,2)*1.15)*1.25),2)</f>
        <v>810.42</v>
      </c>
      <c r="DC305">
        <f>ROUND(((ROUND(AT305*AG305,2)*1.15)*1.25),2)</f>
        <v>138.37</v>
      </c>
      <c r="DD305" t="s">
        <v>3</v>
      </c>
      <c r="DE305" t="s">
        <v>3</v>
      </c>
      <c r="DF305">
        <f>ROUND(ROUND(AE305,2)*CX305,2)</f>
        <v>0</v>
      </c>
      <c r="DG305">
        <f>ROUND(ROUND(AF305*AJ305,2)*CX305,2)</f>
        <v>176.95</v>
      </c>
      <c r="DH305">
        <f>ROUND(ROUND(AG305*AK305,2)*CX305,2)</f>
        <v>76.06</v>
      </c>
      <c r="DI305">
        <f>ROUND(ROUND(AH305,2)*CX305,2)</f>
        <v>0</v>
      </c>
      <c r="DJ305">
        <f>DG305</f>
        <v>176.95</v>
      </c>
      <c r="DK305">
        <v>0</v>
      </c>
      <c r="DL305" t="s">
        <v>3</v>
      </c>
      <c r="DM305">
        <v>0</v>
      </c>
      <c r="DN305" t="s">
        <v>3</v>
      </c>
      <c r="DO305">
        <v>0</v>
      </c>
    </row>
    <row r="306" spans="1:119" x14ac:dyDescent="0.2">
      <c r="A306">
        <f>ROW(Source!A132)</f>
        <v>132</v>
      </c>
      <c r="B306">
        <v>145033679</v>
      </c>
      <c r="C306">
        <v>145070984</v>
      </c>
      <c r="D306">
        <v>140922461</v>
      </c>
      <c r="E306">
        <v>1</v>
      </c>
      <c r="F306">
        <v>1</v>
      </c>
      <c r="G306">
        <v>1</v>
      </c>
      <c r="H306">
        <v>2</v>
      </c>
      <c r="I306" t="s">
        <v>1035</v>
      </c>
      <c r="J306" t="s">
        <v>1036</v>
      </c>
      <c r="K306" t="s">
        <v>1037</v>
      </c>
      <c r="L306">
        <v>1367</v>
      </c>
      <c r="N306">
        <v>1011</v>
      </c>
      <c r="O306" t="s">
        <v>79</v>
      </c>
      <c r="P306" t="s">
        <v>79</v>
      </c>
      <c r="Q306">
        <v>1</v>
      </c>
      <c r="W306">
        <v>0</v>
      </c>
      <c r="X306">
        <v>145565111</v>
      </c>
      <c r="Y306">
        <f>((AT306*1.15)*1.25)</f>
        <v>30.762499999999996</v>
      </c>
      <c r="AA306">
        <v>0</v>
      </c>
      <c r="AB306">
        <v>1398.23</v>
      </c>
      <c r="AC306">
        <v>412.29</v>
      </c>
      <c r="AD306">
        <v>0</v>
      </c>
      <c r="AE306">
        <v>0</v>
      </c>
      <c r="AF306">
        <v>115.27</v>
      </c>
      <c r="AG306">
        <v>13.5</v>
      </c>
      <c r="AH306">
        <v>0</v>
      </c>
      <c r="AI306">
        <v>1</v>
      </c>
      <c r="AJ306">
        <v>12.13</v>
      </c>
      <c r="AK306">
        <v>30.54</v>
      </c>
      <c r="AL306">
        <v>1</v>
      </c>
      <c r="AM306">
        <v>4</v>
      </c>
      <c r="AN306">
        <v>0</v>
      </c>
      <c r="AO306">
        <v>1</v>
      </c>
      <c r="AP306">
        <v>1</v>
      </c>
      <c r="AQ306">
        <v>0</v>
      </c>
      <c r="AR306">
        <v>0</v>
      </c>
      <c r="AS306" t="s">
        <v>3</v>
      </c>
      <c r="AT306">
        <v>21.4</v>
      </c>
      <c r="AU306" t="s">
        <v>339</v>
      </c>
      <c r="AV306">
        <v>0</v>
      </c>
      <c r="AW306">
        <v>2</v>
      </c>
      <c r="AX306">
        <v>145070988</v>
      </c>
      <c r="AY306">
        <v>1</v>
      </c>
      <c r="AZ306">
        <v>0</v>
      </c>
      <c r="BA306">
        <v>306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ROUND(Y306*Source!I132,9)</f>
        <v>0.55372500000000002</v>
      </c>
      <c r="CY306">
        <f>AB306</f>
        <v>1398.23</v>
      </c>
      <c r="CZ306">
        <f>AF306</f>
        <v>115.27</v>
      </c>
      <c r="DA306">
        <f>AJ306</f>
        <v>12.13</v>
      </c>
      <c r="DB306">
        <f>ROUND(((ROUND(AT306*CZ306,2)*1.15)*1.25),2)</f>
        <v>3546</v>
      </c>
      <c r="DC306">
        <f>ROUND(((ROUND(AT306*AG306,2)*1.15)*1.25),2)</f>
        <v>415.29</v>
      </c>
      <c r="DD306" t="s">
        <v>3</v>
      </c>
      <c r="DE306" t="s">
        <v>3</v>
      </c>
      <c r="DF306">
        <f>ROUND(ROUND(AE306,2)*CX306,2)</f>
        <v>0</v>
      </c>
      <c r="DG306">
        <f>ROUND(ROUND(AF306*AJ306,2)*CX306,2)</f>
        <v>774.23</v>
      </c>
      <c r="DH306">
        <f>ROUND(ROUND(AG306*AK306,2)*CX306,2)</f>
        <v>228.3</v>
      </c>
      <c r="DI306">
        <f>ROUND(ROUND(AH306,2)*CX306,2)</f>
        <v>0</v>
      </c>
      <c r="DJ306">
        <f>DG306</f>
        <v>774.23</v>
      </c>
      <c r="DK306">
        <v>0</v>
      </c>
      <c r="DL306" t="s">
        <v>3</v>
      </c>
      <c r="DM306">
        <v>0</v>
      </c>
      <c r="DN306" t="s">
        <v>3</v>
      </c>
      <c r="DO306">
        <v>0</v>
      </c>
    </row>
    <row r="307" spans="1:119" x14ac:dyDescent="0.2">
      <c r="A307">
        <f>ROW(Source!A132)</f>
        <v>132</v>
      </c>
      <c r="B307">
        <v>145033679</v>
      </c>
      <c r="C307">
        <v>145070984</v>
      </c>
      <c r="D307">
        <v>140776996</v>
      </c>
      <c r="E307">
        <v>1</v>
      </c>
      <c r="F307">
        <v>1</v>
      </c>
      <c r="G307">
        <v>1</v>
      </c>
      <c r="H307">
        <v>3</v>
      </c>
      <c r="I307" t="s">
        <v>1038</v>
      </c>
      <c r="J307" t="s">
        <v>1039</v>
      </c>
      <c r="K307" t="s">
        <v>1040</v>
      </c>
      <c r="L307">
        <v>1339</v>
      </c>
      <c r="N307">
        <v>1007</v>
      </c>
      <c r="O307" t="s">
        <v>66</v>
      </c>
      <c r="P307" t="s">
        <v>66</v>
      </c>
      <c r="Q307">
        <v>1</v>
      </c>
      <c r="W307">
        <v>0</v>
      </c>
      <c r="X307">
        <v>-1769920836</v>
      </c>
      <c r="Y307">
        <f t="shared" ref="Y307:Y312" si="138">AT307</f>
        <v>0.04</v>
      </c>
      <c r="AA307">
        <v>944.16</v>
      </c>
      <c r="AB307">
        <v>0</v>
      </c>
      <c r="AC307">
        <v>0</v>
      </c>
      <c r="AD307">
        <v>0</v>
      </c>
      <c r="AE307">
        <v>108.4</v>
      </c>
      <c r="AF307">
        <v>0</v>
      </c>
      <c r="AG307">
        <v>0</v>
      </c>
      <c r="AH307">
        <v>0</v>
      </c>
      <c r="AI307">
        <v>8.7100000000000009</v>
      </c>
      <c r="AJ307">
        <v>1</v>
      </c>
      <c r="AK307">
        <v>1</v>
      </c>
      <c r="AL307">
        <v>1</v>
      </c>
      <c r="AM307">
        <v>4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0.04</v>
      </c>
      <c r="AU307" t="s">
        <v>3</v>
      </c>
      <c r="AV307">
        <v>0</v>
      </c>
      <c r="AW307">
        <v>2</v>
      </c>
      <c r="AX307">
        <v>145070989</v>
      </c>
      <c r="AY307">
        <v>1</v>
      </c>
      <c r="AZ307">
        <v>0</v>
      </c>
      <c r="BA307">
        <v>307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ROUND(Y307*Source!I132,9)</f>
        <v>7.2000000000000005E-4</v>
      </c>
      <c r="CY307">
        <f>AA307</f>
        <v>944.16</v>
      </c>
      <c r="CZ307">
        <f>AE307</f>
        <v>108.4</v>
      </c>
      <c r="DA307">
        <f>AI307</f>
        <v>8.7100000000000009</v>
      </c>
      <c r="DB307">
        <f t="shared" ref="DB307:DB312" si="139">ROUND(ROUND(AT307*CZ307,2),2)</f>
        <v>4.34</v>
      </c>
      <c r="DC307">
        <f t="shared" ref="DC307:DC312" si="140">ROUND(ROUND(AT307*AG307,2),2)</f>
        <v>0</v>
      </c>
      <c r="DD307" t="s">
        <v>3</v>
      </c>
      <c r="DE307" t="s">
        <v>3</v>
      </c>
      <c r="DF307">
        <f>ROUND(ROUND(AE307*AI307,2)*CX307,2)</f>
        <v>0.68</v>
      </c>
      <c r="DG307">
        <f>ROUND(ROUND(AF307,2)*CX307,2)</f>
        <v>0</v>
      </c>
      <c r="DH307">
        <f>ROUND(ROUND(AG307,2)*CX307,2)</f>
        <v>0</v>
      </c>
      <c r="DI307">
        <f>ROUND(ROUND(AH307,2)*CX307,2)</f>
        <v>0</v>
      </c>
      <c r="DJ307">
        <f>DF307</f>
        <v>0.68</v>
      </c>
      <c r="DK307">
        <v>0</v>
      </c>
      <c r="DL307" t="s">
        <v>3</v>
      </c>
      <c r="DM307">
        <v>0</v>
      </c>
      <c r="DN307" t="s">
        <v>3</v>
      </c>
      <c r="DO307">
        <v>0</v>
      </c>
    </row>
    <row r="308" spans="1:119" x14ac:dyDescent="0.2">
      <c r="A308">
        <f>ROW(Source!A134)</f>
        <v>134</v>
      </c>
      <c r="B308">
        <v>145033679</v>
      </c>
      <c r="C308">
        <v>145070994</v>
      </c>
      <c r="D308">
        <v>140759935</v>
      </c>
      <c r="E308">
        <v>70</v>
      </c>
      <c r="F308">
        <v>1</v>
      </c>
      <c r="G308">
        <v>1</v>
      </c>
      <c r="H308">
        <v>1</v>
      </c>
      <c r="I308" t="s">
        <v>723</v>
      </c>
      <c r="J308" t="s">
        <v>3</v>
      </c>
      <c r="K308" t="s">
        <v>724</v>
      </c>
      <c r="L308">
        <v>1191</v>
      </c>
      <c r="N308">
        <v>1013</v>
      </c>
      <c r="O308" t="s">
        <v>725</v>
      </c>
      <c r="P308" t="s">
        <v>725</v>
      </c>
      <c r="Q308">
        <v>1</v>
      </c>
      <c r="W308">
        <v>0</v>
      </c>
      <c r="X308">
        <v>2031828327</v>
      </c>
      <c r="Y308">
        <f t="shared" si="138"/>
        <v>3.32</v>
      </c>
      <c r="AA308">
        <v>0</v>
      </c>
      <c r="AB308">
        <v>0</v>
      </c>
      <c r="AC308">
        <v>0</v>
      </c>
      <c r="AD308">
        <v>238.21</v>
      </c>
      <c r="AE308">
        <v>0</v>
      </c>
      <c r="AF308">
        <v>0</v>
      </c>
      <c r="AG308">
        <v>0</v>
      </c>
      <c r="AH308">
        <v>7.8</v>
      </c>
      <c r="AI308">
        <v>1</v>
      </c>
      <c r="AJ308">
        <v>1</v>
      </c>
      <c r="AK308">
        <v>1</v>
      </c>
      <c r="AL308">
        <v>30.54</v>
      </c>
      <c r="AM308">
        <v>4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3.32</v>
      </c>
      <c r="AU308" t="s">
        <v>3</v>
      </c>
      <c r="AV308">
        <v>1</v>
      </c>
      <c r="AW308">
        <v>2</v>
      </c>
      <c r="AX308">
        <v>145070995</v>
      </c>
      <c r="AY308">
        <v>1</v>
      </c>
      <c r="AZ308">
        <v>0</v>
      </c>
      <c r="BA308">
        <v>308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ROUND(Y308*Source!I134,9)</f>
        <v>5.9760000000000001E-2</v>
      </c>
      <c r="CY308">
        <f>AD308</f>
        <v>238.21</v>
      </c>
      <c r="CZ308">
        <f>AH308</f>
        <v>7.8</v>
      </c>
      <c r="DA308">
        <f>AL308</f>
        <v>30.54</v>
      </c>
      <c r="DB308">
        <f t="shared" si="139"/>
        <v>25.9</v>
      </c>
      <c r="DC308">
        <f t="shared" si="140"/>
        <v>0</v>
      </c>
      <c r="DD308" t="s">
        <v>3</v>
      </c>
      <c r="DE308" t="s">
        <v>3</v>
      </c>
      <c r="DF308">
        <f>ROUND(ROUND(AE308,2)*CX308,2)</f>
        <v>0</v>
      </c>
      <c r="DG308">
        <f>ROUND(ROUND(AF308,2)*CX308,2)</f>
        <v>0</v>
      </c>
      <c r="DH308">
        <f>ROUND(ROUND(AG308,2)*CX308,2)</f>
        <v>0</v>
      </c>
      <c r="DI308">
        <f>ROUND(ROUND(AH308*AL308,2)*CX308,2)</f>
        <v>14.24</v>
      </c>
      <c r="DJ308">
        <f>DI308</f>
        <v>14.24</v>
      </c>
      <c r="DK308">
        <v>0</v>
      </c>
      <c r="DL308" t="s">
        <v>3</v>
      </c>
      <c r="DM308">
        <v>0</v>
      </c>
      <c r="DN308" t="s">
        <v>3</v>
      </c>
      <c r="DO308">
        <v>0</v>
      </c>
    </row>
    <row r="309" spans="1:119" x14ac:dyDescent="0.2">
      <c r="A309">
        <f>ROW(Source!A134)</f>
        <v>134</v>
      </c>
      <c r="B309">
        <v>145033679</v>
      </c>
      <c r="C309">
        <v>145070994</v>
      </c>
      <c r="D309">
        <v>140760225</v>
      </c>
      <c r="E309">
        <v>70</v>
      </c>
      <c r="F309">
        <v>1</v>
      </c>
      <c r="G309">
        <v>1</v>
      </c>
      <c r="H309">
        <v>1</v>
      </c>
      <c r="I309" t="s">
        <v>730</v>
      </c>
      <c r="J309" t="s">
        <v>3</v>
      </c>
      <c r="K309" t="s">
        <v>731</v>
      </c>
      <c r="L309">
        <v>1191</v>
      </c>
      <c r="N309">
        <v>1013</v>
      </c>
      <c r="O309" t="s">
        <v>725</v>
      </c>
      <c r="P309" t="s">
        <v>725</v>
      </c>
      <c r="Q309">
        <v>1</v>
      </c>
      <c r="W309">
        <v>0</v>
      </c>
      <c r="X309">
        <v>-1417349443</v>
      </c>
      <c r="Y309">
        <f t="shared" si="138"/>
        <v>3.69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30.54</v>
      </c>
      <c r="AL309">
        <v>1</v>
      </c>
      <c r="AM309">
        <v>4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3</v>
      </c>
      <c r="AT309">
        <v>3.69</v>
      </c>
      <c r="AU309" t="s">
        <v>3</v>
      </c>
      <c r="AV309">
        <v>2</v>
      </c>
      <c r="AW309">
        <v>2</v>
      </c>
      <c r="AX309">
        <v>145070996</v>
      </c>
      <c r="AY309">
        <v>1</v>
      </c>
      <c r="AZ309">
        <v>0</v>
      </c>
      <c r="BA309">
        <v>309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ROUND(Y309*Source!I134,9)</f>
        <v>6.6420000000000007E-2</v>
      </c>
      <c r="CY309">
        <f>AD309</f>
        <v>0</v>
      </c>
      <c r="CZ309">
        <f>AH309</f>
        <v>0</v>
      </c>
      <c r="DA309">
        <f>AL309</f>
        <v>1</v>
      </c>
      <c r="DB309">
        <f t="shared" si="139"/>
        <v>0</v>
      </c>
      <c r="DC309">
        <f t="shared" si="140"/>
        <v>0</v>
      </c>
      <c r="DD309" t="s">
        <v>3</v>
      </c>
      <c r="DE309" t="s">
        <v>3</v>
      </c>
      <c r="DF309">
        <f>ROUND(ROUND(AE309,2)*CX309,2)</f>
        <v>0</v>
      </c>
      <c r="DG309">
        <f>ROUND(ROUND(AF309,2)*CX309,2)</f>
        <v>0</v>
      </c>
      <c r="DH309">
        <f>ROUND(ROUND(AG309*AK309,2)*CX309,2)</f>
        <v>0</v>
      </c>
      <c r="DI309">
        <f>ROUND(ROUND(AH309,2)*CX309,2)</f>
        <v>0</v>
      </c>
      <c r="DJ309">
        <f>DI309</f>
        <v>0</v>
      </c>
      <c r="DK309">
        <v>0</v>
      </c>
      <c r="DL309" t="s">
        <v>3</v>
      </c>
      <c r="DM309">
        <v>0</v>
      </c>
      <c r="DN309" t="s">
        <v>3</v>
      </c>
      <c r="DO309">
        <v>0</v>
      </c>
    </row>
    <row r="310" spans="1:119" x14ac:dyDescent="0.2">
      <c r="A310">
        <f>ROW(Source!A134)</f>
        <v>134</v>
      </c>
      <c r="B310">
        <v>145033679</v>
      </c>
      <c r="C310">
        <v>145070994</v>
      </c>
      <c r="D310">
        <v>140922396</v>
      </c>
      <c r="E310">
        <v>1</v>
      </c>
      <c r="F310">
        <v>1</v>
      </c>
      <c r="G310">
        <v>1</v>
      </c>
      <c r="H310">
        <v>2</v>
      </c>
      <c r="I310" t="s">
        <v>1032</v>
      </c>
      <c r="J310" t="s">
        <v>1033</v>
      </c>
      <c r="K310" t="s">
        <v>1034</v>
      </c>
      <c r="L310">
        <v>1367</v>
      </c>
      <c r="N310">
        <v>1011</v>
      </c>
      <c r="O310" t="s">
        <v>79</v>
      </c>
      <c r="P310" t="s">
        <v>79</v>
      </c>
      <c r="Q310">
        <v>1</v>
      </c>
      <c r="W310">
        <v>0</v>
      </c>
      <c r="X310">
        <v>-177383015</v>
      </c>
      <c r="Y310">
        <f t="shared" si="138"/>
        <v>3.61</v>
      </c>
      <c r="AA310">
        <v>0</v>
      </c>
      <c r="AB310">
        <v>959.12</v>
      </c>
      <c r="AC310">
        <v>412.29</v>
      </c>
      <c r="AD310">
        <v>0</v>
      </c>
      <c r="AE310">
        <v>0</v>
      </c>
      <c r="AF310">
        <v>79.069999999999993</v>
      </c>
      <c r="AG310">
        <v>13.5</v>
      </c>
      <c r="AH310">
        <v>0</v>
      </c>
      <c r="AI310">
        <v>1</v>
      </c>
      <c r="AJ310">
        <v>12.13</v>
      </c>
      <c r="AK310">
        <v>30.54</v>
      </c>
      <c r="AL310">
        <v>1</v>
      </c>
      <c r="AM310">
        <v>4</v>
      </c>
      <c r="AN310">
        <v>0</v>
      </c>
      <c r="AO310">
        <v>1</v>
      </c>
      <c r="AP310">
        <v>0</v>
      </c>
      <c r="AQ310">
        <v>0</v>
      </c>
      <c r="AR310">
        <v>0</v>
      </c>
      <c r="AS310" t="s">
        <v>3</v>
      </c>
      <c r="AT310">
        <v>3.61</v>
      </c>
      <c r="AU310" t="s">
        <v>3</v>
      </c>
      <c r="AV310">
        <v>0</v>
      </c>
      <c r="AW310">
        <v>2</v>
      </c>
      <c r="AX310">
        <v>145070997</v>
      </c>
      <c r="AY310">
        <v>1</v>
      </c>
      <c r="AZ310">
        <v>0</v>
      </c>
      <c r="BA310">
        <v>310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ROUND(Y310*Source!I134,9)</f>
        <v>6.4979999999999996E-2</v>
      </c>
      <c r="CY310">
        <f>AB310</f>
        <v>959.12</v>
      </c>
      <c r="CZ310">
        <f>AF310</f>
        <v>79.069999999999993</v>
      </c>
      <c r="DA310">
        <f>AJ310</f>
        <v>12.13</v>
      </c>
      <c r="DB310">
        <f t="shared" si="139"/>
        <v>285.44</v>
      </c>
      <c r="DC310">
        <f t="shared" si="140"/>
        <v>48.74</v>
      </c>
      <c r="DD310" t="s">
        <v>3</v>
      </c>
      <c r="DE310" t="s">
        <v>3</v>
      </c>
      <c r="DF310">
        <f>ROUND(ROUND(AE310,2)*CX310,2)</f>
        <v>0</v>
      </c>
      <c r="DG310">
        <f>ROUND(ROUND(AF310*AJ310,2)*CX310,2)</f>
        <v>62.32</v>
      </c>
      <c r="DH310">
        <f>ROUND(ROUND(AG310*AK310,2)*CX310,2)</f>
        <v>26.79</v>
      </c>
      <c r="DI310">
        <f>ROUND(ROUND(AH310,2)*CX310,2)</f>
        <v>0</v>
      </c>
      <c r="DJ310">
        <f>DG310</f>
        <v>62.32</v>
      </c>
      <c r="DK310">
        <v>0</v>
      </c>
      <c r="DL310" t="s">
        <v>3</v>
      </c>
      <c r="DM310">
        <v>0</v>
      </c>
      <c r="DN310" t="s">
        <v>3</v>
      </c>
      <c r="DO310">
        <v>0</v>
      </c>
    </row>
    <row r="311" spans="1:119" x14ac:dyDescent="0.2">
      <c r="A311">
        <f>ROW(Source!A134)</f>
        <v>134</v>
      </c>
      <c r="B311">
        <v>145033679</v>
      </c>
      <c r="C311">
        <v>145070994</v>
      </c>
      <c r="D311">
        <v>140923891</v>
      </c>
      <c r="E311">
        <v>1</v>
      </c>
      <c r="F311">
        <v>1</v>
      </c>
      <c r="G311">
        <v>1</v>
      </c>
      <c r="H311">
        <v>2</v>
      </c>
      <c r="I311" t="s">
        <v>1041</v>
      </c>
      <c r="J311" t="s">
        <v>1042</v>
      </c>
      <c r="K311" t="s">
        <v>1043</v>
      </c>
      <c r="L311">
        <v>1367</v>
      </c>
      <c r="N311">
        <v>1011</v>
      </c>
      <c r="O311" t="s">
        <v>79</v>
      </c>
      <c r="P311" t="s">
        <v>79</v>
      </c>
      <c r="Q311">
        <v>1</v>
      </c>
      <c r="W311">
        <v>0</v>
      </c>
      <c r="X311">
        <v>1222335095</v>
      </c>
      <c r="Y311">
        <f t="shared" si="138"/>
        <v>0.08</v>
      </c>
      <c r="AA311">
        <v>0</v>
      </c>
      <c r="AB311">
        <v>1086.1199999999999</v>
      </c>
      <c r="AC311">
        <v>354.26</v>
      </c>
      <c r="AD311">
        <v>0</v>
      </c>
      <c r="AE311">
        <v>0</v>
      </c>
      <c r="AF311">
        <v>89.54</v>
      </c>
      <c r="AG311">
        <v>11.6</v>
      </c>
      <c r="AH311">
        <v>0</v>
      </c>
      <c r="AI311">
        <v>1</v>
      </c>
      <c r="AJ311">
        <v>12.13</v>
      </c>
      <c r="AK311">
        <v>30.54</v>
      </c>
      <c r="AL311">
        <v>1</v>
      </c>
      <c r="AM311">
        <v>4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3</v>
      </c>
      <c r="AT311">
        <v>0.08</v>
      </c>
      <c r="AU311" t="s">
        <v>3</v>
      </c>
      <c r="AV311">
        <v>0</v>
      </c>
      <c r="AW311">
        <v>2</v>
      </c>
      <c r="AX311">
        <v>145070998</v>
      </c>
      <c r="AY311">
        <v>1</v>
      </c>
      <c r="AZ311">
        <v>0</v>
      </c>
      <c r="BA311">
        <v>311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ROUND(Y311*Source!I134,9)</f>
        <v>1.4400000000000001E-3</v>
      </c>
      <c r="CY311">
        <f>AB311</f>
        <v>1086.1199999999999</v>
      </c>
      <c r="CZ311">
        <f>AF311</f>
        <v>89.54</v>
      </c>
      <c r="DA311">
        <f>AJ311</f>
        <v>12.13</v>
      </c>
      <c r="DB311">
        <f t="shared" si="139"/>
        <v>7.16</v>
      </c>
      <c r="DC311">
        <f t="shared" si="140"/>
        <v>0.93</v>
      </c>
      <c r="DD311" t="s">
        <v>3</v>
      </c>
      <c r="DE311" t="s">
        <v>3</v>
      </c>
      <c r="DF311">
        <f>ROUND(ROUND(AE311,2)*CX311,2)</f>
        <v>0</v>
      </c>
      <c r="DG311">
        <f>ROUND(ROUND(AF311*AJ311,2)*CX311,2)</f>
        <v>1.56</v>
      </c>
      <c r="DH311">
        <f>ROUND(ROUND(AG311*AK311,2)*CX311,2)</f>
        <v>0.51</v>
      </c>
      <c r="DI311">
        <f>ROUND(ROUND(AH311,2)*CX311,2)</f>
        <v>0</v>
      </c>
      <c r="DJ311">
        <f>DG311</f>
        <v>1.56</v>
      </c>
      <c r="DK311">
        <v>0</v>
      </c>
      <c r="DL311" t="s">
        <v>3</v>
      </c>
      <c r="DM311">
        <v>0</v>
      </c>
      <c r="DN311" t="s">
        <v>3</v>
      </c>
      <c r="DO311">
        <v>0</v>
      </c>
    </row>
    <row r="312" spans="1:119" x14ac:dyDescent="0.2">
      <c r="A312">
        <f>ROW(Source!A134)</f>
        <v>134</v>
      </c>
      <c r="B312">
        <v>145033679</v>
      </c>
      <c r="C312">
        <v>145070994</v>
      </c>
      <c r="D312">
        <v>140776996</v>
      </c>
      <c r="E312">
        <v>1</v>
      </c>
      <c r="F312">
        <v>1</v>
      </c>
      <c r="G312">
        <v>1</v>
      </c>
      <c r="H312">
        <v>3</v>
      </c>
      <c r="I312" t="s">
        <v>1038</v>
      </c>
      <c r="J312" t="s">
        <v>1039</v>
      </c>
      <c r="K312" t="s">
        <v>1040</v>
      </c>
      <c r="L312">
        <v>1339</v>
      </c>
      <c r="N312">
        <v>1007</v>
      </c>
      <c r="O312" t="s">
        <v>66</v>
      </c>
      <c r="P312" t="s">
        <v>66</v>
      </c>
      <c r="Q312">
        <v>1</v>
      </c>
      <c r="W312">
        <v>0</v>
      </c>
      <c r="X312">
        <v>-1769920836</v>
      </c>
      <c r="Y312">
        <f t="shared" si="138"/>
        <v>0.04</v>
      </c>
      <c r="AA312">
        <v>944.16</v>
      </c>
      <c r="AB312">
        <v>0</v>
      </c>
      <c r="AC312">
        <v>0</v>
      </c>
      <c r="AD312">
        <v>0</v>
      </c>
      <c r="AE312">
        <v>108.4</v>
      </c>
      <c r="AF312">
        <v>0</v>
      </c>
      <c r="AG312">
        <v>0</v>
      </c>
      <c r="AH312">
        <v>0</v>
      </c>
      <c r="AI312">
        <v>8.7100000000000009</v>
      </c>
      <c r="AJ312">
        <v>1</v>
      </c>
      <c r="AK312">
        <v>1</v>
      </c>
      <c r="AL312">
        <v>1</v>
      </c>
      <c r="AM312">
        <v>4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3</v>
      </c>
      <c r="AT312">
        <v>0.04</v>
      </c>
      <c r="AU312" t="s">
        <v>3</v>
      </c>
      <c r="AV312">
        <v>0</v>
      </c>
      <c r="AW312">
        <v>2</v>
      </c>
      <c r="AX312">
        <v>145070999</v>
      </c>
      <c r="AY312">
        <v>1</v>
      </c>
      <c r="AZ312">
        <v>0</v>
      </c>
      <c r="BA312">
        <v>312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ROUND(Y312*Source!I134,9)</f>
        <v>7.2000000000000005E-4</v>
      </c>
      <c r="CY312">
        <f>AA312</f>
        <v>944.16</v>
      </c>
      <c r="CZ312">
        <f>AE312</f>
        <v>108.4</v>
      </c>
      <c r="DA312">
        <f>AI312</f>
        <v>8.7100000000000009</v>
      </c>
      <c r="DB312">
        <f t="shared" si="139"/>
        <v>4.34</v>
      </c>
      <c r="DC312">
        <f t="shared" si="140"/>
        <v>0</v>
      </c>
      <c r="DD312" t="s">
        <v>3</v>
      </c>
      <c r="DE312" t="s">
        <v>3</v>
      </c>
      <c r="DF312">
        <f>ROUND(ROUND(AE312*AI312,2)*CX312,2)</f>
        <v>0.68</v>
      </c>
      <c r="DG312">
        <f>ROUND(ROUND(AF312,2)*CX312,2)</f>
        <v>0</v>
      </c>
      <c r="DH312">
        <f>ROUND(ROUND(AG312,2)*CX312,2)</f>
        <v>0</v>
      </c>
      <c r="DI312">
        <f>ROUND(ROUND(AH312,2)*CX312,2)</f>
        <v>0</v>
      </c>
      <c r="DJ312">
        <f>DF312</f>
        <v>0.68</v>
      </c>
      <c r="DK312">
        <v>0</v>
      </c>
      <c r="DL312" t="s">
        <v>3</v>
      </c>
      <c r="DM312">
        <v>0</v>
      </c>
      <c r="DN312" t="s">
        <v>3</v>
      </c>
      <c r="DO312">
        <v>0</v>
      </c>
    </row>
    <row r="313" spans="1:119" x14ac:dyDescent="0.2">
      <c r="A313">
        <f>ROW(Source!A136)</f>
        <v>136</v>
      </c>
      <c r="B313">
        <v>145033679</v>
      </c>
      <c r="C313">
        <v>145071004</v>
      </c>
      <c r="D313">
        <v>140755423</v>
      </c>
      <c r="E313">
        <v>70</v>
      </c>
      <c r="F313">
        <v>1</v>
      </c>
      <c r="G313">
        <v>1</v>
      </c>
      <c r="H313">
        <v>1</v>
      </c>
      <c r="I313" t="s">
        <v>723</v>
      </c>
      <c r="J313" t="s">
        <v>3</v>
      </c>
      <c r="K313" t="s">
        <v>724</v>
      </c>
      <c r="L313">
        <v>1191</v>
      </c>
      <c r="N313">
        <v>1013</v>
      </c>
      <c r="O313" t="s">
        <v>725</v>
      </c>
      <c r="P313" t="s">
        <v>725</v>
      </c>
      <c r="Q313">
        <v>1</v>
      </c>
      <c r="W313">
        <v>0</v>
      </c>
      <c r="X313">
        <v>2031828327</v>
      </c>
      <c r="Y313">
        <f>((AT313*1.15)*1.15)</f>
        <v>13.013399999999997</v>
      </c>
      <c r="AA313">
        <v>0</v>
      </c>
      <c r="AB313">
        <v>0</v>
      </c>
      <c r="AC313">
        <v>0</v>
      </c>
      <c r="AD313">
        <v>238.21</v>
      </c>
      <c r="AE313">
        <v>0</v>
      </c>
      <c r="AF313">
        <v>0</v>
      </c>
      <c r="AG313">
        <v>0</v>
      </c>
      <c r="AH313">
        <v>7.8</v>
      </c>
      <c r="AI313">
        <v>1</v>
      </c>
      <c r="AJ313">
        <v>1</v>
      </c>
      <c r="AK313">
        <v>1</v>
      </c>
      <c r="AL313">
        <v>30.54</v>
      </c>
      <c r="AM313">
        <v>4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9.84</v>
      </c>
      <c r="AU313" t="s">
        <v>91</v>
      </c>
      <c r="AV313">
        <v>1</v>
      </c>
      <c r="AW313">
        <v>2</v>
      </c>
      <c r="AX313">
        <v>145071010</v>
      </c>
      <c r="AY313">
        <v>1</v>
      </c>
      <c r="AZ313">
        <v>0</v>
      </c>
      <c r="BA313">
        <v>313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ROUND(Y313*Source!I136,9)</f>
        <v>0.53966569799999997</v>
      </c>
      <c r="CY313">
        <f>AD313</f>
        <v>238.21</v>
      </c>
      <c r="CZ313">
        <f>AH313</f>
        <v>7.8</v>
      </c>
      <c r="DA313">
        <f>AL313</f>
        <v>30.54</v>
      </c>
      <c r="DB313">
        <f>ROUND(((ROUND(AT313*CZ313,2)*1.15)*1.15),2)</f>
        <v>101.5</v>
      </c>
      <c r="DC313">
        <f>ROUND(((ROUND(AT313*AG313,2)*1.15)*1.15),2)</f>
        <v>0</v>
      </c>
      <c r="DD313" t="s">
        <v>3</v>
      </c>
      <c r="DE313" t="s">
        <v>3</v>
      </c>
      <c r="DF313">
        <f>ROUND(ROUND(AE313,2)*CX313,2)</f>
        <v>0</v>
      </c>
      <c r="DG313">
        <f>ROUND(ROUND(AF313,2)*CX313,2)</f>
        <v>0</v>
      </c>
      <c r="DH313">
        <f>ROUND(ROUND(AG313,2)*CX313,2)</f>
        <v>0</v>
      </c>
      <c r="DI313">
        <f>ROUND(ROUND(AH313*AL313,2)*CX313,2)</f>
        <v>128.55000000000001</v>
      </c>
      <c r="DJ313">
        <f>DI313</f>
        <v>128.55000000000001</v>
      </c>
      <c r="DK313">
        <v>0</v>
      </c>
      <c r="DL313" t="s">
        <v>3</v>
      </c>
      <c r="DM313">
        <v>0</v>
      </c>
      <c r="DN313" t="s">
        <v>3</v>
      </c>
      <c r="DO313">
        <v>0</v>
      </c>
    </row>
    <row r="314" spans="1:119" x14ac:dyDescent="0.2">
      <c r="A314">
        <f>ROW(Source!A136)</f>
        <v>136</v>
      </c>
      <c r="B314">
        <v>145033679</v>
      </c>
      <c r="C314">
        <v>145071004</v>
      </c>
      <c r="D314">
        <v>140755491</v>
      </c>
      <c r="E314">
        <v>70</v>
      </c>
      <c r="F314">
        <v>1</v>
      </c>
      <c r="G314">
        <v>1</v>
      </c>
      <c r="H314">
        <v>1</v>
      </c>
      <c r="I314" t="s">
        <v>730</v>
      </c>
      <c r="J314" t="s">
        <v>3</v>
      </c>
      <c r="K314" t="s">
        <v>731</v>
      </c>
      <c r="L314">
        <v>1191</v>
      </c>
      <c r="N314">
        <v>1013</v>
      </c>
      <c r="O314" t="s">
        <v>725</v>
      </c>
      <c r="P314" t="s">
        <v>725</v>
      </c>
      <c r="Q314">
        <v>1</v>
      </c>
      <c r="W314">
        <v>0</v>
      </c>
      <c r="X314">
        <v>-1417349443</v>
      </c>
      <c r="Y314">
        <f>((AT314*1.15)*1.25)</f>
        <v>41.011875000000003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1</v>
      </c>
      <c r="AJ314">
        <v>1</v>
      </c>
      <c r="AK314">
        <v>30.54</v>
      </c>
      <c r="AL314">
        <v>1</v>
      </c>
      <c r="AM314">
        <v>4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28.53</v>
      </c>
      <c r="AU314" t="s">
        <v>339</v>
      </c>
      <c r="AV314">
        <v>2</v>
      </c>
      <c r="AW314">
        <v>2</v>
      </c>
      <c r="AX314">
        <v>145071011</v>
      </c>
      <c r="AY314">
        <v>1</v>
      </c>
      <c r="AZ314">
        <v>0</v>
      </c>
      <c r="BA314">
        <v>314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ROUND(Y314*Source!I136,9)</f>
        <v>1.7007624560000001</v>
      </c>
      <c r="CY314">
        <f>AD314</f>
        <v>0</v>
      </c>
      <c r="CZ314">
        <f>AH314</f>
        <v>0</v>
      </c>
      <c r="DA314">
        <f>AL314</f>
        <v>1</v>
      </c>
      <c r="DB314">
        <f>ROUND(((ROUND(AT314*CZ314,2)*1.15)*1.25),2)</f>
        <v>0</v>
      </c>
      <c r="DC314">
        <f>ROUND(((ROUND(AT314*AG314,2)*1.15)*1.25),2)</f>
        <v>0</v>
      </c>
      <c r="DD314" t="s">
        <v>3</v>
      </c>
      <c r="DE314" t="s">
        <v>3</v>
      </c>
      <c r="DF314">
        <f>ROUND(ROUND(AE314,2)*CX314,2)</f>
        <v>0</v>
      </c>
      <c r="DG314">
        <f>ROUND(ROUND(AF314,2)*CX314,2)</f>
        <v>0</v>
      </c>
      <c r="DH314">
        <f>ROUND(ROUND(AG314*AK314,2)*CX314,2)</f>
        <v>0</v>
      </c>
      <c r="DI314">
        <f>ROUND(ROUND(AH314,2)*CX314,2)</f>
        <v>0</v>
      </c>
      <c r="DJ314">
        <f>DI314</f>
        <v>0</v>
      </c>
      <c r="DK314">
        <v>0</v>
      </c>
      <c r="DL314" t="s">
        <v>3</v>
      </c>
      <c r="DM314">
        <v>0</v>
      </c>
      <c r="DN314" t="s">
        <v>3</v>
      </c>
      <c r="DO314">
        <v>0</v>
      </c>
    </row>
    <row r="315" spans="1:119" x14ac:dyDescent="0.2">
      <c r="A315">
        <f>ROW(Source!A136)</f>
        <v>136</v>
      </c>
      <c r="B315">
        <v>145033679</v>
      </c>
      <c r="C315">
        <v>145071004</v>
      </c>
      <c r="D315">
        <v>140922396</v>
      </c>
      <c r="E315">
        <v>1</v>
      </c>
      <c r="F315">
        <v>1</v>
      </c>
      <c r="G315">
        <v>1</v>
      </c>
      <c r="H315">
        <v>2</v>
      </c>
      <c r="I315" t="s">
        <v>1032</v>
      </c>
      <c r="J315" t="s">
        <v>1033</v>
      </c>
      <c r="K315" t="s">
        <v>1034</v>
      </c>
      <c r="L315">
        <v>1367</v>
      </c>
      <c r="N315">
        <v>1011</v>
      </c>
      <c r="O315" t="s">
        <v>79</v>
      </c>
      <c r="P315" t="s">
        <v>79</v>
      </c>
      <c r="Q315">
        <v>1</v>
      </c>
      <c r="W315">
        <v>0</v>
      </c>
      <c r="X315">
        <v>-177383015</v>
      </c>
      <c r="Y315">
        <f>((AT315*1.15)*1.25)</f>
        <v>10.249374999999999</v>
      </c>
      <c r="AA315">
        <v>0</v>
      </c>
      <c r="AB315">
        <v>959.12</v>
      </c>
      <c r="AC315">
        <v>412.29</v>
      </c>
      <c r="AD315">
        <v>0</v>
      </c>
      <c r="AE315">
        <v>0</v>
      </c>
      <c r="AF315">
        <v>79.069999999999993</v>
      </c>
      <c r="AG315">
        <v>13.5</v>
      </c>
      <c r="AH315">
        <v>0</v>
      </c>
      <c r="AI315">
        <v>1</v>
      </c>
      <c r="AJ315">
        <v>12.13</v>
      </c>
      <c r="AK315">
        <v>30.54</v>
      </c>
      <c r="AL315">
        <v>1</v>
      </c>
      <c r="AM315">
        <v>4</v>
      </c>
      <c r="AN315">
        <v>0</v>
      </c>
      <c r="AO315">
        <v>1</v>
      </c>
      <c r="AP315">
        <v>1</v>
      </c>
      <c r="AQ315">
        <v>0</v>
      </c>
      <c r="AR315">
        <v>0</v>
      </c>
      <c r="AS315" t="s">
        <v>3</v>
      </c>
      <c r="AT315">
        <v>7.13</v>
      </c>
      <c r="AU315" t="s">
        <v>339</v>
      </c>
      <c r="AV315">
        <v>0</v>
      </c>
      <c r="AW315">
        <v>2</v>
      </c>
      <c r="AX315">
        <v>145071012</v>
      </c>
      <c r="AY315">
        <v>1</v>
      </c>
      <c r="AZ315">
        <v>0</v>
      </c>
      <c r="BA315">
        <v>315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ROUND(Y315*Source!I136,9)</f>
        <v>0.425041581</v>
      </c>
      <c r="CY315">
        <f>AB315</f>
        <v>959.12</v>
      </c>
      <c r="CZ315">
        <f>AF315</f>
        <v>79.069999999999993</v>
      </c>
      <c r="DA315">
        <f>AJ315</f>
        <v>12.13</v>
      </c>
      <c r="DB315">
        <f>ROUND(((ROUND(AT315*CZ315,2)*1.15)*1.25),2)</f>
        <v>810.42</v>
      </c>
      <c r="DC315">
        <f>ROUND(((ROUND(AT315*AG315,2)*1.15)*1.25),2)</f>
        <v>138.37</v>
      </c>
      <c r="DD315" t="s">
        <v>3</v>
      </c>
      <c r="DE315" t="s">
        <v>3</v>
      </c>
      <c r="DF315">
        <f>ROUND(ROUND(AE315,2)*CX315,2)</f>
        <v>0</v>
      </c>
      <c r="DG315">
        <f>ROUND(ROUND(AF315*AJ315,2)*CX315,2)</f>
        <v>407.67</v>
      </c>
      <c r="DH315">
        <f>ROUND(ROUND(AG315*AK315,2)*CX315,2)</f>
        <v>175.24</v>
      </c>
      <c r="DI315">
        <f>ROUND(ROUND(AH315,2)*CX315,2)</f>
        <v>0</v>
      </c>
      <c r="DJ315">
        <f>DG315</f>
        <v>407.67</v>
      </c>
      <c r="DK315">
        <v>0</v>
      </c>
      <c r="DL315" t="s">
        <v>3</v>
      </c>
      <c r="DM315">
        <v>0</v>
      </c>
      <c r="DN315" t="s">
        <v>3</v>
      </c>
      <c r="DO315">
        <v>0</v>
      </c>
    </row>
    <row r="316" spans="1:119" x14ac:dyDescent="0.2">
      <c r="A316">
        <f>ROW(Source!A136)</f>
        <v>136</v>
      </c>
      <c r="B316">
        <v>145033679</v>
      </c>
      <c r="C316">
        <v>145071004</v>
      </c>
      <c r="D316">
        <v>140922461</v>
      </c>
      <c r="E316">
        <v>1</v>
      </c>
      <c r="F316">
        <v>1</v>
      </c>
      <c r="G316">
        <v>1</v>
      </c>
      <c r="H316">
        <v>2</v>
      </c>
      <c r="I316" t="s">
        <v>1035</v>
      </c>
      <c r="J316" t="s">
        <v>1036</v>
      </c>
      <c r="K316" t="s">
        <v>1037</v>
      </c>
      <c r="L316">
        <v>1367</v>
      </c>
      <c r="N316">
        <v>1011</v>
      </c>
      <c r="O316" t="s">
        <v>79</v>
      </c>
      <c r="P316" t="s">
        <v>79</v>
      </c>
      <c r="Q316">
        <v>1</v>
      </c>
      <c r="W316">
        <v>0</v>
      </c>
      <c r="X316">
        <v>145565111</v>
      </c>
      <c r="Y316">
        <f>((AT316*1.15)*1.25)</f>
        <v>30.762499999999996</v>
      </c>
      <c r="AA316">
        <v>0</v>
      </c>
      <c r="AB316">
        <v>1398.23</v>
      </c>
      <c r="AC316">
        <v>412.29</v>
      </c>
      <c r="AD316">
        <v>0</v>
      </c>
      <c r="AE316">
        <v>0</v>
      </c>
      <c r="AF316">
        <v>115.27</v>
      </c>
      <c r="AG316">
        <v>13.5</v>
      </c>
      <c r="AH316">
        <v>0</v>
      </c>
      <c r="AI316">
        <v>1</v>
      </c>
      <c r="AJ316">
        <v>12.13</v>
      </c>
      <c r="AK316">
        <v>30.54</v>
      </c>
      <c r="AL316">
        <v>1</v>
      </c>
      <c r="AM316">
        <v>4</v>
      </c>
      <c r="AN316">
        <v>0</v>
      </c>
      <c r="AO316">
        <v>1</v>
      </c>
      <c r="AP316">
        <v>1</v>
      </c>
      <c r="AQ316">
        <v>0</v>
      </c>
      <c r="AR316">
        <v>0</v>
      </c>
      <c r="AS316" t="s">
        <v>3</v>
      </c>
      <c r="AT316">
        <v>21.4</v>
      </c>
      <c r="AU316" t="s">
        <v>339</v>
      </c>
      <c r="AV316">
        <v>0</v>
      </c>
      <c r="AW316">
        <v>2</v>
      </c>
      <c r="AX316">
        <v>145071013</v>
      </c>
      <c r="AY316">
        <v>1</v>
      </c>
      <c r="AZ316">
        <v>0</v>
      </c>
      <c r="BA316">
        <v>316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ROUND(Y316*Source!I136,9)</f>
        <v>1.275720875</v>
      </c>
      <c r="CY316">
        <f>AB316</f>
        <v>1398.23</v>
      </c>
      <c r="CZ316">
        <f>AF316</f>
        <v>115.27</v>
      </c>
      <c r="DA316">
        <f>AJ316</f>
        <v>12.13</v>
      </c>
      <c r="DB316">
        <f>ROUND(((ROUND(AT316*CZ316,2)*1.15)*1.25),2)</f>
        <v>3546</v>
      </c>
      <c r="DC316">
        <f>ROUND(((ROUND(AT316*AG316,2)*1.15)*1.25),2)</f>
        <v>415.29</v>
      </c>
      <c r="DD316" t="s">
        <v>3</v>
      </c>
      <c r="DE316" t="s">
        <v>3</v>
      </c>
      <c r="DF316">
        <f>ROUND(ROUND(AE316,2)*CX316,2)</f>
        <v>0</v>
      </c>
      <c r="DG316">
        <f>ROUND(ROUND(AF316*AJ316,2)*CX316,2)</f>
        <v>1783.75</v>
      </c>
      <c r="DH316">
        <f>ROUND(ROUND(AG316*AK316,2)*CX316,2)</f>
        <v>525.97</v>
      </c>
      <c r="DI316">
        <f>ROUND(ROUND(AH316,2)*CX316,2)</f>
        <v>0</v>
      </c>
      <c r="DJ316">
        <f>DG316</f>
        <v>1783.75</v>
      </c>
      <c r="DK316">
        <v>0</v>
      </c>
      <c r="DL316" t="s">
        <v>3</v>
      </c>
      <c r="DM316">
        <v>0</v>
      </c>
      <c r="DN316" t="s">
        <v>3</v>
      </c>
      <c r="DO316">
        <v>0</v>
      </c>
    </row>
    <row r="317" spans="1:119" x14ac:dyDescent="0.2">
      <c r="A317">
        <f>ROW(Source!A136)</f>
        <v>136</v>
      </c>
      <c r="B317">
        <v>145033679</v>
      </c>
      <c r="C317">
        <v>145071004</v>
      </c>
      <c r="D317">
        <v>140776996</v>
      </c>
      <c r="E317">
        <v>1</v>
      </c>
      <c r="F317">
        <v>1</v>
      </c>
      <c r="G317">
        <v>1</v>
      </c>
      <c r="H317">
        <v>3</v>
      </c>
      <c r="I317" t="s">
        <v>1038</v>
      </c>
      <c r="J317" t="s">
        <v>1039</v>
      </c>
      <c r="K317" t="s">
        <v>1040</v>
      </c>
      <c r="L317">
        <v>1339</v>
      </c>
      <c r="N317">
        <v>1007</v>
      </c>
      <c r="O317" t="s">
        <v>66</v>
      </c>
      <c r="P317" t="s">
        <v>66</v>
      </c>
      <c r="Q317">
        <v>1</v>
      </c>
      <c r="W317">
        <v>0</v>
      </c>
      <c r="X317">
        <v>-1769920836</v>
      </c>
      <c r="Y317">
        <f>AT317</f>
        <v>0.04</v>
      </c>
      <c r="AA317">
        <v>944.16</v>
      </c>
      <c r="AB317">
        <v>0</v>
      </c>
      <c r="AC317">
        <v>0</v>
      </c>
      <c r="AD317">
        <v>0</v>
      </c>
      <c r="AE317">
        <v>108.4</v>
      </c>
      <c r="AF317">
        <v>0</v>
      </c>
      <c r="AG317">
        <v>0</v>
      </c>
      <c r="AH317">
        <v>0</v>
      </c>
      <c r="AI317">
        <v>8.7100000000000009</v>
      </c>
      <c r="AJ317">
        <v>1</v>
      </c>
      <c r="AK317">
        <v>1</v>
      </c>
      <c r="AL317">
        <v>1</v>
      </c>
      <c r="AM317">
        <v>4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0.04</v>
      </c>
      <c r="AU317" t="s">
        <v>3</v>
      </c>
      <c r="AV317">
        <v>0</v>
      </c>
      <c r="AW317">
        <v>2</v>
      </c>
      <c r="AX317">
        <v>145071014</v>
      </c>
      <c r="AY317">
        <v>1</v>
      </c>
      <c r="AZ317">
        <v>0</v>
      </c>
      <c r="BA317">
        <v>317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ROUND(Y317*Source!I136,9)</f>
        <v>1.6588E-3</v>
      </c>
      <c r="CY317">
        <f>AA317</f>
        <v>944.16</v>
      </c>
      <c r="CZ317">
        <f>AE317</f>
        <v>108.4</v>
      </c>
      <c r="DA317">
        <f>AI317</f>
        <v>8.7100000000000009</v>
      </c>
      <c r="DB317">
        <f>ROUND(ROUND(AT317*CZ317,2),2)</f>
        <v>4.34</v>
      </c>
      <c r="DC317">
        <f>ROUND(ROUND(AT317*AG317,2),2)</f>
        <v>0</v>
      </c>
      <c r="DD317" t="s">
        <v>3</v>
      </c>
      <c r="DE317" t="s">
        <v>3</v>
      </c>
      <c r="DF317">
        <f>ROUND(ROUND(AE317*AI317,2)*CX317,2)</f>
        <v>1.57</v>
      </c>
      <c r="DG317">
        <f>ROUND(ROUND(AF317,2)*CX317,2)</f>
        <v>0</v>
      </c>
      <c r="DH317">
        <f>ROUND(ROUND(AG317,2)*CX317,2)</f>
        <v>0</v>
      </c>
      <c r="DI317">
        <f>ROUND(ROUND(AH317,2)*CX317,2)</f>
        <v>0</v>
      </c>
      <c r="DJ317">
        <f>DF317</f>
        <v>1.57</v>
      </c>
      <c r="DK317">
        <v>0</v>
      </c>
      <c r="DL317" t="s">
        <v>3</v>
      </c>
      <c r="DM317">
        <v>0</v>
      </c>
      <c r="DN317" t="s">
        <v>3</v>
      </c>
      <c r="DO317">
        <v>0</v>
      </c>
    </row>
    <row r="318" spans="1:119" x14ac:dyDescent="0.2">
      <c r="A318">
        <f>ROW(Source!A137)</f>
        <v>137</v>
      </c>
      <c r="B318">
        <v>145033679</v>
      </c>
      <c r="C318">
        <v>145071016</v>
      </c>
      <c r="D318">
        <v>140759935</v>
      </c>
      <c r="E318">
        <v>70</v>
      </c>
      <c r="F318">
        <v>1</v>
      </c>
      <c r="G318">
        <v>1</v>
      </c>
      <c r="H318">
        <v>1</v>
      </c>
      <c r="I318" t="s">
        <v>723</v>
      </c>
      <c r="J318" t="s">
        <v>3</v>
      </c>
      <c r="K318" t="s">
        <v>724</v>
      </c>
      <c r="L318">
        <v>1191</v>
      </c>
      <c r="N318">
        <v>1013</v>
      </c>
      <c r="O318" t="s">
        <v>725</v>
      </c>
      <c r="P318" t="s">
        <v>725</v>
      </c>
      <c r="Q318">
        <v>1</v>
      </c>
      <c r="W318">
        <v>0</v>
      </c>
      <c r="X318">
        <v>2031828327</v>
      </c>
      <c r="Y318">
        <f>(((AT318*1.15)*1.15)*1.2)</f>
        <v>244.39799999999994</v>
      </c>
      <c r="AA318">
        <v>0</v>
      </c>
      <c r="AB318">
        <v>0</v>
      </c>
      <c r="AC318">
        <v>0</v>
      </c>
      <c r="AD318">
        <v>238.21</v>
      </c>
      <c r="AE318">
        <v>0</v>
      </c>
      <c r="AF318">
        <v>0</v>
      </c>
      <c r="AG318">
        <v>0</v>
      </c>
      <c r="AH318">
        <v>7.8</v>
      </c>
      <c r="AI318">
        <v>1</v>
      </c>
      <c r="AJ318">
        <v>1</v>
      </c>
      <c r="AK318">
        <v>1</v>
      </c>
      <c r="AL318">
        <v>30.54</v>
      </c>
      <c r="AM318">
        <v>4</v>
      </c>
      <c r="AN318">
        <v>0</v>
      </c>
      <c r="AO318">
        <v>1</v>
      </c>
      <c r="AP318">
        <v>1</v>
      </c>
      <c r="AQ318">
        <v>0</v>
      </c>
      <c r="AR318">
        <v>0</v>
      </c>
      <c r="AS318" t="s">
        <v>3</v>
      </c>
      <c r="AT318">
        <v>154</v>
      </c>
      <c r="AU318" t="s">
        <v>463</v>
      </c>
      <c r="AV318">
        <v>1</v>
      </c>
      <c r="AW318">
        <v>2</v>
      </c>
      <c r="AX318">
        <v>145071017</v>
      </c>
      <c r="AY318">
        <v>1</v>
      </c>
      <c r="AZ318">
        <v>0</v>
      </c>
      <c r="BA318">
        <v>318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ROUND(Y318*Source!I137,9)</f>
        <v>11.266747799999999</v>
      </c>
      <c r="CY318">
        <f>AD318</f>
        <v>238.21</v>
      </c>
      <c r="CZ318">
        <f>AH318</f>
        <v>7.8</v>
      </c>
      <c r="DA318">
        <f>AL318</f>
        <v>30.54</v>
      </c>
      <c r="DB318">
        <f>ROUND((((ROUND(AT318*CZ318,2)*1.15)*1.15)*1.2),2)</f>
        <v>1906.3</v>
      </c>
      <c r="DC318">
        <f>ROUND((((ROUND(AT318*AG318,2)*1.15)*1.15)*1.2),2)</f>
        <v>0</v>
      </c>
      <c r="DD318" t="s">
        <v>3</v>
      </c>
      <c r="DE318" t="s">
        <v>3</v>
      </c>
      <c r="DF318">
        <f t="shared" ref="DF318:DF323" si="141">ROUND(ROUND(AE318,2)*CX318,2)</f>
        <v>0</v>
      </c>
      <c r="DG318">
        <f>ROUND(ROUND(AF318,2)*CX318,2)</f>
        <v>0</v>
      </c>
      <c r="DH318">
        <f>ROUND(ROUND(AG318,2)*CX318,2)</f>
        <v>0</v>
      </c>
      <c r="DI318">
        <f>ROUND(ROUND(AH318*AL318,2)*CX318,2)</f>
        <v>2683.85</v>
      </c>
      <c r="DJ318">
        <f>DI318</f>
        <v>2683.85</v>
      </c>
      <c r="DK318">
        <v>0</v>
      </c>
      <c r="DL318" t="s">
        <v>3</v>
      </c>
      <c r="DM318">
        <v>0</v>
      </c>
      <c r="DN318" t="s">
        <v>3</v>
      </c>
      <c r="DO318">
        <v>0</v>
      </c>
    </row>
    <row r="319" spans="1:119" x14ac:dyDescent="0.2">
      <c r="A319">
        <f>ROW(Source!A138)</f>
        <v>138</v>
      </c>
      <c r="B319">
        <v>145033679</v>
      </c>
      <c r="C319">
        <v>145071018</v>
      </c>
      <c r="D319">
        <v>140759906</v>
      </c>
      <c r="E319">
        <v>70</v>
      </c>
      <c r="F319">
        <v>1</v>
      </c>
      <c r="G319">
        <v>1</v>
      </c>
      <c r="H319">
        <v>1</v>
      </c>
      <c r="I319" t="s">
        <v>1044</v>
      </c>
      <c r="J319" t="s">
        <v>3</v>
      </c>
      <c r="K319" t="s">
        <v>1045</v>
      </c>
      <c r="L319">
        <v>1191</v>
      </c>
      <c r="N319">
        <v>1013</v>
      </c>
      <c r="O319" t="s">
        <v>725</v>
      </c>
      <c r="P319" t="s">
        <v>725</v>
      </c>
      <c r="Q319">
        <v>1</v>
      </c>
      <c r="W319">
        <v>0</v>
      </c>
      <c r="X319">
        <v>-1046754522</v>
      </c>
      <c r="Y319">
        <f t="shared" ref="Y319:Y324" si="142">AT319</f>
        <v>61.8</v>
      </c>
      <c r="AA319">
        <v>0</v>
      </c>
      <c r="AB319">
        <v>0</v>
      </c>
      <c r="AC319">
        <v>0</v>
      </c>
      <c r="AD319">
        <v>229.05</v>
      </c>
      <c r="AE319">
        <v>0</v>
      </c>
      <c r="AF319">
        <v>0</v>
      </c>
      <c r="AG319">
        <v>0</v>
      </c>
      <c r="AH319">
        <v>7.5</v>
      </c>
      <c r="AI319">
        <v>1</v>
      </c>
      <c r="AJ319">
        <v>1</v>
      </c>
      <c r="AK319">
        <v>1</v>
      </c>
      <c r="AL319">
        <v>30.54</v>
      </c>
      <c r="AM319">
        <v>4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61.8</v>
      </c>
      <c r="AU319" t="s">
        <v>3</v>
      </c>
      <c r="AV319">
        <v>1</v>
      </c>
      <c r="AW319">
        <v>2</v>
      </c>
      <c r="AX319">
        <v>145071019</v>
      </c>
      <c r="AY319">
        <v>1</v>
      </c>
      <c r="AZ319">
        <v>0</v>
      </c>
      <c r="BA319">
        <v>319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ROUND(Y319*Source!I138,9)</f>
        <v>2.8489800000000001</v>
      </c>
      <c r="CY319">
        <f>AD319</f>
        <v>229.05</v>
      </c>
      <c r="CZ319">
        <f>AH319</f>
        <v>7.5</v>
      </c>
      <c r="DA319">
        <f>AL319</f>
        <v>30.54</v>
      </c>
      <c r="DB319">
        <f t="shared" ref="DB319:DB324" si="143">ROUND(ROUND(AT319*CZ319,2),2)</f>
        <v>463.5</v>
      </c>
      <c r="DC319">
        <f t="shared" ref="DC319:DC324" si="144">ROUND(ROUND(AT319*AG319,2),2)</f>
        <v>0</v>
      </c>
      <c r="DD319" t="s">
        <v>3</v>
      </c>
      <c r="DE319" t="s">
        <v>3</v>
      </c>
      <c r="DF319">
        <f t="shared" si="141"/>
        <v>0</v>
      </c>
      <c r="DG319">
        <f>ROUND(ROUND(AF319,2)*CX319,2)</f>
        <v>0</v>
      </c>
      <c r="DH319">
        <f>ROUND(ROUND(AG319,2)*CX319,2)</f>
        <v>0</v>
      </c>
      <c r="DI319">
        <f>ROUND(ROUND(AH319*AL319,2)*CX319,2)</f>
        <v>652.55999999999995</v>
      </c>
      <c r="DJ319">
        <f>DI319</f>
        <v>652.55999999999995</v>
      </c>
      <c r="DK319">
        <v>0</v>
      </c>
      <c r="DL319" t="s">
        <v>3</v>
      </c>
      <c r="DM319">
        <v>0</v>
      </c>
      <c r="DN319" t="s">
        <v>3</v>
      </c>
      <c r="DO319">
        <v>0</v>
      </c>
    </row>
    <row r="320" spans="1:119" x14ac:dyDescent="0.2">
      <c r="A320">
        <f>ROW(Source!A140)</f>
        <v>140</v>
      </c>
      <c r="B320">
        <v>145033679</v>
      </c>
      <c r="C320">
        <v>145071036</v>
      </c>
      <c r="D320">
        <v>140755423</v>
      </c>
      <c r="E320">
        <v>70</v>
      </c>
      <c r="F320">
        <v>1</v>
      </c>
      <c r="G320">
        <v>1</v>
      </c>
      <c r="H320">
        <v>1</v>
      </c>
      <c r="I320" t="s">
        <v>723</v>
      </c>
      <c r="J320" t="s">
        <v>3</v>
      </c>
      <c r="K320" t="s">
        <v>724</v>
      </c>
      <c r="L320">
        <v>1191</v>
      </c>
      <c r="N320">
        <v>1013</v>
      </c>
      <c r="O320" t="s">
        <v>725</v>
      </c>
      <c r="P320" t="s">
        <v>725</v>
      </c>
      <c r="Q320">
        <v>1</v>
      </c>
      <c r="W320">
        <v>0</v>
      </c>
      <c r="X320">
        <v>2031828327</v>
      </c>
      <c r="Y320">
        <f t="shared" si="142"/>
        <v>3.32</v>
      </c>
      <c r="AA320">
        <v>0</v>
      </c>
      <c r="AB320">
        <v>0</v>
      </c>
      <c r="AC320">
        <v>0</v>
      </c>
      <c r="AD320">
        <v>238.21</v>
      </c>
      <c r="AE320">
        <v>0</v>
      </c>
      <c r="AF320">
        <v>0</v>
      </c>
      <c r="AG320">
        <v>0</v>
      </c>
      <c r="AH320">
        <v>7.8</v>
      </c>
      <c r="AI320">
        <v>1</v>
      </c>
      <c r="AJ320">
        <v>1</v>
      </c>
      <c r="AK320">
        <v>1</v>
      </c>
      <c r="AL320">
        <v>30.54</v>
      </c>
      <c r="AM320">
        <v>4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3.32</v>
      </c>
      <c r="AU320" t="s">
        <v>3</v>
      </c>
      <c r="AV320">
        <v>1</v>
      </c>
      <c r="AW320">
        <v>2</v>
      </c>
      <c r="AX320">
        <v>145071042</v>
      </c>
      <c r="AY320">
        <v>1</v>
      </c>
      <c r="AZ320">
        <v>0</v>
      </c>
      <c r="BA320">
        <v>320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ROUND(Y320*Source!I140,9)</f>
        <v>0.1529856</v>
      </c>
      <c r="CY320">
        <f>AD320</f>
        <v>238.21</v>
      </c>
      <c r="CZ320">
        <f>AH320</f>
        <v>7.8</v>
      </c>
      <c r="DA320">
        <f>AL320</f>
        <v>30.54</v>
      </c>
      <c r="DB320">
        <f t="shared" si="143"/>
        <v>25.9</v>
      </c>
      <c r="DC320">
        <f t="shared" si="144"/>
        <v>0</v>
      </c>
      <c r="DD320" t="s">
        <v>3</v>
      </c>
      <c r="DE320" t="s">
        <v>3</v>
      </c>
      <c r="DF320">
        <f t="shared" si="141"/>
        <v>0</v>
      </c>
      <c r="DG320">
        <f>ROUND(ROUND(AF320,2)*CX320,2)</f>
        <v>0</v>
      </c>
      <c r="DH320">
        <f>ROUND(ROUND(AG320,2)*CX320,2)</f>
        <v>0</v>
      </c>
      <c r="DI320">
        <f>ROUND(ROUND(AH320*AL320,2)*CX320,2)</f>
        <v>36.44</v>
      </c>
      <c r="DJ320">
        <f>DI320</f>
        <v>36.44</v>
      </c>
      <c r="DK320">
        <v>0</v>
      </c>
      <c r="DL320" t="s">
        <v>3</v>
      </c>
      <c r="DM320">
        <v>0</v>
      </c>
      <c r="DN320" t="s">
        <v>3</v>
      </c>
      <c r="DO320">
        <v>0</v>
      </c>
    </row>
    <row r="321" spans="1:119" x14ac:dyDescent="0.2">
      <c r="A321">
        <f>ROW(Source!A140)</f>
        <v>140</v>
      </c>
      <c r="B321">
        <v>145033679</v>
      </c>
      <c r="C321">
        <v>145071036</v>
      </c>
      <c r="D321">
        <v>140755491</v>
      </c>
      <c r="E321">
        <v>70</v>
      </c>
      <c r="F321">
        <v>1</v>
      </c>
      <c r="G321">
        <v>1</v>
      </c>
      <c r="H321">
        <v>1</v>
      </c>
      <c r="I321" t="s">
        <v>730</v>
      </c>
      <c r="J321" t="s">
        <v>3</v>
      </c>
      <c r="K321" t="s">
        <v>731</v>
      </c>
      <c r="L321">
        <v>1191</v>
      </c>
      <c r="N321">
        <v>1013</v>
      </c>
      <c r="O321" t="s">
        <v>725</v>
      </c>
      <c r="P321" t="s">
        <v>725</v>
      </c>
      <c r="Q321">
        <v>1</v>
      </c>
      <c r="W321">
        <v>0</v>
      </c>
      <c r="X321">
        <v>-1417349443</v>
      </c>
      <c r="Y321">
        <f t="shared" si="142"/>
        <v>3.69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</v>
      </c>
      <c r="AJ321">
        <v>1</v>
      </c>
      <c r="AK321">
        <v>30.54</v>
      </c>
      <c r="AL321">
        <v>1</v>
      </c>
      <c r="AM321">
        <v>4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3</v>
      </c>
      <c r="AT321">
        <v>3.69</v>
      </c>
      <c r="AU321" t="s">
        <v>3</v>
      </c>
      <c r="AV321">
        <v>2</v>
      </c>
      <c r="AW321">
        <v>2</v>
      </c>
      <c r="AX321">
        <v>145071043</v>
      </c>
      <c r="AY321">
        <v>1</v>
      </c>
      <c r="AZ321">
        <v>0</v>
      </c>
      <c r="BA321">
        <v>321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ROUND(Y321*Source!I140,9)</f>
        <v>0.1700352</v>
      </c>
      <c r="CY321">
        <f>AD321</f>
        <v>0</v>
      </c>
      <c r="CZ321">
        <f>AH321</f>
        <v>0</v>
      </c>
      <c r="DA321">
        <f>AL321</f>
        <v>1</v>
      </c>
      <c r="DB321">
        <f t="shared" si="143"/>
        <v>0</v>
      </c>
      <c r="DC321">
        <f t="shared" si="144"/>
        <v>0</v>
      </c>
      <c r="DD321" t="s">
        <v>3</v>
      </c>
      <c r="DE321" t="s">
        <v>3</v>
      </c>
      <c r="DF321">
        <f t="shared" si="141"/>
        <v>0</v>
      </c>
      <c r="DG321">
        <f>ROUND(ROUND(AF321,2)*CX321,2)</f>
        <v>0</v>
      </c>
      <c r="DH321">
        <f>ROUND(ROUND(AG321*AK321,2)*CX321,2)</f>
        <v>0</v>
      </c>
      <c r="DI321">
        <f>ROUND(ROUND(AH321,2)*CX321,2)</f>
        <v>0</v>
      </c>
      <c r="DJ321">
        <f>DI321</f>
        <v>0</v>
      </c>
      <c r="DK321">
        <v>0</v>
      </c>
      <c r="DL321" t="s">
        <v>3</v>
      </c>
      <c r="DM321">
        <v>0</v>
      </c>
      <c r="DN321" t="s">
        <v>3</v>
      </c>
      <c r="DO321">
        <v>0</v>
      </c>
    </row>
    <row r="322" spans="1:119" x14ac:dyDescent="0.2">
      <c r="A322">
        <f>ROW(Source!A140)</f>
        <v>140</v>
      </c>
      <c r="B322">
        <v>145033679</v>
      </c>
      <c r="C322">
        <v>145071036</v>
      </c>
      <c r="D322">
        <v>140922396</v>
      </c>
      <c r="E322">
        <v>1</v>
      </c>
      <c r="F322">
        <v>1</v>
      </c>
      <c r="G322">
        <v>1</v>
      </c>
      <c r="H322">
        <v>2</v>
      </c>
      <c r="I322" t="s">
        <v>1032</v>
      </c>
      <c r="J322" t="s">
        <v>1033</v>
      </c>
      <c r="K322" t="s">
        <v>1034</v>
      </c>
      <c r="L322">
        <v>1367</v>
      </c>
      <c r="N322">
        <v>1011</v>
      </c>
      <c r="O322" t="s">
        <v>79</v>
      </c>
      <c r="P322" t="s">
        <v>79</v>
      </c>
      <c r="Q322">
        <v>1</v>
      </c>
      <c r="W322">
        <v>0</v>
      </c>
      <c r="X322">
        <v>-177383015</v>
      </c>
      <c r="Y322">
        <f t="shared" si="142"/>
        <v>3.61</v>
      </c>
      <c r="AA322">
        <v>0</v>
      </c>
      <c r="AB322">
        <v>959.12</v>
      </c>
      <c r="AC322">
        <v>412.29</v>
      </c>
      <c r="AD322">
        <v>0</v>
      </c>
      <c r="AE322">
        <v>0</v>
      </c>
      <c r="AF322">
        <v>79.069999999999993</v>
      </c>
      <c r="AG322">
        <v>13.5</v>
      </c>
      <c r="AH322">
        <v>0</v>
      </c>
      <c r="AI322">
        <v>1</v>
      </c>
      <c r="AJ322">
        <v>12.13</v>
      </c>
      <c r="AK322">
        <v>30.54</v>
      </c>
      <c r="AL322">
        <v>1</v>
      </c>
      <c r="AM322">
        <v>4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3.61</v>
      </c>
      <c r="AU322" t="s">
        <v>3</v>
      </c>
      <c r="AV322">
        <v>0</v>
      </c>
      <c r="AW322">
        <v>2</v>
      </c>
      <c r="AX322">
        <v>145071044</v>
      </c>
      <c r="AY322">
        <v>1</v>
      </c>
      <c r="AZ322">
        <v>0</v>
      </c>
      <c r="BA322">
        <v>322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ROUND(Y322*Source!I140,9)</f>
        <v>0.16634879999999999</v>
      </c>
      <c r="CY322">
        <f>AB322</f>
        <v>959.12</v>
      </c>
      <c r="CZ322">
        <f>AF322</f>
        <v>79.069999999999993</v>
      </c>
      <c r="DA322">
        <f>AJ322</f>
        <v>12.13</v>
      </c>
      <c r="DB322">
        <f t="shared" si="143"/>
        <v>285.44</v>
      </c>
      <c r="DC322">
        <f t="shared" si="144"/>
        <v>48.74</v>
      </c>
      <c r="DD322" t="s">
        <v>3</v>
      </c>
      <c r="DE322" t="s">
        <v>3</v>
      </c>
      <c r="DF322">
        <f t="shared" si="141"/>
        <v>0</v>
      </c>
      <c r="DG322">
        <f>ROUND(ROUND(AF322*AJ322,2)*CX322,2)</f>
        <v>159.55000000000001</v>
      </c>
      <c r="DH322">
        <f>ROUND(ROUND(AG322*AK322,2)*CX322,2)</f>
        <v>68.58</v>
      </c>
      <c r="DI322">
        <f>ROUND(ROUND(AH322,2)*CX322,2)</f>
        <v>0</v>
      </c>
      <c r="DJ322">
        <f>DG322</f>
        <v>159.55000000000001</v>
      </c>
      <c r="DK322">
        <v>0</v>
      </c>
      <c r="DL322" t="s">
        <v>3</v>
      </c>
      <c r="DM322">
        <v>0</v>
      </c>
      <c r="DN322" t="s">
        <v>3</v>
      </c>
      <c r="DO322">
        <v>0</v>
      </c>
    </row>
    <row r="323" spans="1:119" x14ac:dyDescent="0.2">
      <c r="A323">
        <f>ROW(Source!A140)</f>
        <v>140</v>
      </c>
      <c r="B323">
        <v>145033679</v>
      </c>
      <c r="C323">
        <v>145071036</v>
      </c>
      <c r="D323">
        <v>140923891</v>
      </c>
      <c r="E323">
        <v>1</v>
      </c>
      <c r="F323">
        <v>1</v>
      </c>
      <c r="G323">
        <v>1</v>
      </c>
      <c r="H323">
        <v>2</v>
      </c>
      <c r="I323" t="s">
        <v>1041</v>
      </c>
      <c r="J323" t="s">
        <v>1042</v>
      </c>
      <c r="K323" t="s">
        <v>1043</v>
      </c>
      <c r="L323">
        <v>1367</v>
      </c>
      <c r="N323">
        <v>1011</v>
      </c>
      <c r="O323" t="s">
        <v>79</v>
      </c>
      <c r="P323" t="s">
        <v>79</v>
      </c>
      <c r="Q323">
        <v>1</v>
      </c>
      <c r="W323">
        <v>0</v>
      </c>
      <c r="X323">
        <v>1222335095</v>
      </c>
      <c r="Y323">
        <f t="shared" si="142"/>
        <v>0.08</v>
      </c>
      <c r="AA323">
        <v>0</v>
      </c>
      <c r="AB323">
        <v>1086.1199999999999</v>
      </c>
      <c r="AC323">
        <v>354.26</v>
      </c>
      <c r="AD323">
        <v>0</v>
      </c>
      <c r="AE323">
        <v>0</v>
      </c>
      <c r="AF323">
        <v>89.54</v>
      </c>
      <c r="AG323">
        <v>11.6</v>
      </c>
      <c r="AH323">
        <v>0</v>
      </c>
      <c r="AI323">
        <v>1</v>
      </c>
      <c r="AJ323">
        <v>12.13</v>
      </c>
      <c r="AK323">
        <v>30.54</v>
      </c>
      <c r="AL323">
        <v>1</v>
      </c>
      <c r="AM323">
        <v>4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3</v>
      </c>
      <c r="AT323">
        <v>0.08</v>
      </c>
      <c r="AU323" t="s">
        <v>3</v>
      </c>
      <c r="AV323">
        <v>0</v>
      </c>
      <c r="AW323">
        <v>2</v>
      </c>
      <c r="AX323">
        <v>145071045</v>
      </c>
      <c r="AY323">
        <v>1</v>
      </c>
      <c r="AZ323">
        <v>0</v>
      </c>
      <c r="BA323">
        <v>323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ROUND(Y323*Source!I140,9)</f>
        <v>3.6863999999999998E-3</v>
      </c>
      <c r="CY323">
        <f>AB323</f>
        <v>1086.1199999999999</v>
      </c>
      <c r="CZ323">
        <f>AF323</f>
        <v>89.54</v>
      </c>
      <c r="DA323">
        <f>AJ323</f>
        <v>12.13</v>
      </c>
      <c r="DB323">
        <f t="shared" si="143"/>
        <v>7.16</v>
      </c>
      <c r="DC323">
        <f t="shared" si="144"/>
        <v>0.93</v>
      </c>
      <c r="DD323" t="s">
        <v>3</v>
      </c>
      <c r="DE323" t="s">
        <v>3</v>
      </c>
      <c r="DF323">
        <f t="shared" si="141"/>
        <v>0</v>
      </c>
      <c r="DG323">
        <f>ROUND(ROUND(AF323*AJ323,2)*CX323,2)</f>
        <v>4</v>
      </c>
      <c r="DH323">
        <f>ROUND(ROUND(AG323*AK323,2)*CX323,2)</f>
        <v>1.31</v>
      </c>
      <c r="DI323">
        <f>ROUND(ROUND(AH323,2)*CX323,2)</f>
        <v>0</v>
      </c>
      <c r="DJ323">
        <f>DG323</f>
        <v>4</v>
      </c>
      <c r="DK323">
        <v>0</v>
      </c>
      <c r="DL323" t="s">
        <v>3</v>
      </c>
      <c r="DM323">
        <v>0</v>
      </c>
      <c r="DN323" t="s">
        <v>3</v>
      </c>
      <c r="DO323">
        <v>0</v>
      </c>
    </row>
    <row r="324" spans="1:119" x14ac:dyDescent="0.2">
      <c r="A324">
        <f>ROW(Source!A140)</f>
        <v>140</v>
      </c>
      <c r="B324">
        <v>145033679</v>
      </c>
      <c r="C324">
        <v>145071036</v>
      </c>
      <c r="D324">
        <v>140776996</v>
      </c>
      <c r="E324">
        <v>1</v>
      </c>
      <c r="F324">
        <v>1</v>
      </c>
      <c r="G324">
        <v>1</v>
      </c>
      <c r="H324">
        <v>3</v>
      </c>
      <c r="I324" t="s">
        <v>1038</v>
      </c>
      <c r="J324" t="s">
        <v>1039</v>
      </c>
      <c r="K324" t="s">
        <v>1040</v>
      </c>
      <c r="L324">
        <v>1339</v>
      </c>
      <c r="N324">
        <v>1007</v>
      </c>
      <c r="O324" t="s">
        <v>66</v>
      </c>
      <c r="P324" t="s">
        <v>66</v>
      </c>
      <c r="Q324">
        <v>1</v>
      </c>
      <c r="W324">
        <v>0</v>
      </c>
      <c r="X324">
        <v>-1769920836</v>
      </c>
      <c r="Y324">
        <f t="shared" si="142"/>
        <v>0.04</v>
      </c>
      <c r="AA324">
        <v>944.16</v>
      </c>
      <c r="AB324">
        <v>0</v>
      </c>
      <c r="AC324">
        <v>0</v>
      </c>
      <c r="AD324">
        <v>0</v>
      </c>
      <c r="AE324">
        <v>108.4</v>
      </c>
      <c r="AF324">
        <v>0</v>
      </c>
      <c r="AG324">
        <v>0</v>
      </c>
      <c r="AH324">
        <v>0</v>
      </c>
      <c r="AI324">
        <v>8.7100000000000009</v>
      </c>
      <c r="AJ324">
        <v>1</v>
      </c>
      <c r="AK324">
        <v>1</v>
      </c>
      <c r="AL324">
        <v>1</v>
      </c>
      <c r="AM324">
        <v>4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0.04</v>
      </c>
      <c r="AU324" t="s">
        <v>3</v>
      </c>
      <c r="AV324">
        <v>0</v>
      </c>
      <c r="AW324">
        <v>2</v>
      </c>
      <c r="AX324">
        <v>145071046</v>
      </c>
      <c r="AY324">
        <v>1</v>
      </c>
      <c r="AZ324">
        <v>0</v>
      </c>
      <c r="BA324">
        <v>324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ROUND(Y324*Source!I140,9)</f>
        <v>1.8431999999999999E-3</v>
      </c>
      <c r="CY324">
        <f>AA324</f>
        <v>944.16</v>
      </c>
      <c r="CZ324">
        <f>AE324</f>
        <v>108.4</v>
      </c>
      <c r="DA324">
        <f>AI324</f>
        <v>8.7100000000000009</v>
      </c>
      <c r="DB324">
        <f t="shared" si="143"/>
        <v>4.34</v>
      </c>
      <c r="DC324">
        <f t="shared" si="144"/>
        <v>0</v>
      </c>
      <c r="DD324" t="s">
        <v>3</v>
      </c>
      <c r="DE324" t="s">
        <v>3</v>
      </c>
      <c r="DF324">
        <f>ROUND(ROUND(AE324*AI324,2)*CX324,2)</f>
        <v>1.74</v>
      </c>
      <c r="DG324">
        <f>ROUND(ROUND(AF324,2)*CX324,2)</f>
        <v>0</v>
      </c>
      <c r="DH324">
        <f>ROUND(ROUND(AG324,2)*CX324,2)</f>
        <v>0</v>
      </c>
      <c r="DI324">
        <f>ROUND(ROUND(AH324,2)*CX324,2)</f>
        <v>0</v>
      </c>
      <c r="DJ324">
        <f>DF324</f>
        <v>1.74</v>
      </c>
      <c r="DK324">
        <v>0</v>
      </c>
      <c r="DL324" t="s">
        <v>3</v>
      </c>
      <c r="DM324">
        <v>0</v>
      </c>
      <c r="DN324" t="s">
        <v>3</v>
      </c>
      <c r="DO324">
        <v>0</v>
      </c>
    </row>
    <row r="325" spans="1:119" x14ac:dyDescent="0.2">
      <c r="A325">
        <f>ROW(Source!A141)</f>
        <v>141</v>
      </c>
      <c r="B325">
        <v>145033679</v>
      </c>
      <c r="C325">
        <v>145041754</v>
      </c>
      <c r="D325">
        <v>140759945</v>
      </c>
      <c r="E325">
        <v>70</v>
      </c>
      <c r="F325">
        <v>1</v>
      </c>
      <c r="G325">
        <v>1</v>
      </c>
      <c r="H325">
        <v>1</v>
      </c>
      <c r="I325" t="s">
        <v>1046</v>
      </c>
      <c r="J325" t="s">
        <v>3</v>
      </c>
      <c r="K325" t="s">
        <v>1047</v>
      </c>
      <c r="L325">
        <v>1191</v>
      </c>
      <c r="N325">
        <v>1013</v>
      </c>
      <c r="O325" t="s">
        <v>725</v>
      </c>
      <c r="P325" t="s">
        <v>725</v>
      </c>
      <c r="Q325">
        <v>1</v>
      </c>
      <c r="W325">
        <v>0</v>
      </c>
      <c r="X325">
        <v>-366857280</v>
      </c>
      <c r="Y325">
        <f>((AT325*1.15)*1.15)</f>
        <v>1.0315499999999997</v>
      </c>
      <c r="AA325">
        <v>0</v>
      </c>
      <c r="AB325">
        <v>0</v>
      </c>
      <c r="AC325">
        <v>0</v>
      </c>
      <c r="AD325">
        <v>242.49</v>
      </c>
      <c r="AE325">
        <v>0</v>
      </c>
      <c r="AF325">
        <v>0</v>
      </c>
      <c r="AG325">
        <v>0</v>
      </c>
      <c r="AH325">
        <v>7.94</v>
      </c>
      <c r="AI325">
        <v>1</v>
      </c>
      <c r="AJ325">
        <v>1</v>
      </c>
      <c r="AK325">
        <v>1</v>
      </c>
      <c r="AL325">
        <v>30.54</v>
      </c>
      <c r="AM325">
        <v>4</v>
      </c>
      <c r="AN325">
        <v>0</v>
      </c>
      <c r="AO325">
        <v>1</v>
      </c>
      <c r="AP325">
        <v>1</v>
      </c>
      <c r="AQ325">
        <v>0</v>
      </c>
      <c r="AR325">
        <v>0</v>
      </c>
      <c r="AS325" t="s">
        <v>3</v>
      </c>
      <c r="AT325">
        <v>0.78</v>
      </c>
      <c r="AU325" t="s">
        <v>91</v>
      </c>
      <c r="AV325">
        <v>1</v>
      </c>
      <c r="AW325">
        <v>2</v>
      </c>
      <c r="AX325">
        <v>145041797</v>
      </c>
      <c r="AY325">
        <v>1</v>
      </c>
      <c r="AZ325">
        <v>0</v>
      </c>
      <c r="BA325">
        <v>325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ROUND(Y325*Source!I141,9)</f>
        <v>17.825184</v>
      </c>
      <c r="CY325">
        <f>AD325</f>
        <v>242.49</v>
      </c>
      <c r="CZ325">
        <f>AH325</f>
        <v>7.94</v>
      </c>
      <c r="DA325">
        <f>AL325</f>
        <v>30.54</v>
      </c>
      <c r="DB325">
        <f>ROUND(((ROUND(AT325*CZ325,2)*1.15)*1.15),2)</f>
        <v>8.19</v>
      </c>
      <c r="DC325">
        <f>ROUND(((ROUND(AT325*AG325,2)*1.15)*1.15),2)</f>
        <v>0</v>
      </c>
      <c r="DD325" t="s">
        <v>3</v>
      </c>
      <c r="DE325" t="s">
        <v>3</v>
      </c>
      <c r="DF325">
        <f>ROUND(ROUND(AE325,2)*CX325,2)</f>
        <v>0</v>
      </c>
      <c r="DG325">
        <f>ROUND(ROUND(AF325,2)*CX325,2)</f>
        <v>0</v>
      </c>
      <c r="DH325">
        <f>ROUND(ROUND(AG325,2)*CX325,2)</f>
        <v>0</v>
      </c>
      <c r="DI325">
        <f>ROUND(ROUND(AH325*AL325,2)*CX325,2)</f>
        <v>4322.43</v>
      </c>
      <c r="DJ325">
        <f>DI325</f>
        <v>4322.43</v>
      </c>
      <c r="DK325">
        <v>0</v>
      </c>
      <c r="DL325" t="s">
        <v>3</v>
      </c>
      <c r="DM325">
        <v>0</v>
      </c>
      <c r="DN325" t="s">
        <v>3</v>
      </c>
      <c r="DO325">
        <v>0</v>
      </c>
    </row>
    <row r="326" spans="1:119" x14ac:dyDescent="0.2">
      <c r="A326">
        <f>ROW(Source!A141)</f>
        <v>141</v>
      </c>
      <c r="B326">
        <v>145033679</v>
      </c>
      <c r="C326">
        <v>145041754</v>
      </c>
      <c r="D326">
        <v>140760225</v>
      </c>
      <c r="E326">
        <v>70</v>
      </c>
      <c r="F326">
        <v>1</v>
      </c>
      <c r="G326">
        <v>1</v>
      </c>
      <c r="H326">
        <v>1</v>
      </c>
      <c r="I326" t="s">
        <v>730</v>
      </c>
      <c r="J326" t="s">
        <v>3</v>
      </c>
      <c r="K326" t="s">
        <v>731</v>
      </c>
      <c r="L326">
        <v>1191</v>
      </c>
      <c r="N326">
        <v>1013</v>
      </c>
      <c r="O326" t="s">
        <v>725</v>
      </c>
      <c r="P326" t="s">
        <v>725</v>
      </c>
      <c r="Q326">
        <v>1</v>
      </c>
      <c r="W326">
        <v>0</v>
      </c>
      <c r="X326">
        <v>-1417349443</v>
      </c>
      <c r="Y326">
        <f>((AT326*1.25)*1.15)</f>
        <v>0.10062500000000001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1</v>
      </c>
      <c r="AK326">
        <v>30.54</v>
      </c>
      <c r="AL326">
        <v>1</v>
      </c>
      <c r="AM326">
        <v>4</v>
      </c>
      <c r="AN326">
        <v>0</v>
      </c>
      <c r="AO326">
        <v>1</v>
      </c>
      <c r="AP326">
        <v>1</v>
      </c>
      <c r="AQ326">
        <v>0</v>
      </c>
      <c r="AR326">
        <v>0</v>
      </c>
      <c r="AS326" t="s">
        <v>3</v>
      </c>
      <c r="AT326">
        <v>7.0000000000000007E-2</v>
      </c>
      <c r="AU326" t="s">
        <v>90</v>
      </c>
      <c r="AV326">
        <v>2</v>
      </c>
      <c r="AW326">
        <v>2</v>
      </c>
      <c r="AX326">
        <v>145041798</v>
      </c>
      <c r="AY326">
        <v>1</v>
      </c>
      <c r="AZ326">
        <v>0</v>
      </c>
      <c r="BA326">
        <v>326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ROUND(Y326*Source!I141,9)</f>
        <v>1.7387999999999999</v>
      </c>
      <c r="CY326">
        <f>AD326</f>
        <v>0</v>
      </c>
      <c r="CZ326">
        <f>AH326</f>
        <v>0</v>
      </c>
      <c r="DA326">
        <f>AL326</f>
        <v>1</v>
      </c>
      <c r="DB326">
        <f>ROUND(((ROUND(AT326*CZ326,2)*1.25)*1.15),2)</f>
        <v>0</v>
      </c>
      <c r="DC326">
        <f>ROUND(((ROUND(AT326*AG326,2)*1.25)*1.15),2)</f>
        <v>0</v>
      </c>
      <c r="DD326" t="s">
        <v>3</v>
      </c>
      <c r="DE326" t="s">
        <v>3</v>
      </c>
      <c r="DF326">
        <f>ROUND(ROUND(AE326,2)*CX326,2)</f>
        <v>0</v>
      </c>
      <c r="DG326">
        <f>ROUND(ROUND(AF326,2)*CX326,2)</f>
        <v>0</v>
      </c>
      <c r="DH326">
        <f>ROUND(ROUND(AG326*AK326,2)*CX326,2)</f>
        <v>0</v>
      </c>
      <c r="DI326">
        <f>ROUND(ROUND(AH326,2)*CX326,2)</f>
        <v>0</v>
      </c>
      <c r="DJ326">
        <f>DI326</f>
        <v>0</v>
      </c>
      <c r="DK326">
        <v>0</v>
      </c>
      <c r="DL326" t="s">
        <v>3</v>
      </c>
      <c r="DM326">
        <v>0</v>
      </c>
      <c r="DN326" t="s">
        <v>3</v>
      </c>
      <c r="DO326">
        <v>0</v>
      </c>
    </row>
    <row r="327" spans="1:119" x14ac:dyDescent="0.2">
      <c r="A327">
        <f>ROW(Source!A141)</f>
        <v>141</v>
      </c>
      <c r="B327">
        <v>145033679</v>
      </c>
      <c r="C327">
        <v>145041754</v>
      </c>
      <c r="D327">
        <v>140923124</v>
      </c>
      <c r="E327">
        <v>1</v>
      </c>
      <c r="F327">
        <v>1</v>
      </c>
      <c r="G327">
        <v>1</v>
      </c>
      <c r="H327">
        <v>2</v>
      </c>
      <c r="I327" t="s">
        <v>1048</v>
      </c>
      <c r="J327" t="s">
        <v>1049</v>
      </c>
      <c r="K327" t="s">
        <v>1050</v>
      </c>
      <c r="L327">
        <v>1367</v>
      </c>
      <c r="N327">
        <v>1011</v>
      </c>
      <c r="O327" t="s">
        <v>79</v>
      </c>
      <c r="P327" t="s">
        <v>79</v>
      </c>
      <c r="Q327">
        <v>1</v>
      </c>
      <c r="W327">
        <v>0</v>
      </c>
      <c r="X327">
        <v>-1887195257</v>
      </c>
      <c r="Y327">
        <f>((AT327*1.25)*1.15)</f>
        <v>0.10062500000000001</v>
      </c>
      <c r="AA327">
        <v>0</v>
      </c>
      <c r="AB327">
        <v>1096.55</v>
      </c>
      <c r="AC327">
        <v>354.26</v>
      </c>
      <c r="AD327">
        <v>0</v>
      </c>
      <c r="AE327">
        <v>0</v>
      </c>
      <c r="AF327">
        <v>90.4</v>
      </c>
      <c r="AG327">
        <v>11.6</v>
      </c>
      <c r="AH327">
        <v>0</v>
      </c>
      <c r="AI327">
        <v>1</v>
      </c>
      <c r="AJ327">
        <v>12.13</v>
      </c>
      <c r="AK327">
        <v>30.54</v>
      </c>
      <c r="AL327">
        <v>1</v>
      </c>
      <c r="AM327">
        <v>4</v>
      </c>
      <c r="AN327">
        <v>0</v>
      </c>
      <c r="AO327">
        <v>1</v>
      </c>
      <c r="AP327">
        <v>1</v>
      </c>
      <c r="AQ327">
        <v>0</v>
      </c>
      <c r="AR327">
        <v>0</v>
      </c>
      <c r="AS327" t="s">
        <v>3</v>
      </c>
      <c r="AT327">
        <v>7.0000000000000007E-2</v>
      </c>
      <c r="AU327" t="s">
        <v>90</v>
      </c>
      <c r="AV327">
        <v>0</v>
      </c>
      <c r="AW327">
        <v>2</v>
      </c>
      <c r="AX327">
        <v>145041799</v>
      </c>
      <c r="AY327">
        <v>1</v>
      </c>
      <c r="AZ327">
        <v>0</v>
      </c>
      <c r="BA327">
        <v>327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ROUND(Y327*Source!I141,9)</f>
        <v>1.7387999999999999</v>
      </c>
      <c r="CY327">
        <f>AB327</f>
        <v>1096.55</v>
      </c>
      <c r="CZ327">
        <f>AF327</f>
        <v>90.4</v>
      </c>
      <c r="DA327">
        <f>AJ327</f>
        <v>12.13</v>
      </c>
      <c r="DB327">
        <f>ROUND(((ROUND(AT327*CZ327,2)*1.25)*1.15),2)</f>
        <v>9.1</v>
      </c>
      <c r="DC327">
        <f>ROUND(((ROUND(AT327*AG327,2)*1.25)*1.15),2)</f>
        <v>1.1599999999999999</v>
      </c>
      <c r="DD327" t="s">
        <v>3</v>
      </c>
      <c r="DE327" t="s">
        <v>3</v>
      </c>
      <c r="DF327">
        <f>ROUND(ROUND(AE327,2)*CX327,2)</f>
        <v>0</v>
      </c>
      <c r="DG327">
        <f>ROUND(ROUND(AF327*AJ327,2)*CX327,2)</f>
        <v>1906.68</v>
      </c>
      <c r="DH327">
        <f>ROUND(ROUND(AG327*AK327,2)*CX327,2)</f>
        <v>615.99</v>
      </c>
      <c r="DI327">
        <f>ROUND(ROUND(AH327,2)*CX327,2)</f>
        <v>0</v>
      </c>
      <c r="DJ327">
        <f>DG327</f>
        <v>1906.68</v>
      </c>
      <c r="DK327">
        <v>0</v>
      </c>
      <c r="DL327" t="s">
        <v>3</v>
      </c>
      <c r="DM327">
        <v>0</v>
      </c>
      <c r="DN327" t="s">
        <v>3</v>
      </c>
      <c r="DO327">
        <v>0</v>
      </c>
    </row>
    <row r="328" spans="1:119" x14ac:dyDescent="0.2">
      <c r="A328">
        <f>ROW(Source!A141)</f>
        <v>141</v>
      </c>
      <c r="B328">
        <v>145033679</v>
      </c>
      <c r="C328">
        <v>145041754</v>
      </c>
      <c r="D328">
        <v>140923427</v>
      </c>
      <c r="E328">
        <v>1</v>
      </c>
      <c r="F328">
        <v>1</v>
      </c>
      <c r="G328">
        <v>1</v>
      </c>
      <c r="H328">
        <v>2</v>
      </c>
      <c r="I328" t="s">
        <v>1051</v>
      </c>
      <c r="J328" t="s">
        <v>1052</v>
      </c>
      <c r="K328" t="s">
        <v>1053</v>
      </c>
      <c r="L328">
        <v>1367</v>
      </c>
      <c r="N328">
        <v>1011</v>
      </c>
      <c r="O328" t="s">
        <v>79</v>
      </c>
      <c r="P328" t="s">
        <v>79</v>
      </c>
      <c r="Q328">
        <v>1</v>
      </c>
      <c r="W328">
        <v>0</v>
      </c>
      <c r="X328">
        <v>-1171148094</v>
      </c>
      <c r="Y328">
        <f>((AT328*1.25)*1.15)</f>
        <v>0.51749999999999996</v>
      </c>
      <c r="AA328">
        <v>0</v>
      </c>
      <c r="AB328">
        <v>59.56</v>
      </c>
      <c r="AC328">
        <v>0</v>
      </c>
      <c r="AD328">
        <v>0</v>
      </c>
      <c r="AE328">
        <v>0</v>
      </c>
      <c r="AF328">
        <v>4.91</v>
      </c>
      <c r="AG328">
        <v>0</v>
      </c>
      <c r="AH328">
        <v>0</v>
      </c>
      <c r="AI328">
        <v>1</v>
      </c>
      <c r="AJ328">
        <v>12.13</v>
      </c>
      <c r="AK328">
        <v>30.54</v>
      </c>
      <c r="AL328">
        <v>1</v>
      </c>
      <c r="AM328">
        <v>4</v>
      </c>
      <c r="AN328">
        <v>0</v>
      </c>
      <c r="AO328">
        <v>1</v>
      </c>
      <c r="AP328">
        <v>1</v>
      </c>
      <c r="AQ328">
        <v>0</v>
      </c>
      <c r="AR328">
        <v>0</v>
      </c>
      <c r="AS328" t="s">
        <v>3</v>
      </c>
      <c r="AT328">
        <v>0.36</v>
      </c>
      <c r="AU328" t="s">
        <v>90</v>
      </c>
      <c r="AV328">
        <v>0</v>
      </c>
      <c r="AW328">
        <v>2</v>
      </c>
      <c r="AX328">
        <v>145041800</v>
      </c>
      <c r="AY328">
        <v>1</v>
      </c>
      <c r="AZ328">
        <v>0</v>
      </c>
      <c r="BA328">
        <v>328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ROUND(Y328*Source!I141,9)</f>
        <v>8.9423999999999992</v>
      </c>
      <c r="CY328">
        <f>AB328</f>
        <v>59.56</v>
      </c>
      <c r="CZ328">
        <f>AF328</f>
        <v>4.91</v>
      </c>
      <c r="DA328">
        <f>AJ328</f>
        <v>12.13</v>
      </c>
      <c r="DB328">
        <f>ROUND(((ROUND(AT328*CZ328,2)*1.25)*1.15),2)</f>
        <v>2.54</v>
      </c>
      <c r="DC328">
        <f>ROUND(((ROUND(AT328*AG328,2)*1.25)*1.15),2)</f>
        <v>0</v>
      </c>
      <c r="DD328" t="s">
        <v>3</v>
      </c>
      <c r="DE328" t="s">
        <v>3</v>
      </c>
      <c r="DF328">
        <f>ROUND(ROUND(AE328,2)*CX328,2)</f>
        <v>0</v>
      </c>
      <c r="DG328">
        <f>ROUND(ROUND(AF328*AJ328,2)*CX328,2)</f>
        <v>532.61</v>
      </c>
      <c r="DH328">
        <f>ROUND(ROUND(AG328*AK328,2)*CX328,2)</f>
        <v>0</v>
      </c>
      <c r="DI328">
        <f>ROUND(ROUND(AH328,2)*CX328,2)</f>
        <v>0</v>
      </c>
      <c r="DJ328">
        <f>DG328</f>
        <v>532.61</v>
      </c>
      <c r="DK328">
        <v>0</v>
      </c>
      <c r="DL328" t="s">
        <v>3</v>
      </c>
      <c r="DM328">
        <v>0</v>
      </c>
      <c r="DN328" t="s">
        <v>3</v>
      </c>
      <c r="DO328">
        <v>0</v>
      </c>
    </row>
    <row r="329" spans="1:119" x14ac:dyDescent="0.2">
      <c r="A329">
        <f>ROW(Source!A141)</f>
        <v>141</v>
      </c>
      <c r="B329">
        <v>145033679</v>
      </c>
      <c r="C329">
        <v>145041754</v>
      </c>
      <c r="D329">
        <v>140772680</v>
      </c>
      <c r="E329">
        <v>1</v>
      </c>
      <c r="F329">
        <v>1</v>
      </c>
      <c r="G329">
        <v>1</v>
      </c>
      <c r="H329">
        <v>3</v>
      </c>
      <c r="I329" t="s">
        <v>735</v>
      </c>
      <c r="J329" t="s">
        <v>736</v>
      </c>
      <c r="K329" t="s">
        <v>737</v>
      </c>
      <c r="L329">
        <v>1339</v>
      </c>
      <c r="N329">
        <v>1007</v>
      </c>
      <c r="O329" t="s">
        <v>66</v>
      </c>
      <c r="P329" t="s">
        <v>66</v>
      </c>
      <c r="Q329">
        <v>1</v>
      </c>
      <c r="W329">
        <v>0</v>
      </c>
      <c r="X329">
        <v>-143474561</v>
      </c>
      <c r="Y329">
        <f>AT329</f>
        <v>0.15</v>
      </c>
      <c r="AA329">
        <v>21.25</v>
      </c>
      <c r="AB329">
        <v>0</v>
      </c>
      <c r="AC329">
        <v>0</v>
      </c>
      <c r="AD329">
        <v>0</v>
      </c>
      <c r="AE329">
        <v>2.44</v>
      </c>
      <c r="AF329">
        <v>0</v>
      </c>
      <c r="AG329">
        <v>0</v>
      </c>
      <c r="AH329">
        <v>0</v>
      </c>
      <c r="AI329">
        <v>8.7100000000000009</v>
      </c>
      <c r="AJ329">
        <v>1</v>
      </c>
      <c r="AK329">
        <v>1</v>
      </c>
      <c r="AL329">
        <v>1</v>
      </c>
      <c r="AM329">
        <v>4</v>
      </c>
      <c r="AN329">
        <v>0</v>
      </c>
      <c r="AO329">
        <v>1</v>
      </c>
      <c r="AP329">
        <v>1</v>
      </c>
      <c r="AQ329">
        <v>0</v>
      </c>
      <c r="AR329">
        <v>0</v>
      </c>
      <c r="AS329" t="s">
        <v>3</v>
      </c>
      <c r="AT329">
        <v>0.15</v>
      </c>
      <c r="AU329" t="s">
        <v>3</v>
      </c>
      <c r="AV329">
        <v>0</v>
      </c>
      <c r="AW329">
        <v>2</v>
      </c>
      <c r="AX329">
        <v>145041801</v>
      </c>
      <c r="AY329">
        <v>1</v>
      </c>
      <c r="AZ329">
        <v>0</v>
      </c>
      <c r="BA329">
        <v>329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ROUND(Y329*Source!I141,9)</f>
        <v>2.5920000000000001</v>
      </c>
      <c r="CY329">
        <f>AA329</f>
        <v>21.25</v>
      </c>
      <c r="CZ329">
        <f>AE329</f>
        <v>2.44</v>
      </c>
      <c r="DA329">
        <f>AI329</f>
        <v>8.7100000000000009</v>
      </c>
      <c r="DB329">
        <f>ROUND(ROUND(AT329*CZ329,2),2)</f>
        <v>0.37</v>
      </c>
      <c r="DC329">
        <f>ROUND(ROUND(AT329*AG329,2),2)</f>
        <v>0</v>
      </c>
      <c r="DD329" t="s">
        <v>3</v>
      </c>
      <c r="DE329" t="s">
        <v>3</v>
      </c>
      <c r="DF329">
        <f>ROUND(ROUND(AE329*AI329,2)*CX329,2)</f>
        <v>55.08</v>
      </c>
      <c r="DG329">
        <f>ROUND(ROUND(AF329,2)*CX329,2)</f>
        <v>0</v>
      </c>
      <c r="DH329">
        <f>ROUND(ROUND(AG329,2)*CX329,2)</f>
        <v>0</v>
      </c>
      <c r="DI329">
        <f>ROUND(ROUND(AH329,2)*CX329,2)</f>
        <v>0</v>
      </c>
      <c r="DJ329">
        <f>DF329</f>
        <v>55.08</v>
      </c>
      <c r="DK329">
        <v>0</v>
      </c>
      <c r="DL329" t="s">
        <v>3</v>
      </c>
      <c r="DM329">
        <v>0</v>
      </c>
      <c r="DN329" t="s">
        <v>3</v>
      </c>
      <c r="DO329">
        <v>0</v>
      </c>
    </row>
    <row r="330" spans="1:119" x14ac:dyDescent="0.2">
      <c r="A330">
        <f>ROW(Source!A141)</f>
        <v>141</v>
      </c>
      <c r="B330">
        <v>145033679</v>
      </c>
      <c r="C330">
        <v>145041754</v>
      </c>
      <c r="D330">
        <v>140760955</v>
      </c>
      <c r="E330">
        <v>70</v>
      </c>
      <c r="F330">
        <v>1</v>
      </c>
      <c r="G330">
        <v>1</v>
      </c>
      <c r="H330">
        <v>3</v>
      </c>
      <c r="I330" t="s">
        <v>1054</v>
      </c>
      <c r="J330" t="s">
        <v>3</v>
      </c>
      <c r="K330" t="s">
        <v>1055</v>
      </c>
      <c r="L330">
        <v>1339</v>
      </c>
      <c r="N330">
        <v>1007</v>
      </c>
      <c r="O330" t="s">
        <v>66</v>
      </c>
      <c r="P330" t="s">
        <v>66</v>
      </c>
      <c r="Q330">
        <v>1</v>
      </c>
      <c r="W330">
        <v>0</v>
      </c>
      <c r="X330">
        <v>220090467</v>
      </c>
      <c r="Y330">
        <f>AT330</f>
        <v>1.1000000000000001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8.7100000000000009</v>
      </c>
      <c r="AJ330">
        <v>1</v>
      </c>
      <c r="AK330">
        <v>1</v>
      </c>
      <c r="AL330">
        <v>1</v>
      </c>
      <c r="AM330">
        <v>4</v>
      </c>
      <c r="AN330">
        <v>0</v>
      </c>
      <c r="AO330">
        <v>0</v>
      </c>
      <c r="AP330">
        <v>1</v>
      </c>
      <c r="AQ330">
        <v>0</v>
      </c>
      <c r="AR330">
        <v>0</v>
      </c>
      <c r="AS330" t="s">
        <v>3</v>
      </c>
      <c r="AT330">
        <v>1.1000000000000001</v>
      </c>
      <c r="AU330" t="s">
        <v>3</v>
      </c>
      <c r="AV330">
        <v>0</v>
      </c>
      <c r="AW330">
        <v>2</v>
      </c>
      <c r="AX330">
        <v>145041802</v>
      </c>
      <c r="AY330">
        <v>1</v>
      </c>
      <c r="AZ330">
        <v>0</v>
      </c>
      <c r="BA330">
        <v>330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ROUND(Y330*Source!I141,9)</f>
        <v>19.007999999999999</v>
      </c>
      <c r="CY330">
        <f>AA330</f>
        <v>0</v>
      </c>
      <c r="CZ330">
        <f>AE330</f>
        <v>0</v>
      </c>
      <c r="DA330">
        <f>AI330</f>
        <v>8.7100000000000009</v>
      </c>
      <c r="DB330">
        <f>ROUND(ROUND(AT330*CZ330,2),2)</f>
        <v>0</v>
      </c>
      <c r="DC330">
        <f>ROUND(ROUND(AT330*AG330,2),2)</f>
        <v>0</v>
      </c>
      <c r="DD330" t="s">
        <v>3</v>
      </c>
      <c r="DE330" t="s">
        <v>3</v>
      </c>
      <c r="DF330">
        <f>ROUND(ROUND(AE330*AI330,2)*CX330,2)</f>
        <v>0</v>
      </c>
      <c r="DG330">
        <f>ROUND(ROUND(AF330,2)*CX330,2)</f>
        <v>0</v>
      </c>
      <c r="DH330">
        <f>ROUND(ROUND(AG330,2)*CX330,2)</f>
        <v>0</v>
      </c>
      <c r="DI330">
        <f>ROUND(ROUND(AH330,2)*CX330,2)</f>
        <v>0</v>
      </c>
      <c r="DJ330">
        <f>DF330</f>
        <v>0</v>
      </c>
      <c r="DK330">
        <v>0</v>
      </c>
      <c r="DL330" t="s">
        <v>3</v>
      </c>
      <c r="DM330">
        <v>0</v>
      </c>
      <c r="DN330" t="s">
        <v>3</v>
      </c>
      <c r="DO330">
        <v>0</v>
      </c>
    </row>
    <row r="331" spans="1:119" x14ac:dyDescent="0.2">
      <c r="A331">
        <f>ROW(Source!A143)</f>
        <v>143</v>
      </c>
      <c r="B331">
        <v>145033679</v>
      </c>
      <c r="C331">
        <v>145041741</v>
      </c>
      <c r="D331">
        <v>140759945</v>
      </c>
      <c r="E331">
        <v>70</v>
      </c>
      <c r="F331">
        <v>1</v>
      </c>
      <c r="G331">
        <v>1</v>
      </c>
      <c r="H331">
        <v>1</v>
      </c>
      <c r="I331" t="s">
        <v>1046</v>
      </c>
      <c r="J331" t="s">
        <v>3</v>
      </c>
      <c r="K331" t="s">
        <v>1047</v>
      </c>
      <c r="L331">
        <v>1191</v>
      </c>
      <c r="N331">
        <v>1013</v>
      </c>
      <c r="O331" t="s">
        <v>725</v>
      </c>
      <c r="P331" t="s">
        <v>725</v>
      </c>
      <c r="Q331">
        <v>1</v>
      </c>
      <c r="W331">
        <v>0</v>
      </c>
      <c r="X331">
        <v>-366857280</v>
      </c>
      <c r="Y331">
        <f>((AT331*1.15)*1.15)</f>
        <v>1.1241249999999998</v>
      </c>
      <c r="AA331">
        <v>0</v>
      </c>
      <c r="AB331">
        <v>0</v>
      </c>
      <c r="AC331">
        <v>0</v>
      </c>
      <c r="AD331">
        <v>242.49</v>
      </c>
      <c r="AE331">
        <v>0</v>
      </c>
      <c r="AF331">
        <v>0</v>
      </c>
      <c r="AG331">
        <v>0</v>
      </c>
      <c r="AH331">
        <v>7.94</v>
      </c>
      <c r="AI331">
        <v>1</v>
      </c>
      <c r="AJ331">
        <v>1</v>
      </c>
      <c r="AK331">
        <v>1</v>
      </c>
      <c r="AL331">
        <v>30.54</v>
      </c>
      <c r="AM331">
        <v>4</v>
      </c>
      <c r="AN331">
        <v>0</v>
      </c>
      <c r="AO331">
        <v>1</v>
      </c>
      <c r="AP331">
        <v>1</v>
      </c>
      <c r="AQ331">
        <v>0</v>
      </c>
      <c r="AR331">
        <v>0</v>
      </c>
      <c r="AS331" t="s">
        <v>3</v>
      </c>
      <c r="AT331">
        <v>0.85</v>
      </c>
      <c r="AU331" t="s">
        <v>91</v>
      </c>
      <c r="AV331">
        <v>1</v>
      </c>
      <c r="AW331">
        <v>2</v>
      </c>
      <c r="AX331">
        <v>145041803</v>
      </c>
      <c r="AY331">
        <v>1</v>
      </c>
      <c r="AZ331">
        <v>0</v>
      </c>
      <c r="BA331">
        <v>331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ROUND(Y331*Source!I143,9)</f>
        <v>12.949920000000001</v>
      </c>
      <c r="CY331">
        <f>AD331</f>
        <v>242.49</v>
      </c>
      <c r="CZ331">
        <f>AH331</f>
        <v>7.94</v>
      </c>
      <c r="DA331">
        <f>AL331</f>
        <v>30.54</v>
      </c>
      <c r="DB331">
        <f>ROUND(((ROUND(AT331*CZ331,2)*1.15)*1.15),2)</f>
        <v>8.93</v>
      </c>
      <c r="DC331">
        <f>ROUND(((ROUND(AT331*AG331,2)*1.15)*1.15),2)</f>
        <v>0</v>
      </c>
      <c r="DD331" t="s">
        <v>3</v>
      </c>
      <c r="DE331" t="s">
        <v>3</v>
      </c>
      <c r="DF331">
        <f>ROUND(ROUND(AE331,2)*CX331,2)</f>
        <v>0</v>
      </c>
      <c r="DG331">
        <f>ROUND(ROUND(AF331,2)*CX331,2)</f>
        <v>0</v>
      </c>
      <c r="DH331">
        <f>ROUND(ROUND(AG331,2)*CX331,2)</f>
        <v>0</v>
      </c>
      <c r="DI331">
        <f>ROUND(ROUND(AH331*AL331,2)*CX331,2)</f>
        <v>3140.23</v>
      </c>
      <c r="DJ331">
        <f>DI331</f>
        <v>3140.23</v>
      </c>
      <c r="DK331">
        <v>0</v>
      </c>
      <c r="DL331" t="s">
        <v>3</v>
      </c>
      <c r="DM331">
        <v>0</v>
      </c>
      <c r="DN331" t="s">
        <v>3</v>
      </c>
      <c r="DO331">
        <v>0</v>
      </c>
    </row>
    <row r="332" spans="1:119" x14ac:dyDescent="0.2">
      <c r="A332">
        <f>ROW(Source!A143)</f>
        <v>143</v>
      </c>
      <c r="B332">
        <v>145033679</v>
      </c>
      <c r="C332">
        <v>145041741</v>
      </c>
      <c r="D332">
        <v>140760225</v>
      </c>
      <c r="E332">
        <v>70</v>
      </c>
      <c r="F332">
        <v>1</v>
      </c>
      <c r="G332">
        <v>1</v>
      </c>
      <c r="H332">
        <v>1</v>
      </c>
      <c r="I332" t="s">
        <v>730</v>
      </c>
      <c r="J332" t="s">
        <v>3</v>
      </c>
      <c r="K332" t="s">
        <v>731</v>
      </c>
      <c r="L332">
        <v>1191</v>
      </c>
      <c r="N332">
        <v>1013</v>
      </c>
      <c r="O332" t="s">
        <v>725</v>
      </c>
      <c r="P332" t="s">
        <v>725</v>
      </c>
      <c r="Q332">
        <v>1</v>
      </c>
      <c r="W332">
        <v>0</v>
      </c>
      <c r="X332">
        <v>-1417349443</v>
      </c>
      <c r="Y332">
        <f>((AT332*1.25)*1.15)</f>
        <v>0.10062500000000001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1</v>
      </c>
      <c r="AJ332">
        <v>1</v>
      </c>
      <c r="AK332">
        <v>30.54</v>
      </c>
      <c r="AL332">
        <v>1</v>
      </c>
      <c r="AM332">
        <v>4</v>
      </c>
      <c r="AN332">
        <v>0</v>
      </c>
      <c r="AO332">
        <v>1</v>
      </c>
      <c r="AP332">
        <v>1</v>
      </c>
      <c r="AQ332">
        <v>0</v>
      </c>
      <c r="AR332">
        <v>0</v>
      </c>
      <c r="AS332" t="s">
        <v>3</v>
      </c>
      <c r="AT332">
        <v>7.0000000000000007E-2</v>
      </c>
      <c r="AU332" t="s">
        <v>90</v>
      </c>
      <c r="AV332">
        <v>2</v>
      </c>
      <c r="AW332">
        <v>2</v>
      </c>
      <c r="AX332">
        <v>145041804</v>
      </c>
      <c r="AY332">
        <v>1</v>
      </c>
      <c r="AZ332">
        <v>0</v>
      </c>
      <c r="BA332">
        <v>332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ROUND(Y332*Source!I143,9)</f>
        <v>1.1592</v>
      </c>
      <c r="CY332">
        <f>AD332</f>
        <v>0</v>
      </c>
      <c r="CZ332">
        <f>AH332</f>
        <v>0</v>
      </c>
      <c r="DA332">
        <f>AL332</f>
        <v>1</v>
      </c>
      <c r="DB332">
        <f>ROUND(((ROUND(AT332*CZ332,2)*1.25)*1.15),2)</f>
        <v>0</v>
      </c>
      <c r="DC332">
        <f>ROUND(((ROUND(AT332*AG332,2)*1.25)*1.15),2)</f>
        <v>0</v>
      </c>
      <c r="DD332" t="s">
        <v>3</v>
      </c>
      <c r="DE332" t="s">
        <v>3</v>
      </c>
      <c r="DF332">
        <f>ROUND(ROUND(AE332,2)*CX332,2)</f>
        <v>0</v>
      </c>
      <c r="DG332">
        <f>ROUND(ROUND(AF332,2)*CX332,2)</f>
        <v>0</v>
      </c>
      <c r="DH332">
        <f>ROUND(ROUND(AG332*AK332,2)*CX332,2)</f>
        <v>0</v>
      </c>
      <c r="DI332">
        <f>ROUND(ROUND(AH332,2)*CX332,2)</f>
        <v>0</v>
      </c>
      <c r="DJ332">
        <f>DI332</f>
        <v>0</v>
      </c>
      <c r="DK332">
        <v>0</v>
      </c>
      <c r="DL332" t="s">
        <v>3</v>
      </c>
      <c r="DM332">
        <v>0</v>
      </c>
      <c r="DN332" t="s">
        <v>3</v>
      </c>
      <c r="DO332">
        <v>0</v>
      </c>
    </row>
    <row r="333" spans="1:119" x14ac:dyDescent="0.2">
      <c r="A333">
        <f>ROW(Source!A143)</f>
        <v>143</v>
      </c>
      <c r="B333">
        <v>145033679</v>
      </c>
      <c r="C333">
        <v>145041741</v>
      </c>
      <c r="D333">
        <v>140923124</v>
      </c>
      <c r="E333">
        <v>1</v>
      </c>
      <c r="F333">
        <v>1</v>
      </c>
      <c r="G333">
        <v>1</v>
      </c>
      <c r="H333">
        <v>2</v>
      </c>
      <c r="I333" t="s">
        <v>1048</v>
      </c>
      <c r="J333" t="s">
        <v>1049</v>
      </c>
      <c r="K333" t="s">
        <v>1050</v>
      </c>
      <c r="L333">
        <v>1367</v>
      </c>
      <c r="N333">
        <v>1011</v>
      </c>
      <c r="O333" t="s">
        <v>79</v>
      </c>
      <c r="P333" t="s">
        <v>79</v>
      </c>
      <c r="Q333">
        <v>1</v>
      </c>
      <c r="W333">
        <v>0</v>
      </c>
      <c r="X333">
        <v>-1887195257</v>
      </c>
      <c r="Y333">
        <f>((AT333*1.25)*1.15)</f>
        <v>0.10062500000000001</v>
      </c>
      <c r="AA333">
        <v>0</v>
      </c>
      <c r="AB333">
        <v>1096.55</v>
      </c>
      <c r="AC333">
        <v>354.26</v>
      </c>
      <c r="AD333">
        <v>0</v>
      </c>
      <c r="AE333">
        <v>0</v>
      </c>
      <c r="AF333">
        <v>90.4</v>
      </c>
      <c r="AG333">
        <v>11.6</v>
      </c>
      <c r="AH333">
        <v>0</v>
      </c>
      <c r="AI333">
        <v>1</v>
      </c>
      <c r="AJ333">
        <v>12.13</v>
      </c>
      <c r="AK333">
        <v>30.54</v>
      </c>
      <c r="AL333">
        <v>1</v>
      </c>
      <c r="AM333">
        <v>4</v>
      </c>
      <c r="AN333">
        <v>0</v>
      </c>
      <c r="AO333">
        <v>1</v>
      </c>
      <c r="AP333">
        <v>1</v>
      </c>
      <c r="AQ333">
        <v>0</v>
      </c>
      <c r="AR333">
        <v>0</v>
      </c>
      <c r="AS333" t="s">
        <v>3</v>
      </c>
      <c r="AT333">
        <v>7.0000000000000007E-2</v>
      </c>
      <c r="AU333" t="s">
        <v>90</v>
      </c>
      <c r="AV333">
        <v>0</v>
      </c>
      <c r="AW333">
        <v>2</v>
      </c>
      <c r="AX333">
        <v>145041805</v>
      </c>
      <c r="AY333">
        <v>1</v>
      </c>
      <c r="AZ333">
        <v>0</v>
      </c>
      <c r="BA333">
        <v>333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ROUND(Y333*Source!I143,9)</f>
        <v>1.1592</v>
      </c>
      <c r="CY333">
        <f>AB333</f>
        <v>1096.55</v>
      </c>
      <c r="CZ333">
        <f>AF333</f>
        <v>90.4</v>
      </c>
      <c r="DA333">
        <f>AJ333</f>
        <v>12.13</v>
      </c>
      <c r="DB333">
        <f>ROUND(((ROUND(AT333*CZ333,2)*1.25)*1.15),2)</f>
        <v>9.1</v>
      </c>
      <c r="DC333">
        <f>ROUND(((ROUND(AT333*AG333,2)*1.25)*1.15),2)</f>
        <v>1.1599999999999999</v>
      </c>
      <c r="DD333" t="s">
        <v>3</v>
      </c>
      <c r="DE333" t="s">
        <v>3</v>
      </c>
      <c r="DF333">
        <f>ROUND(ROUND(AE333,2)*CX333,2)</f>
        <v>0</v>
      </c>
      <c r="DG333">
        <f>ROUND(ROUND(AF333*AJ333,2)*CX333,2)</f>
        <v>1271.1199999999999</v>
      </c>
      <c r="DH333">
        <f>ROUND(ROUND(AG333*AK333,2)*CX333,2)</f>
        <v>410.66</v>
      </c>
      <c r="DI333">
        <f>ROUND(ROUND(AH333,2)*CX333,2)</f>
        <v>0</v>
      </c>
      <c r="DJ333">
        <f>DG333</f>
        <v>1271.1199999999999</v>
      </c>
      <c r="DK333">
        <v>0</v>
      </c>
      <c r="DL333" t="s">
        <v>3</v>
      </c>
      <c r="DM333">
        <v>0</v>
      </c>
      <c r="DN333" t="s">
        <v>3</v>
      </c>
      <c r="DO333">
        <v>0</v>
      </c>
    </row>
    <row r="334" spans="1:119" x14ac:dyDescent="0.2">
      <c r="A334">
        <f>ROW(Source!A143)</f>
        <v>143</v>
      </c>
      <c r="B334">
        <v>145033679</v>
      </c>
      <c r="C334">
        <v>145041741</v>
      </c>
      <c r="D334">
        <v>140923427</v>
      </c>
      <c r="E334">
        <v>1</v>
      </c>
      <c r="F334">
        <v>1</v>
      </c>
      <c r="G334">
        <v>1</v>
      </c>
      <c r="H334">
        <v>2</v>
      </c>
      <c r="I334" t="s">
        <v>1051</v>
      </c>
      <c r="J334" t="s">
        <v>1052</v>
      </c>
      <c r="K334" t="s">
        <v>1053</v>
      </c>
      <c r="L334">
        <v>1367</v>
      </c>
      <c r="N334">
        <v>1011</v>
      </c>
      <c r="O334" t="s">
        <v>79</v>
      </c>
      <c r="P334" t="s">
        <v>79</v>
      </c>
      <c r="Q334">
        <v>1</v>
      </c>
      <c r="W334">
        <v>0</v>
      </c>
      <c r="X334">
        <v>-1171148094</v>
      </c>
      <c r="Y334">
        <f>((AT334*1.25)*1.15)</f>
        <v>0.57499999999999996</v>
      </c>
      <c r="AA334">
        <v>0</v>
      </c>
      <c r="AB334">
        <v>59.56</v>
      </c>
      <c r="AC334">
        <v>0</v>
      </c>
      <c r="AD334">
        <v>0</v>
      </c>
      <c r="AE334">
        <v>0</v>
      </c>
      <c r="AF334">
        <v>4.91</v>
      </c>
      <c r="AG334">
        <v>0</v>
      </c>
      <c r="AH334">
        <v>0</v>
      </c>
      <c r="AI334">
        <v>1</v>
      </c>
      <c r="AJ334">
        <v>12.13</v>
      </c>
      <c r="AK334">
        <v>30.54</v>
      </c>
      <c r="AL334">
        <v>1</v>
      </c>
      <c r="AM334">
        <v>4</v>
      </c>
      <c r="AN334">
        <v>0</v>
      </c>
      <c r="AO334">
        <v>1</v>
      </c>
      <c r="AP334">
        <v>1</v>
      </c>
      <c r="AQ334">
        <v>0</v>
      </c>
      <c r="AR334">
        <v>0</v>
      </c>
      <c r="AS334" t="s">
        <v>3</v>
      </c>
      <c r="AT334">
        <v>0.4</v>
      </c>
      <c r="AU334" t="s">
        <v>90</v>
      </c>
      <c r="AV334">
        <v>0</v>
      </c>
      <c r="AW334">
        <v>2</v>
      </c>
      <c r="AX334">
        <v>145041806</v>
      </c>
      <c r="AY334">
        <v>1</v>
      </c>
      <c r="AZ334">
        <v>0</v>
      </c>
      <c r="BA334">
        <v>334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ROUND(Y334*Source!I143,9)</f>
        <v>6.6239999999999997</v>
      </c>
      <c r="CY334">
        <f>AB334</f>
        <v>59.56</v>
      </c>
      <c r="CZ334">
        <f>AF334</f>
        <v>4.91</v>
      </c>
      <c r="DA334">
        <f>AJ334</f>
        <v>12.13</v>
      </c>
      <c r="DB334">
        <f>ROUND(((ROUND(AT334*CZ334,2)*1.25)*1.15),2)</f>
        <v>2.82</v>
      </c>
      <c r="DC334">
        <f>ROUND(((ROUND(AT334*AG334,2)*1.25)*1.15),2)</f>
        <v>0</v>
      </c>
      <c r="DD334" t="s">
        <v>3</v>
      </c>
      <c r="DE334" t="s">
        <v>3</v>
      </c>
      <c r="DF334">
        <f>ROUND(ROUND(AE334,2)*CX334,2)</f>
        <v>0</v>
      </c>
      <c r="DG334">
        <f>ROUND(ROUND(AF334*AJ334,2)*CX334,2)</f>
        <v>394.53</v>
      </c>
      <c r="DH334">
        <f>ROUND(ROUND(AG334*AK334,2)*CX334,2)</f>
        <v>0</v>
      </c>
      <c r="DI334">
        <f>ROUND(ROUND(AH334,2)*CX334,2)</f>
        <v>0</v>
      </c>
      <c r="DJ334">
        <f>DG334</f>
        <v>394.53</v>
      </c>
      <c r="DK334">
        <v>0</v>
      </c>
      <c r="DL334" t="s">
        <v>3</v>
      </c>
      <c r="DM334">
        <v>0</v>
      </c>
      <c r="DN334" t="s">
        <v>3</v>
      </c>
      <c r="DO334">
        <v>0</v>
      </c>
    </row>
    <row r="335" spans="1:119" x14ac:dyDescent="0.2">
      <c r="A335">
        <f>ROW(Source!A143)</f>
        <v>143</v>
      </c>
      <c r="B335">
        <v>145033679</v>
      </c>
      <c r="C335">
        <v>145041741</v>
      </c>
      <c r="D335">
        <v>140772680</v>
      </c>
      <c r="E335">
        <v>1</v>
      </c>
      <c r="F335">
        <v>1</v>
      </c>
      <c r="G335">
        <v>1</v>
      </c>
      <c r="H335">
        <v>3</v>
      </c>
      <c r="I335" t="s">
        <v>735</v>
      </c>
      <c r="J335" t="s">
        <v>736</v>
      </c>
      <c r="K335" t="s">
        <v>737</v>
      </c>
      <c r="L335">
        <v>1339</v>
      </c>
      <c r="N335">
        <v>1007</v>
      </c>
      <c r="O335" t="s">
        <v>66</v>
      </c>
      <c r="P335" t="s">
        <v>66</v>
      </c>
      <c r="Q335">
        <v>1</v>
      </c>
      <c r="W335">
        <v>0</v>
      </c>
      <c r="X335">
        <v>-143474561</v>
      </c>
      <c r="Y335">
        <f>AT335</f>
        <v>0.15</v>
      </c>
      <c r="AA335">
        <v>21.25</v>
      </c>
      <c r="AB335">
        <v>0</v>
      </c>
      <c r="AC335">
        <v>0</v>
      </c>
      <c r="AD335">
        <v>0</v>
      </c>
      <c r="AE335">
        <v>2.44</v>
      </c>
      <c r="AF335">
        <v>0</v>
      </c>
      <c r="AG335">
        <v>0</v>
      </c>
      <c r="AH335">
        <v>0</v>
      </c>
      <c r="AI335">
        <v>8.7100000000000009</v>
      </c>
      <c r="AJ335">
        <v>1</v>
      </c>
      <c r="AK335">
        <v>1</v>
      </c>
      <c r="AL335">
        <v>1</v>
      </c>
      <c r="AM335">
        <v>4</v>
      </c>
      <c r="AN335">
        <v>0</v>
      </c>
      <c r="AO335">
        <v>1</v>
      </c>
      <c r="AP335">
        <v>1</v>
      </c>
      <c r="AQ335">
        <v>0</v>
      </c>
      <c r="AR335">
        <v>0</v>
      </c>
      <c r="AS335" t="s">
        <v>3</v>
      </c>
      <c r="AT335">
        <v>0.15</v>
      </c>
      <c r="AU335" t="s">
        <v>3</v>
      </c>
      <c r="AV335">
        <v>0</v>
      </c>
      <c r="AW335">
        <v>2</v>
      </c>
      <c r="AX335">
        <v>145041807</v>
      </c>
      <c r="AY335">
        <v>1</v>
      </c>
      <c r="AZ335">
        <v>0</v>
      </c>
      <c r="BA335">
        <v>335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ROUND(Y335*Source!I143,9)</f>
        <v>1.728</v>
      </c>
      <c r="CY335">
        <f>AA335</f>
        <v>21.25</v>
      </c>
      <c r="CZ335">
        <f>AE335</f>
        <v>2.44</v>
      </c>
      <c r="DA335">
        <f>AI335</f>
        <v>8.7100000000000009</v>
      </c>
      <c r="DB335">
        <f>ROUND(ROUND(AT335*CZ335,2),2)</f>
        <v>0.37</v>
      </c>
      <c r="DC335">
        <f>ROUND(ROUND(AT335*AG335,2),2)</f>
        <v>0</v>
      </c>
      <c r="DD335" t="s">
        <v>3</v>
      </c>
      <c r="DE335" t="s">
        <v>3</v>
      </c>
      <c r="DF335">
        <f>ROUND(ROUND(AE335*AI335,2)*CX335,2)</f>
        <v>36.72</v>
      </c>
      <c r="DG335">
        <f>ROUND(ROUND(AF335,2)*CX335,2)</f>
        <v>0</v>
      </c>
      <c r="DH335">
        <f>ROUND(ROUND(AG335,2)*CX335,2)</f>
        <v>0</v>
      </c>
      <c r="DI335">
        <f>ROUND(ROUND(AH335,2)*CX335,2)</f>
        <v>0</v>
      </c>
      <c r="DJ335">
        <f>DF335</f>
        <v>36.72</v>
      </c>
      <c r="DK335">
        <v>0</v>
      </c>
      <c r="DL335" t="s">
        <v>3</v>
      </c>
      <c r="DM335">
        <v>0</v>
      </c>
      <c r="DN335" t="s">
        <v>3</v>
      </c>
      <c r="DO335">
        <v>0</v>
      </c>
    </row>
    <row r="336" spans="1:119" x14ac:dyDescent="0.2">
      <c r="A336">
        <f>ROW(Source!A143)</f>
        <v>143</v>
      </c>
      <c r="B336">
        <v>145033679</v>
      </c>
      <c r="C336">
        <v>145041741</v>
      </c>
      <c r="D336">
        <v>140760926</v>
      </c>
      <c r="E336">
        <v>70</v>
      </c>
      <c r="F336">
        <v>1</v>
      </c>
      <c r="G336">
        <v>1</v>
      </c>
      <c r="H336">
        <v>3</v>
      </c>
      <c r="I336" t="s">
        <v>1056</v>
      </c>
      <c r="J336" t="s">
        <v>3</v>
      </c>
      <c r="K336" t="s">
        <v>1057</v>
      </c>
      <c r="L336">
        <v>1339</v>
      </c>
      <c r="N336">
        <v>1007</v>
      </c>
      <c r="O336" t="s">
        <v>66</v>
      </c>
      <c r="P336" t="s">
        <v>66</v>
      </c>
      <c r="Q336">
        <v>1</v>
      </c>
      <c r="W336">
        <v>0</v>
      </c>
      <c r="X336">
        <v>1239012555</v>
      </c>
      <c r="Y336">
        <f>AT336</f>
        <v>1.1499999999999999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8.7100000000000009</v>
      </c>
      <c r="AJ336">
        <v>1</v>
      </c>
      <c r="AK336">
        <v>1</v>
      </c>
      <c r="AL336">
        <v>1</v>
      </c>
      <c r="AM336">
        <v>4</v>
      </c>
      <c r="AN336">
        <v>0</v>
      </c>
      <c r="AO336">
        <v>0</v>
      </c>
      <c r="AP336">
        <v>1</v>
      </c>
      <c r="AQ336">
        <v>0</v>
      </c>
      <c r="AR336">
        <v>0</v>
      </c>
      <c r="AS336" t="s">
        <v>3</v>
      </c>
      <c r="AT336">
        <v>1.1499999999999999</v>
      </c>
      <c r="AU336" t="s">
        <v>3</v>
      </c>
      <c r="AV336">
        <v>0</v>
      </c>
      <c r="AW336">
        <v>2</v>
      </c>
      <c r="AX336">
        <v>145041808</v>
      </c>
      <c r="AY336">
        <v>1</v>
      </c>
      <c r="AZ336">
        <v>0</v>
      </c>
      <c r="BA336">
        <v>336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ROUND(Y336*Source!I143,9)</f>
        <v>13.247999999999999</v>
      </c>
      <c r="CY336">
        <f>AA336</f>
        <v>0</v>
      </c>
      <c r="CZ336">
        <f>AE336</f>
        <v>0</v>
      </c>
      <c r="DA336">
        <f>AI336</f>
        <v>8.7100000000000009</v>
      </c>
      <c r="DB336">
        <f>ROUND(ROUND(AT336*CZ336,2),2)</f>
        <v>0</v>
      </c>
      <c r="DC336">
        <f>ROUND(ROUND(AT336*AG336,2),2)</f>
        <v>0</v>
      </c>
      <c r="DD336" t="s">
        <v>3</v>
      </c>
      <c r="DE336" t="s">
        <v>3</v>
      </c>
      <c r="DF336">
        <f>ROUND(ROUND(AE336*AI336,2)*CX336,2)</f>
        <v>0</v>
      </c>
      <c r="DG336">
        <f>ROUND(ROUND(AF336,2)*CX336,2)</f>
        <v>0</v>
      </c>
      <c r="DH336">
        <f>ROUND(ROUND(AG336,2)*CX336,2)</f>
        <v>0</v>
      </c>
      <c r="DI336">
        <f>ROUND(ROUND(AH336,2)*CX336,2)</f>
        <v>0</v>
      </c>
      <c r="DJ336">
        <f>DF336</f>
        <v>0</v>
      </c>
      <c r="DK336">
        <v>0</v>
      </c>
      <c r="DL336" t="s">
        <v>3</v>
      </c>
      <c r="DM336">
        <v>0</v>
      </c>
      <c r="DN336" t="s">
        <v>3</v>
      </c>
      <c r="DO336">
        <v>0</v>
      </c>
    </row>
    <row r="337" spans="1:119" x14ac:dyDescent="0.2">
      <c r="A337">
        <f>ROW(Source!A145)</f>
        <v>145</v>
      </c>
      <c r="B337">
        <v>145033679</v>
      </c>
      <c r="C337">
        <v>145041767</v>
      </c>
      <c r="D337">
        <v>140759988</v>
      </c>
      <c r="E337">
        <v>70</v>
      </c>
      <c r="F337">
        <v>1</v>
      </c>
      <c r="G337">
        <v>1</v>
      </c>
      <c r="H337">
        <v>1</v>
      </c>
      <c r="I337" t="s">
        <v>747</v>
      </c>
      <c r="J337" t="s">
        <v>3</v>
      </c>
      <c r="K337" t="s">
        <v>748</v>
      </c>
      <c r="L337">
        <v>1191</v>
      </c>
      <c r="N337">
        <v>1013</v>
      </c>
      <c r="O337" t="s">
        <v>725</v>
      </c>
      <c r="P337" t="s">
        <v>725</v>
      </c>
      <c r="Q337">
        <v>1</v>
      </c>
      <c r="W337">
        <v>0</v>
      </c>
      <c r="X337">
        <v>-1759674247</v>
      </c>
      <c r="Y337">
        <f>((AT337*1.15)*1.15)</f>
        <v>15.340999999999996</v>
      </c>
      <c r="AA337">
        <v>0</v>
      </c>
      <c r="AB337">
        <v>0</v>
      </c>
      <c r="AC337">
        <v>0</v>
      </c>
      <c r="AD337">
        <v>270.58</v>
      </c>
      <c r="AE337">
        <v>0</v>
      </c>
      <c r="AF337">
        <v>0</v>
      </c>
      <c r="AG337">
        <v>0</v>
      </c>
      <c r="AH337">
        <v>8.86</v>
      </c>
      <c r="AI337">
        <v>1</v>
      </c>
      <c r="AJ337">
        <v>1</v>
      </c>
      <c r="AK337">
        <v>1</v>
      </c>
      <c r="AL337">
        <v>30.54</v>
      </c>
      <c r="AM337">
        <v>4</v>
      </c>
      <c r="AN337">
        <v>0</v>
      </c>
      <c r="AO337">
        <v>1</v>
      </c>
      <c r="AP337">
        <v>1</v>
      </c>
      <c r="AQ337">
        <v>0</v>
      </c>
      <c r="AR337">
        <v>0</v>
      </c>
      <c r="AS337" t="s">
        <v>3</v>
      </c>
      <c r="AT337">
        <v>11.6</v>
      </c>
      <c r="AU337" t="s">
        <v>91</v>
      </c>
      <c r="AV337">
        <v>1</v>
      </c>
      <c r="AW337">
        <v>2</v>
      </c>
      <c r="AX337">
        <v>145041817</v>
      </c>
      <c r="AY337">
        <v>1</v>
      </c>
      <c r="AZ337">
        <v>0</v>
      </c>
      <c r="BA337">
        <v>337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ROUND(Y337*Source!I145,9)</f>
        <v>3.2522920000000002</v>
      </c>
      <c r="CY337">
        <f>AD337</f>
        <v>270.58</v>
      </c>
      <c r="CZ337">
        <f>AH337</f>
        <v>8.86</v>
      </c>
      <c r="DA337">
        <f>AL337</f>
        <v>30.54</v>
      </c>
      <c r="DB337">
        <f>ROUND(((ROUND(AT337*CZ337,2)*1.15)*1.15),2)</f>
        <v>135.93</v>
      </c>
      <c r="DC337">
        <f>ROUND(((ROUND(AT337*AG337,2)*1.15)*1.15),2)</f>
        <v>0</v>
      </c>
      <c r="DD337" t="s">
        <v>3</v>
      </c>
      <c r="DE337" t="s">
        <v>3</v>
      </c>
      <c r="DF337">
        <f>ROUND(ROUND(AE337,2)*CX337,2)</f>
        <v>0</v>
      </c>
      <c r="DG337">
        <f>ROUND(ROUND(AF337,2)*CX337,2)</f>
        <v>0</v>
      </c>
      <c r="DH337">
        <f>ROUND(ROUND(AG337,2)*CX337,2)</f>
        <v>0</v>
      </c>
      <c r="DI337">
        <f>ROUND(ROUND(AH337*AL337,2)*CX337,2)</f>
        <v>880.01</v>
      </c>
      <c r="DJ337">
        <f>DI337</f>
        <v>880.01</v>
      </c>
      <c r="DK337">
        <v>0</v>
      </c>
      <c r="DL337" t="s">
        <v>3</v>
      </c>
      <c r="DM337">
        <v>0</v>
      </c>
      <c r="DN337" t="s">
        <v>3</v>
      </c>
      <c r="DO337">
        <v>0</v>
      </c>
    </row>
    <row r="338" spans="1:119" x14ac:dyDescent="0.2">
      <c r="A338">
        <f>ROW(Source!A145)</f>
        <v>145</v>
      </c>
      <c r="B338">
        <v>145033679</v>
      </c>
      <c r="C338">
        <v>145041767</v>
      </c>
      <c r="D338">
        <v>140760225</v>
      </c>
      <c r="E338">
        <v>70</v>
      </c>
      <c r="F338">
        <v>1</v>
      </c>
      <c r="G338">
        <v>1</v>
      </c>
      <c r="H338">
        <v>1</v>
      </c>
      <c r="I338" t="s">
        <v>730</v>
      </c>
      <c r="J338" t="s">
        <v>3</v>
      </c>
      <c r="K338" t="s">
        <v>731</v>
      </c>
      <c r="L338">
        <v>1191</v>
      </c>
      <c r="N338">
        <v>1013</v>
      </c>
      <c r="O338" t="s">
        <v>725</v>
      </c>
      <c r="P338" t="s">
        <v>725</v>
      </c>
      <c r="Q338">
        <v>1</v>
      </c>
      <c r="W338">
        <v>0</v>
      </c>
      <c r="X338">
        <v>-1417349443</v>
      </c>
      <c r="Y338">
        <f>((AT338*1.25)*1.15)</f>
        <v>0.50312499999999993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1</v>
      </c>
      <c r="AJ338">
        <v>1</v>
      </c>
      <c r="AK338">
        <v>30.54</v>
      </c>
      <c r="AL338">
        <v>1</v>
      </c>
      <c r="AM338">
        <v>4</v>
      </c>
      <c r="AN338">
        <v>0</v>
      </c>
      <c r="AO338">
        <v>1</v>
      </c>
      <c r="AP338">
        <v>1</v>
      </c>
      <c r="AQ338">
        <v>0</v>
      </c>
      <c r="AR338">
        <v>0</v>
      </c>
      <c r="AS338" t="s">
        <v>3</v>
      </c>
      <c r="AT338">
        <v>0.35</v>
      </c>
      <c r="AU338" t="s">
        <v>90</v>
      </c>
      <c r="AV338">
        <v>2</v>
      </c>
      <c r="AW338">
        <v>2</v>
      </c>
      <c r="AX338">
        <v>145041818</v>
      </c>
      <c r="AY338">
        <v>1</v>
      </c>
      <c r="AZ338">
        <v>0</v>
      </c>
      <c r="BA338">
        <v>338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ROUND(Y338*Source!I145,9)</f>
        <v>0.10666249999999999</v>
      </c>
      <c r="CY338">
        <f>AD338</f>
        <v>0</v>
      </c>
      <c r="CZ338">
        <f>AH338</f>
        <v>0</v>
      </c>
      <c r="DA338">
        <f>AL338</f>
        <v>1</v>
      </c>
      <c r="DB338">
        <f>ROUND(((ROUND(AT338*CZ338,2)*1.25)*1.15),2)</f>
        <v>0</v>
      </c>
      <c r="DC338">
        <f>ROUND(((ROUND(AT338*AG338,2)*1.25)*1.15),2)</f>
        <v>0</v>
      </c>
      <c r="DD338" t="s">
        <v>3</v>
      </c>
      <c r="DE338" t="s">
        <v>3</v>
      </c>
      <c r="DF338">
        <f>ROUND(ROUND(AE338,2)*CX338,2)</f>
        <v>0</v>
      </c>
      <c r="DG338">
        <f>ROUND(ROUND(AF338,2)*CX338,2)</f>
        <v>0</v>
      </c>
      <c r="DH338">
        <f>ROUND(ROUND(AG338*AK338,2)*CX338,2)</f>
        <v>0</v>
      </c>
      <c r="DI338">
        <f>ROUND(ROUND(AH338,2)*CX338,2)</f>
        <v>0</v>
      </c>
      <c r="DJ338">
        <f>DI338</f>
        <v>0</v>
      </c>
      <c r="DK338">
        <v>0</v>
      </c>
      <c r="DL338" t="s">
        <v>3</v>
      </c>
      <c r="DM338">
        <v>0</v>
      </c>
      <c r="DN338" t="s">
        <v>3</v>
      </c>
      <c r="DO338">
        <v>0</v>
      </c>
    </row>
    <row r="339" spans="1:119" x14ac:dyDescent="0.2">
      <c r="A339">
        <f>ROW(Source!A145)</f>
        <v>145</v>
      </c>
      <c r="B339">
        <v>145033679</v>
      </c>
      <c r="C339">
        <v>145041767</v>
      </c>
      <c r="D339">
        <v>140922951</v>
      </c>
      <c r="E339">
        <v>1</v>
      </c>
      <c r="F339">
        <v>1</v>
      </c>
      <c r="G339">
        <v>1</v>
      </c>
      <c r="H339">
        <v>2</v>
      </c>
      <c r="I339" t="s">
        <v>752</v>
      </c>
      <c r="J339" t="s">
        <v>753</v>
      </c>
      <c r="K339" t="s">
        <v>754</v>
      </c>
      <c r="L339">
        <v>1367</v>
      </c>
      <c r="N339">
        <v>1011</v>
      </c>
      <c r="O339" t="s">
        <v>79</v>
      </c>
      <c r="P339" t="s">
        <v>79</v>
      </c>
      <c r="Q339">
        <v>1</v>
      </c>
      <c r="W339">
        <v>0</v>
      </c>
      <c r="X339">
        <v>-430484415</v>
      </c>
      <c r="Y339">
        <f>((AT339*1.25)*1.15)</f>
        <v>0.21562499999999998</v>
      </c>
      <c r="AA339">
        <v>0</v>
      </c>
      <c r="AB339">
        <v>1399.8</v>
      </c>
      <c r="AC339">
        <v>412.29</v>
      </c>
      <c r="AD339">
        <v>0</v>
      </c>
      <c r="AE339">
        <v>0</v>
      </c>
      <c r="AF339">
        <v>115.4</v>
      </c>
      <c r="AG339">
        <v>13.5</v>
      </c>
      <c r="AH339">
        <v>0</v>
      </c>
      <c r="AI339">
        <v>1</v>
      </c>
      <c r="AJ339">
        <v>12.13</v>
      </c>
      <c r="AK339">
        <v>30.54</v>
      </c>
      <c r="AL339">
        <v>1</v>
      </c>
      <c r="AM339">
        <v>4</v>
      </c>
      <c r="AN339">
        <v>0</v>
      </c>
      <c r="AO339">
        <v>1</v>
      </c>
      <c r="AP339">
        <v>1</v>
      </c>
      <c r="AQ339">
        <v>0</v>
      </c>
      <c r="AR339">
        <v>0</v>
      </c>
      <c r="AS339" t="s">
        <v>3</v>
      </c>
      <c r="AT339">
        <v>0.15</v>
      </c>
      <c r="AU339" t="s">
        <v>90</v>
      </c>
      <c r="AV339">
        <v>0</v>
      </c>
      <c r="AW339">
        <v>2</v>
      </c>
      <c r="AX339">
        <v>145041819</v>
      </c>
      <c r="AY339">
        <v>1</v>
      </c>
      <c r="AZ339">
        <v>0</v>
      </c>
      <c r="BA339">
        <v>339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ROUND(Y339*Source!I145,9)</f>
        <v>4.5712500000000003E-2</v>
      </c>
      <c r="CY339">
        <f>AB339</f>
        <v>1399.8</v>
      </c>
      <c r="CZ339">
        <f>AF339</f>
        <v>115.4</v>
      </c>
      <c r="DA339">
        <f>AJ339</f>
        <v>12.13</v>
      </c>
      <c r="DB339">
        <f>ROUND(((ROUND(AT339*CZ339,2)*1.25)*1.15),2)</f>
        <v>24.88</v>
      </c>
      <c r="DC339">
        <f>ROUND(((ROUND(AT339*AG339,2)*1.25)*1.15),2)</f>
        <v>2.92</v>
      </c>
      <c r="DD339" t="s">
        <v>3</v>
      </c>
      <c r="DE339" t="s">
        <v>3</v>
      </c>
      <c r="DF339">
        <f>ROUND(ROUND(AE339,2)*CX339,2)</f>
        <v>0</v>
      </c>
      <c r="DG339">
        <f>ROUND(ROUND(AF339*AJ339,2)*CX339,2)</f>
        <v>63.99</v>
      </c>
      <c r="DH339">
        <f>ROUND(ROUND(AG339*AK339,2)*CX339,2)</f>
        <v>18.850000000000001</v>
      </c>
      <c r="DI339">
        <f>ROUND(ROUND(AH339,2)*CX339,2)</f>
        <v>0</v>
      </c>
      <c r="DJ339">
        <f>DG339</f>
        <v>63.99</v>
      </c>
      <c r="DK339">
        <v>0</v>
      </c>
      <c r="DL339" t="s">
        <v>3</v>
      </c>
      <c r="DM339">
        <v>0</v>
      </c>
      <c r="DN339" t="s">
        <v>3</v>
      </c>
      <c r="DO339">
        <v>0</v>
      </c>
    </row>
    <row r="340" spans="1:119" x14ac:dyDescent="0.2">
      <c r="A340">
        <f>ROW(Source!A145)</f>
        <v>145</v>
      </c>
      <c r="B340">
        <v>145033679</v>
      </c>
      <c r="C340">
        <v>145041767</v>
      </c>
      <c r="D340">
        <v>140923885</v>
      </c>
      <c r="E340">
        <v>1</v>
      </c>
      <c r="F340">
        <v>1</v>
      </c>
      <c r="G340">
        <v>1</v>
      </c>
      <c r="H340">
        <v>2</v>
      </c>
      <c r="I340" t="s">
        <v>732</v>
      </c>
      <c r="J340" t="s">
        <v>733</v>
      </c>
      <c r="K340" t="s">
        <v>734</v>
      </c>
      <c r="L340">
        <v>1367</v>
      </c>
      <c r="N340">
        <v>1011</v>
      </c>
      <c r="O340" t="s">
        <v>79</v>
      </c>
      <c r="P340" t="s">
        <v>79</v>
      </c>
      <c r="Q340">
        <v>1</v>
      </c>
      <c r="W340">
        <v>0</v>
      </c>
      <c r="X340">
        <v>509054691</v>
      </c>
      <c r="Y340">
        <f>((AT340*1.25)*1.15)</f>
        <v>0.28749999999999998</v>
      </c>
      <c r="AA340">
        <v>0</v>
      </c>
      <c r="AB340">
        <v>797.06</v>
      </c>
      <c r="AC340">
        <v>354.26</v>
      </c>
      <c r="AD340">
        <v>0</v>
      </c>
      <c r="AE340">
        <v>0</v>
      </c>
      <c r="AF340">
        <v>65.709999999999994</v>
      </c>
      <c r="AG340">
        <v>11.6</v>
      </c>
      <c r="AH340">
        <v>0</v>
      </c>
      <c r="AI340">
        <v>1</v>
      </c>
      <c r="AJ340">
        <v>12.13</v>
      </c>
      <c r="AK340">
        <v>30.54</v>
      </c>
      <c r="AL340">
        <v>1</v>
      </c>
      <c r="AM340">
        <v>4</v>
      </c>
      <c r="AN340">
        <v>0</v>
      </c>
      <c r="AO340">
        <v>1</v>
      </c>
      <c r="AP340">
        <v>1</v>
      </c>
      <c r="AQ340">
        <v>0</v>
      </c>
      <c r="AR340">
        <v>0</v>
      </c>
      <c r="AS340" t="s">
        <v>3</v>
      </c>
      <c r="AT340">
        <v>0.2</v>
      </c>
      <c r="AU340" t="s">
        <v>90</v>
      </c>
      <c r="AV340">
        <v>0</v>
      </c>
      <c r="AW340">
        <v>2</v>
      </c>
      <c r="AX340">
        <v>145041820</v>
      </c>
      <c r="AY340">
        <v>1</v>
      </c>
      <c r="AZ340">
        <v>0</v>
      </c>
      <c r="BA340">
        <v>340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ROUND(Y340*Source!I145,9)</f>
        <v>6.0949999999999997E-2</v>
      </c>
      <c r="CY340">
        <f>AB340</f>
        <v>797.06</v>
      </c>
      <c r="CZ340">
        <f>AF340</f>
        <v>65.709999999999994</v>
      </c>
      <c r="DA340">
        <f>AJ340</f>
        <v>12.13</v>
      </c>
      <c r="DB340">
        <f>ROUND(((ROUND(AT340*CZ340,2)*1.25)*1.15),2)</f>
        <v>18.89</v>
      </c>
      <c r="DC340">
        <f>ROUND(((ROUND(AT340*AG340,2)*1.25)*1.15),2)</f>
        <v>3.34</v>
      </c>
      <c r="DD340" t="s">
        <v>3</v>
      </c>
      <c r="DE340" t="s">
        <v>3</v>
      </c>
      <c r="DF340">
        <f>ROUND(ROUND(AE340,2)*CX340,2)</f>
        <v>0</v>
      </c>
      <c r="DG340">
        <f>ROUND(ROUND(AF340*AJ340,2)*CX340,2)</f>
        <v>48.58</v>
      </c>
      <c r="DH340">
        <f>ROUND(ROUND(AG340*AK340,2)*CX340,2)</f>
        <v>21.59</v>
      </c>
      <c r="DI340">
        <f>ROUND(ROUND(AH340,2)*CX340,2)</f>
        <v>0</v>
      </c>
      <c r="DJ340">
        <f>DG340</f>
        <v>48.58</v>
      </c>
      <c r="DK340">
        <v>0</v>
      </c>
      <c r="DL340" t="s">
        <v>3</v>
      </c>
      <c r="DM340">
        <v>0</v>
      </c>
      <c r="DN340" t="s">
        <v>3</v>
      </c>
      <c r="DO340">
        <v>0</v>
      </c>
    </row>
    <row r="341" spans="1:119" x14ac:dyDescent="0.2">
      <c r="A341">
        <f>ROW(Source!A145)</f>
        <v>145</v>
      </c>
      <c r="B341">
        <v>145033679</v>
      </c>
      <c r="C341">
        <v>145041767</v>
      </c>
      <c r="D341">
        <v>140792301</v>
      </c>
      <c r="E341">
        <v>1</v>
      </c>
      <c r="F341">
        <v>1</v>
      </c>
      <c r="G341">
        <v>1</v>
      </c>
      <c r="H341">
        <v>3</v>
      </c>
      <c r="I341" t="s">
        <v>1058</v>
      </c>
      <c r="J341" t="s">
        <v>1059</v>
      </c>
      <c r="K341" t="s">
        <v>1060</v>
      </c>
      <c r="L341">
        <v>1348</v>
      </c>
      <c r="N341">
        <v>1009</v>
      </c>
      <c r="O341" t="s">
        <v>105</v>
      </c>
      <c r="P341" t="s">
        <v>105</v>
      </c>
      <c r="Q341">
        <v>1000</v>
      </c>
      <c r="W341">
        <v>0</v>
      </c>
      <c r="X341">
        <v>2041074766</v>
      </c>
      <c r="Y341">
        <f>AT341</f>
        <v>2.8000000000000001E-2</v>
      </c>
      <c r="AA341">
        <v>88842</v>
      </c>
      <c r="AB341">
        <v>0</v>
      </c>
      <c r="AC341">
        <v>0</v>
      </c>
      <c r="AD341">
        <v>0</v>
      </c>
      <c r="AE341">
        <v>10200</v>
      </c>
      <c r="AF341">
        <v>0</v>
      </c>
      <c r="AG341">
        <v>0</v>
      </c>
      <c r="AH341">
        <v>0</v>
      </c>
      <c r="AI341">
        <v>8.7100000000000009</v>
      </c>
      <c r="AJ341">
        <v>1</v>
      </c>
      <c r="AK341">
        <v>1</v>
      </c>
      <c r="AL341">
        <v>1</v>
      </c>
      <c r="AM341">
        <v>4</v>
      </c>
      <c r="AN341">
        <v>0</v>
      </c>
      <c r="AO341">
        <v>1</v>
      </c>
      <c r="AP341">
        <v>1</v>
      </c>
      <c r="AQ341">
        <v>0</v>
      </c>
      <c r="AR341">
        <v>0</v>
      </c>
      <c r="AS341" t="s">
        <v>3</v>
      </c>
      <c r="AT341">
        <v>2.8000000000000001E-2</v>
      </c>
      <c r="AU341" t="s">
        <v>3</v>
      </c>
      <c r="AV341">
        <v>0</v>
      </c>
      <c r="AW341">
        <v>2</v>
      </c>
      <c r="AX341">
        <v>145041821</v>
      </c>
      <c r="AY341">
        <v>1</v>
      </c>
      <c r="AZ341">
        <v>0</v>
      </c>
      <c r="BA341">
        <v>341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ROUND(Y341*Source!I145,9)</f>
        <v>5.9360000000000003E-3</v>
      </c>
      <c r="CY341">
        <f>AA341</f>
        <v>88842</v>
      </c>
      <c r="CZ341">
        <f>AE341</f>
        <v>10200</v>
      </c>
      <c r="DA341">
        <f>AI341</f>
        <v>8.7100000000000009</v>
      </c>
      <c r="DB341">
        <f>ROUND(ROUND(AT341*CZ341,2),2)</f>
        <v>285.60000000000002</v>
      </c>
      <c r="DC341">
        <f>ROUND(ROUND(AT341*AG341,2),2)</f>
        <v>0</v>
      </c>
      <c r="DD341" t="s">
        <v>3</v>
      </c>
      <c r="DE341" t="s">
        <v>3</v>
      </c>
      <c r="DF341">
        <f>ROUND(ROUND(AE341*AI341,2)*CX341,2)</f>
        <v>527.37</v>
      </c>
      <c r="DG341">
        <f>ROUND(ROUND(AF341,2)*CX341,2)</f>
        <v>0</v>
      </c>
      <c r="DH341">
        <f>ROUND(ROUND(AG341,2)*CX341,2)</f>
        <v>0</v>
      </c>
      <c r="DI341">
        <f>ROUND(ROUND(AH341,2)*CX341,2)</f>
        <v>0</v>
      </c>
      <c r="DJ341">
        <f>DF341</f>
        <v>527.37</v>
      </c>
      <c r="DK341">
        <v>0</v>
      </c>
      <c r="DL341" t="s">
        <v>3</v>
      </c>
      <c r="DM341">
        <v>0</v>
      </c>
      <c r="DN341" t="s">
        <v>3</v>
      </c>
      <c r="DO341">
        <v>0</v>
      </c>
    </row>
    <row r="342" spans="1:119" x14ac:dyDescent="0.2">
      <c r="A342">
        <f>ROW(Source!A145)</f>
        <v>145</v>
      </c>
      <c r="B342">
        <v>145033679</v>
      </c>
      <c r="C342">
        <v>145041767</v>
      </c>
      <c r="D342">
        <v>140762427</v>
      </c>
      <c r="E342">
        <v>70</v>
      </c>
      <c r="F342">
        <v>1</v>
      </c>
      <c r="G342">
        <v>1</v>
      </c>
      <c r="H342">
        <v>3</v>
      </c>
      <c r="I342" t="s">
        <v>1061</v>
      </c>
      <c r="J342" t="s">
        <v>3</v>
      </c>
      <c r="K342" t="s">
        <v>1062</v>
      </c>
      <c r="L342">
        <v>1348</v>
      </c>
      <c r="N342">
        <v>1009</v>
      </c>
      <c r="O342" t="s">
        <v>105</v>
      </c>
      <c r="P342" t="s">
        <v>105</v>
      </c>
      <c r="Q342">
        <v>1000</v>
      </c>
      <c r="W342">
        <v>0</v>
      </c>
      <c r="X342">
        <v>1471899773</v>
      </c>
      <c r="Y342">
        <f>AT342</f>
        <v>1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8.7100000000000009</v>
      </c>
      <c r="AJ342">
        <v>1</v>
      </c>
      <c r="AK342">
        <v>1</v>
      </c>
      <c r="AL342">
        <v>1</v>
      </c>
      <c r="AM342">
        <v>4</v>
      </c>
      <c r="AN342">
        <v>0</v>
      </c>
      <c r="AO342">
        <v>0</v>
      </c>
      <c r="AP342">
        <v>1</v>
      </c>
      <c r="AQ342">
        <v>0</v>
      </c>
      <c r="AR342">
        <v>0</v>
      </c>
      <c r="AS342" t="s">
        <v>3</v>
      </c>
      <c r="AT342">
        <v>1</v>
      </c>
      <c r="AU342" t="s">
        <v>3</v>
      </c>
      <c r="AV342">
        <v>0</v>
      </c>
      <c r="AW342">
        <v>2</v>
      </c>
      <c r="AX342">
        <v>145041822</v>
      </c>
      <c r="AY342">
        <v>1</v>
      </c>
      <c r="AZ342">
        <v>0</v>
      </c>
      <c r="BA342">
        <v>342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ROUND(Y342*Source!I145,9)</f>
        <v>0.21199999999999999</v>
      </c>
      <c r="CY342">
        <f>AA342</f>
        <v>0</v>
      </c>
      <c r="CZ342">
        <f>AE342</f>
        <v>0</v>
      </c>
      <c r="DA342">
        <f>AI342</f>
        <v>8.7100000000000009</v>
      </c>
      <c r="DB342">
        <f>ROUND(ROUND(AT342*CZ342,2),2)</f>
        <v>0</v>
      </c>
      <c r="DC342">
        <f>ROUND(ROUND(AT342*AG342,2),2)</f>
        <v>0</v>
      </c>
      <c r="DD342" t="s">
        <v>3</v>
      </c>
      <c r="DE342" t="s">
        <v>3</v>
      </c>
      <c r="DF342">
        <f>ROUND(ROUND(AE342*AI342,2)*CX342,2)</f>
        <v>0</v>
      </c>
      <c r="DG342">
        <f>ROUND(ROUND(AF342,2)*CX342,2)</f>
        <v>0</v>
      </c>
      <c r="DH342">
        <f>ROUND(ROUND(AG342,2)*CX342,2)</f>
        <v>0</v>
      </c>
      <c r="DI342">
        <f>ROUND(ROUND(AH342,2)*CX342,2)</f>
        <v>0</v>
      </c>
      <c r="DJ342">
        <f>DF342</f>
        <v>0</v>
      </c>
      <c r="DK342">
        <v>0</v>
      </c>
      <c r="DL342" t="s">
        <v>3</v>
      </c>
      <c r="DM342">
        <v>0</v>
      </c>
      <c r="DN342" t="s">
        <v>3</v>
      </c>
      <c r="DO342">
        <v>0</v>
      </c>
    </row>
    <row r="343" spans="1:119" x14ac:dyDescent="0.2">
      <c r="A343">
        <f>ROW(Source!A147)</f>
        <v>147</v>
      </c>
      <c r="B343">
        <v>145033679</v>
      </c>
      <c r="C343">
        <v>145041780</v>
      </c>
      <c r="D343">
        <v>140759935</v>
      </c>
      <c r="E343">
        <v>70</v>
      </c>
      <c r="F343">
        <v>1</v>
      </c>
      <c r="G343">
        <v>1</v>
      </c>
      <c r="H343">
        <v>1</v>
      </c>
      <c r="I343" t="s">
        <v>723</v>
      </c>
      <c r="J343" t="s">
        <v>3</v>
      </c>
      <c r="K343" t="s">
        <v>724</v>
      </c>
      <c r="L343">
        <v>1191</v>
      </c>
      <c r="N343">
        <v>1013</v>
      </c>
      <c r="O343" t="s">
        <v>725</v>
      </c>
      <c r="P343" t="s">
        <v>725</v>
      </c>
      <c r="Q343">
        <v>1</v>
      </c>
      <c r="W343">
        <v>0</v>
      </c>
      <c r="X343">
        <v>2031828327</v>
      </c>
      <c r="Y343">
        <f>((AT343*1.15)*1.15)</f>
        <v>178.53749999999999</v>
      </c>
      <c r="AA343">
        <v>0</v>
      </c>
      <c r="AB343">
        <v>0</v>
      </c>
      <c r="AC343">
        <v>0</v>
      </c>
      <c r="AD343">
        <v>238.21</v>
      </c>
      <c r="AE343">
        <v>0</v>
      </c>
      <c r="AF343">
        <v>0</v>
      </c>
      <c r="AG343">
        <v>0</v>
      </c>
      <c r="AH343">
        <v>7.8</v>
      </c>
      <c r="AI343">
        <v>1</v>
      </c>
      <c r="AJ343">
        <v>1</v>
      </c>
      <c r="AK343">
        <v>1</v>
      </c>
      <c r="AL343">
        <v>30.54</v>
      </c>
      <c r="AM343">
        <v>4</v>
      </c>
      <c r="AN343">
        <v>0</v>
      </c>
      <c r="AO343">
        <v>1</v>
      </c>
      <c r="AP343">
        <v>1</v>
      </c>
      <c r="AQ343">
        <v>0</v>
      </c>
      <c r="AR343">
        <v>0</v>
      </c>
      <c r="AS343" t="s">
        <v>3</v>
      </c>
      <c r="AT343">
        <v>135</v>
      </c>
      <c r="AU343" t="s">
        <v>91</v>
      </c>
      <c r="AV343">
        <v>1</v>
      </c>
      <c r="AW343">
        <v>2</v>
      </c>
      <c r="AX343">
        <v>145041809</v>
      </c>
      <c r="AY343">
        <v>1</v>
      </c>
      <c r="AZ343">
        <v>0</v>
      </c>
      <c r="BA343">
        <v>343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ROUND(Y343*Source!I147,9)</f>
        <v>24.681024000000001</v>
      </c>
      <c r="CY343">
        <f>AD343</f>
        <v>238.21</v>
      </c>
      <c r="CZ343">
        <f>AH343</f>
        <v>7.8</v>
      </c>
      <c r="DA343">
        <f>AL343</f>
        <v>30.54</v>
      </c>
      <c r="DB343">
        <f>ROUND(((ROUND(AT343*CZ343,2)*1.15)*1.15),2)</f>
        <v>1392.59</v>
      </c>
      <c r="DC343">
        <f>ROUND(((ROUND(AT343*AG343,2)*1.15)*1.15),2)</f>
        <v>0</v>
      </c>
      <c r="DD343" t="s">
        <v>3</v>
      </c>
      <c r="DE343" t="s">
        <v>3</v>
      </c>
      <c r="DF343">
        <f>ROUND(ROUND(AE343,2)*CX343,2)</f>
        <v>0</v>
      </c>
      <c r="DG343">
        <f>ROUND(ROUND(AF343,2)*CX343,2)</f>
        <v>0</v>
      </c>
      <c r="DH343">
        <f>ROUND(ROUND(AG343,2)*CX343,2)</f>
        <v>0</v>
      </c>
      <c r="DI343">
        <f>ROUND(ROUND(AH343*AL343,2)*CX343,2)</f>
        <v>5879.27</v>
      </c>
      <c r="DJ343">
        <f>DI343</f>
        <v>5879.27</v>
      </c>
      <c r="DK343">
        <v>0</v>
      </c>
      <c r="DL343" t="s">
        <v>3</v>
      </c>
      <c r="DM343">
        <v>0</v>
      </c>
      <c r="DN343" t="s">
        <v>3</v>
      </c>
      <c r="DO343">
        <v>0</v>
      </c>
    </row>
    <row r="344" spans="1:119" x14ac:dyDescent="0.2">
      <c r="A344">
        <f>ROW(Source!A147)</f>
        <v>147</v>
      </c>
      <c r="B344">
        <v>145033679</v>
      </c>
      <c r="C344">
        <v>145041780</v>
      </c>
      <c r="D344">
        <v>140760225</v>
      </c>
      <c r="E344">
        <v>70</v>
      </c>
      <c r="F344">
        <v>1</v>
      </c>
      <c r="G344">
        <v>1</v>
      </c>
      <c r="H344">
        <v>1</v>
      </c>
      <c r="I344" t="s">
        <v>730</v>
      </c>
      <c r="J344" t="s">
        <v>3</v>
      </c>
      <c r="K344" t="s">
        <v>731</v>
      </c>
      <c r="L344">
        <v>1191</v>
      </c>
      <c r="N344">
        <v>1013</v>
      </c>
      <c r="O344" t="s">
        <v>725</v>
      </c>
      <c r="P344" t="s">
        <v>725</v>
      </c>
      <c r="Q344">
        <v>1</v>
      </c>
      <c r="W344">
        <v>0</v>
      </c>
      <c r="X344">
        <v>-1417349443</v>
      </c>
      <c r="Y344">
        <f>((AT344*1.25)*1.15)</f>
        <v>26.047499999999999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1</v>
      </c>
      <c r="AJ344">
        <v>1</v>
      </c>
      <c r="AK344">
        <v>30.54</v>
      </c>
      <c r="AL344">
        <v>1</v>
      </c>
      <c r="AM344">
        <v>4</v>
      </c>
      <c r="AN344">
        <v>0</v>
      </c>
      <c r="AO344">
        <v>1</v>
      </c>
      <c r="AP344">
        <v>1</v>
      </c>
      <c r="AQ344">
        <v>0</v>
      </c>
      <c r="AR344">
        <v>0</v>
      </c>
      <c r="AS344" t="s">
        <v>3</v>
      </c>
      <c r="AT344">
        <v>18.12</v>
      </c>
      <c r="AU344" t="s">
        <v>90</v>
      </c>
      <c r="AV344">
        <v>2</v>
      </c>
      <c r="AW344">
        <v>2</v>
      </c>
      <c r="AX344">
        <v>145041810</v>
      </c>
      <c r="AY344">
        <v>1</v>
      </c>
      <c r="AZ344">
        <v>0</v>
      </c>
      <c r="BA344">
        <v>344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ROUND(Y344*Source!I147,9)</f>
        <v>3.6008064000000002</v>
      </c>
      <c r="CY344">
        <f>AD344</f>
        <v>0</v>
      </c>
      <c r="CZ344">
        <f>AH344</f>
        <v>0</v>
      </c>
      <c r="DA344">
        <f>AL344</f>
        <v>1</v>
      </c>
      <c r="DB344">
        <f>ROUND(((ROUND(AT344*CZ344,2)*1.25)*1.15),2)</f>
        <v>0</v>
      </c>
      <c r="DC344">
        <f>ROUND(((ROUND(AT344*AG344,2)*1.25)*1.15),2)</f>
        <v>0</v>
      </c>
      <c r="DD344" t="s">
        <v>3</v>
      </c>
      <c r="DE344" t="s">
        <v>3</v>
      </c>
      <c r="DF344">
        <f>ROUND(ROUND(AE344,2)*CX344,2)</f>
        <v>0</v>
      </c>
      <c r="DG344">
        <f>ROUND(ROUND(AF344,2)*CX344,2)</f>
        <v>0</v>
      </c>
      <c r="DH344">
        <f>ROUND(ROUND(AG344*AK344,2)*CX344,2)</f>
        <v>0</v>
      </c>
      <c r="DI344">
        <f t="shared" ref="DI344:DI350" si="145">ROUND(ROUND(AH344,2)*CX344,2)</f>
        <v>0</v>
      </c>
      <c r="DJ344">
        <f>DI344</f>
        <v>0</v>
      </c>
      <c r="DK344">
        <v>0</v>
      </c>
      <c r="DL344" t="s">
        <v>3</v>
      </c>
      <c r="DM344">
        <v>0</v>
      </c>
      <c r="DN344" t="s">
        <v>3</v>
      </c>
      <c r="DO344">
        <v>0</v>
      </c>
    </row>
    <row r="345" spans="1:119" x14ac:dyDescent="0.2">
      <c r="A345">
        <f>ROW(Source!A147)</f>
        <v>147</v>
      </c>
      <c r="B345">
        <v>145033679</v>
      </c>
      <c r="C345">
        <v>145041780</v>
      </c>
      <c r="D345">
        <v>140922893</v>
      </c>
      <c r="E345">
        <v>1</v>
      </c>
      <c r="F345">
        <v>1</v>
      </c>
      <c r="G345">
        <v>1</v>
      </c>
      <c r="H345">
        <v>2</v>
      </c>
      <c r="I345" t="s">
        <v>749</v>
      </c>
      <c r="J345" t="s">
        <v>750</v>
      </c>
      <c r="K345" t="s">
        <v>751</v>
      </c>
      <c r="L345">
        <v>1367</v>
      </c>
      <c r="N345">
        <v>1011</v>
      </c>
      <c r="O345" t="s">
        <v>79</v>
      </c>
      <c r="P345" t="s">
        <v>79</v>
      </c>
      <c r="Q345">
        <v>1</v>
      </c>
      <c r="W345">
        <v>0</v>
      </c>
      <c r="X345">
        <v>-130837057</v>
      </c>
      <c r="Y345">
        <f>((AT345*1.25)*1.15)</f>
        <v>25.874999999999996</v>
      </c>
      <c r="AA345">
        <v>0</v>
      </c>
      <c r="AB345">
        <v>1048.03</v>
      </c>
      <c r="AC345">
        <v>412.29</v>
      </c>
      <c r="AD345">
        <v>0</v>
      </c>
      <c r="AE345">
        <v>0</v>
      </c>
      <c r="AF345">
        <v>86.4</v>
      </c>
      <c r="AG345">
        <v>13.5</v>
      </c>
      <c r="AH345">
        <v>0</v>
      </c>
      <c r="AI345">
        <v>1</v>
      </c>
      <c r="AJ345">
        <v>12.13</v>
      </c>
      <c r="AK345">
        <v>30.54</v>
      </c>
      <c r="AL345">
        <v>1</v>
      </c>
      <c r="AM345">
        <v>4</v>
      </c>
      <c r="AN345">
        <v>0</v>
      </c>
      <c r="AO345">
        <v>1</v>
      </c>
      <c r="AP345">
        <v>1</v>
      </c>
      <c r="AQ345">
        <v>0</v>
      </c>
      <c r="AR345">
        <v>0</v>
      </c>
      <c r="AS345" t="s">
        <v>3</v>
      </c>
      <c r="AT345">
        <v>18</v>
      </c>
      <c r="AU345" t="s">
        <v>90</v>
      </c>
      <c r="AV345">
        <v>0</v>
      </c>
      <c r="AW345">
        <v>2</v>
      </c>
      <c r="AX345">
        <v>145041811</v>
      </c>
      <c r="AY345">
        <v>1</v>
      </c>
      <c r="AZ345">
        <v>0</v>
      </c>
      <c r="BA345">
        <v>345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ROUND(Y345*Source!I147,9)</f>
        <v>3.5769600000000001</v>
      </c>
      <c r="CY345">
        <f>AB345</f>
        <v>1048.03</v>
      </c>
      <c r="CZ345">
        <f>AF345</f>
        <v>86.4</v>
      </c>
      <c r="DA345">
        <f>AJ345</f>
        <v>12.13</v>
      </c>
      <c r="DB345">
        <f>ROUND(((ROUND(AT345*CZ345,2)*1.25)*1.15),2)</f>
        <v>2235.6</v>
      </c>
      <c r="DC345">
        <f>ROUND(((ROUND(AT345*AG345,2)*1.25)*1.15),2)</f>
        <v>349.31</v>
      </c>
      <c r="DD345" t="s">
        <v>3</v>
      </c>
      <c r="DE345" t="s">
        <v>3</v>
      </c>
      <c r="DF345">
        <f>ROUND(ROUND(AE345,2)*CX345,2)</f>
        <v>0</v>
      </c>
      <c r="DG345">
        <f>ROUND(ROUND(AF345*AJ345,2)*CX345,2)</f>
        <v>3748.76</v>
      </c>
      <c r="DH345">
        <f>ROUND(ROUND(AG345*AK345,2)*CX345,2)</f>
        <v>1474.74</v>
      </c>
      <c r="DI345">
        <f t="shared" si="145"/>
        <v>0</v>
      </c>
      <c r="DJ345">
        <f>DG345</f>
        <v>3748.76</v>
      </c>
      <c r="DK345">
        <v>0</v>
      </c>
      <c r="DL345" t="s">
        <v>3</v>
      </c>
      <c r="DM345">
        <v>0</v>
      </c>
      <c r="DN345" t="s">
        <v>3</v>
      </c>
      <c r="DO345">
        <v>0</v>
      </c>
    </row>
    <row r="346" spans="1:119" x14ac:dyDescent="0.2">
      <c r="A346">
        <f>ROW(Source!A147)</f>
        <v>147</v>
      </c>
      <c r="B346">
        <v>145033679</v>
      </c>
      <c r="C346">
        <v>145041780</v>
      </c>
      <c r="D346">
        <v>140923229</v>
      </c>
      <c r="E346">
        <v>1</v>
      </c>
      <c r="F346">
        <v>1</v>
      </c>
      <c r="G346">
        <v>1</v>
      </c>
      <c r="H346">
        <v>2</v>
      </c>
      <c r="I346" t="s">
        <v>1006</v>
      </c>
      <c r="J346" t="s">
        <v>1007</v>
      </c>
      <c r="K346" t="s">
        <v>1008</v>
      </c>
      <c r="L346">
        <v>1367</v>
      </c>
      <c r="N346">
        <v>1011</v>
      </c>
      <c r="O346" t="s">
        <v>79</v>
      </c>
      <c r="P346" t="s">
        <v>79</v>
      </c>
      <c r="Q346">
        <v>1</v>
      </c>
      <c r="W346">
        <v>0</v>
      </c>
      <c r="X346">
        <v>-1322498708</v>
      </c>
      <c r="Y346">
        <f>((AT346*1.25)*1.15)</f>
        <v>8.5243749999999991</v>
      </c>
      <c r="AA346">
        <v>0</v>
      </c>
      <c r="AB346">
        <v>6.07</v>
      </c>
      <c r="AC346">
        <v>0</v>
      </c>
      <c r="AD346">
        <v>0</v>
      </c>
      <c r="AE346">
        <v>0</v>
      </c>
      <c r="AF346">
        <v>0.5</v>
      </c>
      <c r="AG346">
        <v>0</v>
      </c>
      <c r="AH346">
        <v>0</v>
      </c>
      <c r="AI346">
        <v>1</v>
      </c>
      <c r="AJ346">
        <v>12.13</v>
      </c>
      <c r="AK346">
        <v>30.54</v>
      </c>
      <c r="AL346">
        <v>1</v>
      </c>
      <c r="AM346">
        <v>4</v>
      </c>
      <c r="AN346">
        <v>0</v>
      </c>
      <c r="AO346">
        <v>1</v>
      </c>
      <c r="AP346">
        <v>1</v>
      </c>
      <c r="AQ346">
        <v>0</v>
      </c>
      <c r="AR346">
        <v>0</v>
      </c>
      <c r="AS346" t="s">
        <v>3</v>
      </c>
      <c r="AT346">
        <v>5.93</v>
      </c>
      <c r="AU346" t="s">
        <v>90</v>
      </c>
      <c r="AV346">
        <v>0</v>
      </c>
      <c r="AW346">
        <v>2</v>
      </c>
      <c r="AX346">
        <v>145041812</v>
      </c>
      <c r="AY346">
        <v>1</v>
      </c>
      <c r="AZ346">
        <v>0</v>
      </c>
      <c r="BA346">
        <v>346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ROUND(Y346*Source!I147,9)</f>
        <v>1.1784095999999999</v>
      </c>
      <c r="CY346">
        <f>AB346</f>
        <v>6.07</v>
      </c>
      <c r="CZ346">
        <f>AF346</f>
        <v>0.5</v>
      </c>
      <c r="DA346">
        <f>AJ346</f>
        <v>12.13</v>
      </c>
      <c r="DB346">
        <f>ROUND(((ROUND(AT346*CZ346,2)*1.25)*1.15),2)</f>
        <v>4.2699999999999996</v>
      </c>
      <c r="DC346">
        <f>ROUND(((ROUND(AT346*AG346,2)*1.25)*1.15),2)</f>
        <v>0</v>
      </c>
      <c r="DD346" t="s">
        <v>3</v>
      </c>
      <c r="DE346" t="s">
        <v>3</v>
      </c>
      <c r="DF346">
        <f>ROUND(ROUND(AE346,2)*CX346,2)</f>
        <v>0</v>
      </c>
      <c r="DG346">
        <f>ROUND(ROUND(AF346*AJ346,2)*CX346,2)</f>
        <v>7.15</v>
      </c>
      <c r="DH346">
        <f>ROUND(ROUND(AG346*AK346,2)*CX346,2)</f>
        <v>0</v>
      </c>
      <c r="DI346">
        <f t="shared" si="145"/>
        <v>0</v>
      </c>
      <c r="DJ346">
        <f>DG346</f>
        <v>7.15</v>
      </c>
      <c r="DK346">
        <v>0</v>
      </c>
      <c r="DL346" t="s">
        <v>3</v>
      </c>
      <c r="DM346">
        <v>0</v>
      </c>
      <c r="DN346" t="s">
        <v>3</v>
      </c>
      <c r="DO346">
        <v>0</v>
      </c>
    </row>
    <row r="347" spans="1:119" x14ac:dyDescent="0.2">
      <c r="A347">
        <f>ROW(Source!A147)</f>
        <v>147</v>
      </c>
      <c r="B347">
        <v>145033679</v>
      </c>
      <c r="C347">
        <v>145041780</v>
      </c>
      <c r="D347">
        <v>140923885</v>
      </c>
      <c r="E347">
        <v>1</v>
      </c>
      <c r="F347">
        <v>1</v>
      </c>
      <c r="G347">
        <v>1</v>
      </c>
      <c r="H347">
        <v>2</v>
      </c>
      <c r="I347" t="s">
        <v>732</v>
      </c>
      <c r="J347" t="s">
        <v>733</v>
      </c>
      <c r="K347" t="s">
        <v>734</v>
      </c>
      <c r="L347">
        <v>1367</v>
      </c>
      <c r="N347">
        <v>1011</v>
      </c>
      <c r="O347" t="s">
        <v>79</v>
      </c>
      <c r="P347" t="s">
        <v>79</v>
      </c>
      <c r="Q347">
        <v>1</v>
      </c>
      <c r="W347">
        <v>0</v>
      </c>
      <c r="X347">
        <v>509054691</v>
      </c>
      <c r="Y347">
        <f>((AT347*1.25)*1.15)</f>
        <v>0.17249999999999999</v>
      </c>
      <c r="AA347">
        <v>0</v>
      </c>
      <c r="AB347">
        <v>797.06</v>
      </c>
      <c r="AC347">
        <v>354.26</v>
      </c>
      <c r="AD347">
        <v>0</v>
      </c>
      <c r="AE347">
        <v>0</v>
      </c>
      <c r="AF347">
        <v>65.709999999999994</v>
      </c>
      <c r="AG347">
        <v>11.6</v>
      </c>
      <c r="AH347">
        <v>0</v>
      </c>
      <c r="AI347">
        <v>1</v>
      </c>
      <c r="AJ347">
        <v>12.13</v>
      </c>
      <c r="AK347">
        <v>30.54</v>
      </c>
      <c r="AL347">
        <v>1</v>
      </c>
      <c r="AM347">
        <v>4</v>
      </c>
      <c r="AN347">
        <v>0</v>
      </c>
      <c r="AO347">
        <v>1</v>
      </c>
      <c r="AP347">
        <v>1</v>
      </c>
      <c r="AQ347">
        <v>0</v>
      </c>
      <c r="AR347">
        <v>0</v>
      </c>
      <c r="AS347" t="s">
        <v>3</v>
      </c>
      <c r="AT347">
        <v>0.12</v>
      </c>
      <c r="AU347" t="s">
        <v>90</v>
      </c>
      <c r="AV347">
        <v>0</v>
      </c>
      <c r="AW347">
        <v>2</v>
      </c>
      <c r="AX347">
        <v>145041813</v>
      </c>
      <c r="AY347">
        <v>1</v>
      </c>
      <c r="AZ347">
        <v>0</v>
      </c>
      <c r="BA347">
        <v>347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ROUND(Y347*Source!I147,9)</f>
        <v>2.38464E-2</v>
      </c>
      <c r="CY347">
        <f>AB347</f>
        <v>797.06</v>
      </c>
      <c r="CZ347">
        <f>AF347</f>
        <v>65.709999999999994</v>
      </c>
      <c r="DA347">
        <f>AJ347</f>
        <v>12.13</v>
      </c>
      <c r="DB347">
        <f>ROUND(((ROUND(AT347*CZ347,2)*1.25)*1.15),2)</f>
        <v>11.34</v>
      </c>
      <c r="DC347">
        <f>ROUND(((ROUND(AT347*AG347,2)*1.25)*1.15),2)</f>
        <v>2</v>
      </c>
      <c r="DD347" t="s">
        <v>3</v>
      </c>
      <c r="DE347" t="s">
        <v>3</v>
      </c>
      <c r="DF347">
        <f>ROUND(ROUND(AE347,2)*CX347,2)</f>
        <v>0</v>
      </c>
      <c r="DG347">
        <f>ROUND(ROUND(AF347*AJ347,2)*CX347,2)</f>
        <v>19.010000000000002</v>
      </c>
      <c r="DH347">
        <f>ROUND(ROUND(AG347*AK347,2)*CX347,2)</f>
        <v>8.4499999999999993</v>
      </c>
      <c r="DI347">
        <f t="shared" si="145"/>
        <v>0</v>
      </c>
      <c r="DJ347">
        <f>DG347</f>
        <v>19.010000000000002</v>
      </c>
      <c r="DK347">
        <v>0</v>
      </c>
      <c r="DL347" t="s">
        <v>3</v>
      </c>
      <c r="DM347">
        <v>0</v>
      </c>
      <c r="DN347" t="s">
        <v>3</v>
      </c>
      <c r="DO347">
        <v>0</v>
      </c>
    </row>
    <row r="348" spans="1:119" x14ac:dyDescent="0.2">
      <c r="A348">
        <f>ROW(Source!A147)</f>
        <v>147</v>
      </c>
      <c r="B348">
        <v>145033679</v>
      </c>
      <c r="C348">
        <v>145041780</v>
      </c>
      <c r="D348">
        <v>140772680</v>
      </c>
      <c r="E348">
        <v>1</v>
      </c>
      <c r="F348">
        <v>1</v>
      </c>
      <c r="G348">
        <v>1</v>
      </c>
      <c r="H348">
        <v>3</v>
      </c>
      <c r="I348" t="s">
        <v>735</v>
      </c>
      <c r="J348" t="s">
        <v>736</v>
      </c>
      <c r="K348" t="s">
        <v>737</v>
      </c>
      <c r="L348">
        <v>1339</v>
      </c>
      <c r="N348">
        <v>1007</v>
      </c>
      <c r="O348" t="s">
        <v>66</v>
      </c>
      <c r="P348" t="s">
        <v>66</v>
      </c>
      <c r="Q348">
        <v>1</v>
      </c>
      <c r="W348">
        <v>0</v>
      </c>
      <c r="X348">
        <v>-143474561</v>
      </c>
      <c r="Y348">
        <f>AT348</f>
        <v>1.75</v>
      </c>
      <c r="AA348">
        <v>21.25</v>
      </c>
      <c r="AB348">
        <v>0</v>
      </c>
      <c r="AC348">
        <v>0</v>
      </c>
      <c r="AD348">
        <v>0</v>
      </c>
      <c r="AE348">
        <v>2.44</v>
      </c>
      <c r="AF348">
        <v>0</v>
      </c>
      <c r="AG348">
        <v>0</v>
      </c>
      <c r="AH348">
        <v>0</v>
      </c>
      <c r="AI348">
        <v>8.7100000000000009</v>
      </c>
      <c r="AJ348">
        <v>1</v>
      </c>
      <c r="AK348">
        <v>1</v>
      </c>
      <c r="AL348">
        <v>1</v>
      </c>
      <c r="AM348">
        <v>4</v>
      </c>
      <c r="AN348">
        <v>0</v>
      </c>
      <c r="AO348">
        <v>1</v>
      </c>
      <c r="AP348">
        <v>1</v>
      </c>
      <c r="AQ348">
        <v>0</v>
      </c>
      <c r="AR348">
        <v>0</v>
      </c>
      <c r="AS348" t="s">
        <v>3</v>
      </c>
      <c r="AT348">
        <v>1.75</v>
      </c>
      <c r="AU348" t="s">
        <v>3</v>
      </c>
      <c r="AV348">
        <v>0</v>
      </c>
      <c r="AW348">
        <v>2</v>
      </c>
      <c r="AX348">
        <v>145041814</v>
      </c>
      <c r="AY348">
        <v>1</v>
      </c>
      <c r="AZ348">
        <v>0</v>
      </c>
      <c r="BA348">
        <v>348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ROUND(Y348*Source!I147,9)</f>
        <v>0.24192</v>
      </c>
      <c r="CY348">
        <f>AA348</f>
        <v>21.25</v>
      </c>
      <c r="CZ348">
        <f>AE348</f>
        <v>2.44</v>
      </c>
      <c r="DA348">
        <f>AI348</f>
        <v>8.7100000000000009</v>
      </c>
      <c r="DB348">
        <f>ROUND(ROUND(AT348*CZ348,2),2)</f>
        <v>4.2699999999999996</v>
      </c>
      <c r="DC348">
        <f>ROUND(ROUND(AT348*AG348,2),2)</f>
        <v>0</v>
      </c>
      <c r="DD348" t="s">
        <v>3</v>
      </c>
      <c r="DE348" t="s">
        <v>3</v>
      </c>
      <c r="DF348">
        <f>ROUND(ROUND(AE348*AI348,2)*CX348,2)</f>
        <v>5.14</v>
      </c>
      <c r="DG348">
        <f>ROUND(ROUND(AF348,2)*CX348,2)</f>
        <v>0</v>
      </c>
      <c r="DH348">
        <f>ROUND(ROUND(AG348,2)*CX348,2)</f>
        <v>0</v>
      </c>
      <c r="DI348">
        <f t="shared" si="145"/>
        <v>0</v>
      </c>
      <c r="DJ348">
        <f>DF348</f>
        <v>5.14</v>
      </c>
      <c r="DK348">
        <v>0</v>
      </c>
      <c r="DL348" t="s">
        <v>3</v>
      </c>
      <c r="DM348">
        <v>0</v>
      </c>
      <c r="DN348" t="s">
        <v>3</v>
      </c>
      <c r="DO348">
        <v>0</v>
      </c>
    </row>
    <row r="349" spans="1:119" x14ac:dyDescent="0.2">
      <c r="A349">
        <f>ROW(Source!A147)</f>
        <v>147</v>
      </c>
      <c r="B349">
        <v>145033679</v>
      </c>
      <c r="C349">
        <v>145041780</v>
      </c>
      <c r="D349">
        <v>140773170</v>
      </c>
      <c r="E349">
        <v>1</v>
      </c>
      <c r="F349">
        <v>1</v>
      </c>
      <c r="G349">
        <v>1</v>
      </c>
      <c r="H349">
        <v>3</v>
      </c>
      <c r="I349" t="s">
        <v>1063</v>
      </c>
      <c r="J349" t="s">
        <v>1064</v>
      </c>
      <c r="K349" t="s">
        <v>1065</v>
      </c>
      <c r="L349">
        <v>1327</v>
      </c>
      <c r="N349">
        <v>1005</v>
      </c>
      <c r="O349" t="s">
        <v>131</v>
      </c>
      <c r="P349" t="s">
        <v>131</v>
      </c>
      <c r="Q349">
        <v>1</v>
      </c>
      <c r="W349">
        <v>0</v>
      </c>
      <c r="X349">
        <v>1300369369</v>
      </c>
      <c r="Y349">
        <f>AT349</f>
        <v>250</v>
      </c>
      <c r="AA349">
        <v>31.53</v>
      </c>
      <c r="AB349">
        <v>0</v>
      </c>
      <c r="AC349">
        <v>0</v>
      </c>
      <c r="AD349">
        <v>0</v>
      </c>
      <c r="AE349">
        <v>3.62</v>
      </c>
      <c r="AF349">
        <v>0</v>
      </c>
      <c r="AG349">
        <v>0</v>
      </c>
      <c r="AH349">
        <v>0</v>
      </c>
      <c r="AI349">
        <v>8.7100000000000009</v>
      </c>
      <c r="AJ349">
        <v>1</v>
      </c>
      <c r="AK349">
        <v>1</v>
      </c>
      <c r="AL349">
        <v>1</v>
      </c>
      <c r="AM349">
        <v>4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250</v>
      </c>
      <c r="AU349" t="s">
        <v>3</v>
      </c>
      <c r="AV349">
        <v>0</v>
      </c>
      <c r="AW349">
        <v>2</v>
      </c>
      <c r="AX349">
        <v>145041815</v>
      </c>
      <c r="AY349">
        <v>1</v>
      </c>
      <c r="AZ349">
        <v>0</v>
      </c>
      <c r="BA349">
        <v>349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ROUND(Y349*Source!I147,9)</f>
        <v>34.56</v>
      </c>
      <c r="CY349">
        <f>AA349</f>
        <v>31.53</v>
      </c>
      <c r="CZ349">
        <f>AE349</f>
        <v>3.62</v>
      </c>
      <c r="DA349">
        <f>AI349</f>
        <v>8.7100000000000009</v>
      </c>
      <c r="DB349">
        <f>ROUND(ROUND(AT349*CZ349,2),2)</f>
        <v>905</v>
      </c>
      <c r="DC349">
        <f>ROUND(ROUND(AT349*AG349,2),2)</f>
        <v>0</v>
      </c>
      <c r="DD349" t="s">
        <v>3</v>
      </c>
      <c r="DE349" t="s">
        <v>3</v>
      </c>
      <c r="DF349">
        <f>ROUND(ROUND(AE349*AI349,2)*CX349,2)</f>
        <v>1089.68</v>
      </c>
      <c r="DG349">
        <f>ROUND(ROUND(AF349,2)*CX349,2)</f>
        <v>0</v>
      </c>
      <c r="DH349">
        <f>ROUND(ROUND(AG349,2)*CX349,2)</f>
        <v>0</v>
      </c>
      <c r="DI349">
        <f t="shared" si="145"/>
        <v>0</v>
      </c>
      <c r="DJ349">
        <f>DF349</f>
        <v>1089.68</v>
      </c>
      <c r="DK349">
        <v>0</v>
      </c>
      <c r="DL349" t="s">
        <v>3</v>
      </c>
      <c r="DM349">
        <v>0</v>
      </c>
      <c r="DN349" t="s">
        <v>3</v>
      </c>
      <c r="DO349">
        <v>0</v>
      </c>
    </row>
    <row r="350" spans="1:119" x14ac:dyDescent="0.2">
      <c r="A350">
        <f>ROW(Source!A147)</f>
        <v>147</v>
      </c>
      <c r="B350">
        <v>145033679</v>
      </c>
      <c r="C350">
        <v>145041780</v>
      </c>
      <c r="D350">
        <v>140761051</v>
      </c>
      <c r="E350">
        <v>70</v>
      </c>
      <c r="F350">
        <v>1</v>
      </c>
      <c r="G350">
        <v>1</v>
      </c>
      <c r="H350">
        <v>3</v>
      </c>
      <c r="I350" t="s">
        <v>1012</v>
      </c>
      <c r="J350" t="s">
        <v>3</v>
      </c>
      <c r="K350" t="s">
        <v>1013</v>
      </c>
      <c r="L350">
        <v>1339</v>
      </c>
      <c r="N350">
        <v>1007</v>
      </c>
      <c r="O350" t="s">
        <v>66</v>
      </c>
      <c r="P350" t="s">
        <v>66</v>
      </c>
      <c r="Q350">
        <v>1</v>
      </c>
      <c r="W350">
        <v>0</v>
      </c>
      <c r="X350">
        <v>-157982121</v>
      </c>
      <c r="Y350">
        <f>AT350</f>
        <v>102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8.7100000000000009</v>
      </c>
      <c r="AJ350">
        <v>1</v>
      </c>
      <c r="AK350">
        <v>1</v>
      </c>
      <c r="AL350">
        <v>1</v>
      </c>
      <c r="AM350">
        <v>4</v>
      </c>
      <c r="AN350">
        <v>0</v>
      </c>
      <c r="AO350">
        <v>0</v>
      </c>
      <c r="AP350">
        <v>1</v>
      </c>
      <c r="AQ350">
        <v>0</v>
      </c>
      <c r="AR350">
        <v>0</v>
      </c>
      <c r="AS350" t="s">
        <v>3</v>
      </c>
      <c r="AT350">
        <v>102</v>
      </c>
      <c r="AU350" t="s">
        <v>3</v>
      </c>
      <c r="AV350">
        <v>0</v>
      </c>
      <c r="AW350">
        <v>2</v>
      </c>
      <c r="AX350">
        <v>145041816</v>
      </c>
      <c r="AY350">
        <v>1</v>
      </c>
      <c r="AZ350">
        <v>0</v>
      </c>
      <c r="BA350">
        <v>350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ROUND(Y350*Source!I147,9)</f>
        <v>14.100479999999999</v>
      </c>
      <c r="CY350">
        <f>AA350</f>
        <v>0</v>
      </c>
      <c r="CZ350">
        <f>AE350</f>
        <v>0</v>
      </c>
      <c r="DA350">
        <f>AI350</f>
        <v>8.7100000000000009</v>
      </c>
      <c r="DB350">
        <f>ROUND(ROUND(AT350*CZ350,2),2)</f>
        <v>0</v>
      </c>
      <c r="DC350">
        <f>ROUND(ROUND(AT350*AG350,2),2)</f>
        <v>0</v>
      </c>
      <c r="DD350" t="s">
        <v>3</v>
      </c>
      <c r="DE350" t="s">
        <v>3</v>
      </c>
      <c r="DF350">
        <f>ROUND(ROUND(AE350*AI350,2)*CX350,2)</f>
        <v>0</v>
      </c>
      <c r="DG350">
        <f>ROUND(ROUND(AF350,2)*CX350,2)</f>
        <v>0</v>
      </c>
      <c r="DH350">
        <f>ROUND(ROUND(AG350,2)*CX350,2)</f>
        <v>0</v>
      </c>
      <c r="DI350">
        <f t="shared" si="145"/>
        <v>0</v>
      </c>
      <c r="DJ350">
        <f>DF350</f>
        <v>0</v>
      </c>
      <c r="DK350">
        <v>0</v>
      </c>
      <c r="DL350" t="s">
        <v>3</v>
      </c>
      <c r="DM350">
        <v>0</v>
      </c>
      <c r="DN350" t="s">
        <v>3</v>
      </c>
      <c r="DO350">
        <v>0</v>
      </c>
    </row>
    <row r="351" spans="1:119" x14ac:dyDescent="0.2">
      <c r="A351">
        <f>ROW(Source!A152)</f>
        <v>152</v>
      </c>
      <c r="B351">
        <v>145033679</v>
      </c>
      <c r="C351">
        <v>145051694</v>
      </c>
      <c r="D351">
        <v>140759909</v>
      </c>
      <c r="E351">
        <v>70</v>
      </c>
      <c r="F351">
        <v>1</v>
      </c>
      <c r="G351">
        <v>1</v>
      </c>
      <c r="H351">
        <v>1</v>
      </c>
      <c r="I351" t="s">
        <v>808</v>
      </c>
      <c r="J351" t="s">
        <v>3</v>
      </c>
      <c r="K351" t="s">
        <v>809</v>
      </c>
      <c r="L351">
        <v>1191</v>
      </c>
      <c r="N351">
        <v>1013</v>
      </c>
      <c r="O351" t="s">
        <v>725</v>
      </c>
      <c r="P351" t="s">
        <v>725</v>
      </c>
      <c r="Q351">
        <v>1</v>
      </c>
      <c r="W351">
        <v>0</v>
      </c>
      <c r="X351">
        <v>980964037</v>
      </c>
      <c r="Y351">
        <f>(AT351*1.15)</f>
        <v>0.66699999999999993</v>
      </c>
      <c r="AA351">
        <v>0</v>
      </c>
      <c r="AB351">
        <v>0</v>
      </c>
      <c r="AC351">
        <v>0</v>
      </c>
      <c r="AD351">
        <v>230.88</v>
      </c>
      <c r="AE351">
        <v>0</v>
      </c>
      <c r="AF351">
        <v>0</v>
      </c>
      <c r="AG351">
        <v>0</v>
      </c>
      <c r="AH351">
        <v>7.56</v>
      </c>
      <c r="AI351">
        <v>1</v>
      </c>
      <c r="AJ351">
        <v>1</v>
      </c>
      <c r="AK351">
        <v>1</v>
      </c>
      <c r="AL351">
        <v>30.54</v>
      </c>
      <c r="AM351">
        <v>4</v>
      </c>
      <c r="AN351">
        <v>0</v>
      </c>
      <c r="AO351">
        <v>1</v>
      </c>
      <c r="AP351">
        <v>1</v>
      </c>
      <c r="AQ351">
        <v>0</v>
      </c>
      <c r="AR351">
        <v>0</v>
      </c>
      <c r="AS351" t="s">
        <v>3</v>
      </c>
      <c r="AT351">
        <v>0.57999999999999996</v>
      </c>
      <c r="AU351" t="s">
        <v>21</v>
      </c>
      <c r="AV351">
        <v>1</v>
      </c>
      <c r="AW351">
        <v>2</v>
      </c>
      <c r="AX351">
        <v>145051697</v>
      </c>
      <c r="AY351">
        <v>1</v>
      </c>
      <c r="AZ351">
        <v>0</v>
      </c>
      <c r="BA351">
        <v>351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ROUND(Y351*Source!I152,9)</f>
        <v>13.34</v>
      </c>
      <c r="CY351">
        <f>AD351</f>
        <v>230.88</v>
      </c>
      <c r="CZ351">
        <f>AH351</f>
        <v>7.56</v>
      </c>
      <c r="DA351">
        <f>AL351</f>
        <v>30.54</v>
      </c>
      <c r="DB351">
        <f>ROUND((ROUND(AT351*CZ351,2)*1.15),2)</f>
        <v>5.04</v>
      </c>
      <c r="DC351">
        <f>ROUND((ROUND(AT351*AG351,2)*1.15),2)</f>
        <v>0</v>
      </c>
      <c r="DD351" t="s">
        <v>3</v>
      </c>
      <c r="DE351" t="s">
        <v>3</v>
      </c>
      <c r="DF351">
        <f t="shared" ref="DF351:DF358" si="146">ROUND(ROUND(AE351,2)*CX351,2)</f>
        <v>0</v>
      </c>
      <c r="DG351">
        <f>ROUND(ROUND(AF351,2)*CX351,2)</f>
        <v>0</v>
      </c>
      <c r="DH351">
        <f>ROUND(ROUND(AG351,2)*CX351,2)</f>
        <v>0</v>
      </c>
      <c r="DI351">
        <f>ROUND(ROUND(AH351*AL351,2)*CX351,2)</f>
        <v>3079.94</v>
      </c>
      <c r="DJ351">
        <f>DI351</f>
        <v>3079.94</v>
      </c>
      <c r="DK351">
        <v>0</v>
      </c>
      <c r="DL351" t="s">
        <v>3</v>
      </c>
      <c r="DM351">
        <v>0</v>
      </c>
      <c r="DN351" t="s">
        <v>3</v>
      </c>
      <c r="DO351">
        <v>0</v>
      </c>
    </row>
    <row r="352" spans="1:119" x14ac:dyDescent="0.2">
      <c r="A352">
        <f>ROW(Source!A153)</f>
        <v>153</v>
      </c>
      <c r="B352">
        <v>145033679</v>
      </c>
      <c r="C352">
        <v>145051698</v>
      </c>
      <c r="D352">
        <v>140759979</v>
      </c>
      <c r="E352">
        <v>70</v>
      </c>
      <c r="F352">
        <v>1</v>
      </c>
      <c r="G352">
        <v>1</v>
      </c>
      <c r="H352">
        <v>1</v>
      </c>
      <c r="I352" t="s">
        <v>745</v>
      </c>
      <c r="J352" t="s">
        <v>3</v>
      </c>
      <c r="K352" t="s">
        <v>746</v>
      </c>
      <c r="L352">
        <v>1191</v>
      </c>
      <c r="N352">
        <v>1013</v>
      </c>
      <c r="O352" t="s">
        <v>725</v>
      </c>
      <c r="P352" t="s">
        <v>725</v>
      </c>
      <c r="Q352">
        <v>1</v>
      </c>
      <c r="W352">
        <v>0</v>
      </c>
      <c r="X352">
        <v>1049124552</v>
      </c>
      <c r="Y352">
        <f>((AT352*1.15)*1.15)</f>
        <v>9.2574999999999991E-2</v>
      </c>
      <c r="AA352">
        <v>0</v>
      </c>
      <c r="AB352">
        <v>0</v>
      </c>
      <c r="AC352">
        <v>0</v>
      </c>
      <c r="AD352">
        <v>260.51</v>
      </c>
      <c r="AE352">
        <v>0</v>
      </c>
      <c r="AF352">
        <v>0</v>
      </c>
      <c r="AG352">
        <v>0</v>
      </c>
      <c r="AH352">
        <v>8.5299999999999994</v>
      </c>
      <c r="AI352">
        <v>1</v>
      </c>
      <c r="AJ352">
        <v>1</v>
      </c>
      <c r="AK352">
        <v>1</v>
      </c>
      <c r="AL352">
        <v>30.54</v>
      </c>
      <c r="AM352">
        <v>4</v>
      </c>
      <c r="AN352">
        <v>0</v>
      </c>
      <c r="AO352">
        <v>1</v>
      </c>
      <c r="AP352">
        <v>1</v>
      </c>
      <c r="AQ352">
        <v>0</v>
      </c>
      <c r="AR352">
        <v>0</v>
      </c>
      <c r="AS352" t="s">
        <v>3</v>
      </c>
      <c r="AT352">
        <v>7.0000000000000007E-2</v>
      </c>
      <c r="AU352" t="s">
        <v>91</v>
      </c>
      <c r="AV352">
        <v>1</v>
      </c>
      <c r="AW352">
        <v>2</v>
      </c>
      <c r="AX352">
        <v>145051699</v>
      </c>
      <c r="AY352">
        <v>1</v>
      </c>
      <c r="AZ352">
        <v>0</v>
      </c>
      <c r="BA352">
        <v>352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ROUND(Y352*Source!I153,9)</f>
        <v>1.8514999999999999</v>
      </c>
      <c r="CY352">
        <f>AD352</f>
        <v>260.51</v>
      </c>
      <c r="CZ352">
        <f>AH352</f>
        <v>8.5299999999999994</v>
      </c>
      <c r="DA352">
        <f>AL352</f>
        <v>30.54</v>
      </c>
      <c r="DB352">
        <f>ROUND(((ROUND(AT352*CZ352,2)*1.15)*1.15),2)</f>
        <v>0.79</v>
      </c>
      <c r="DC352">
        <f>ROUND(((ROUND(AT352*AG352,2)*1.15)*1.15),2)</f>
        <v>0</v>
      </c>
      <c r="DD352" t="s">
        <v>3</v>
      </c>
      <c r="DE352" t="s">
        <v>3</v>
      </c>
      <c r="DF352">
        <f t="shared" si="146"/>
        <v>0</v>
      </c>
      <c r="DG352">
        <f>ROUND(ROUND(AF352,2)*CX352,2)</f>
        <v>0</v>
      </c>
      <c r="DH352">
        <f>ROUND(ROUND(AG352,2)*CX352,2)</f>
        <v>0</v>
      </c>
      <c r="DI352">
        <f>ROUND(ROUND(AH352*AL352,2)*CX352,2)</f>
        <v>482.33</v>
      </c>
      <c r="DJ352">
        <f>DI352</f>
        <v>482.33</v>
      </c>
      <c r="DK352">
        <v>0</v>
      </c>
      <c r="DL352" t="s">
        <v>3</v>
      </c>
      <c r="DM352">
        <v>0</v>
      </c>
      <c r="DN352" t="s">
        <v>3</v>
      </c>
      <c r="DO352">
        <v>0</v>
      </c>
    </row>
    <row r="353" spans="1:119" x14ac:dyDescent="0.2">
      <c r="A353">
        <f>ROW(Source!A153)</f>
        <v>153</v>
      </c>
      <c r="B353">
        <v>145033679</v>
      </c>
      <c r="C353">
        <v>145051698</v>
      </c>
      <c r="D353">
        <v>140924755</v>
      </c>
      <c r="E353">
        <v>1</v>
      </c>
      <c r="F353">
        <v>1</v>
      </c>
      <c r="G353">
        <v>1</v>
      </c>
      <c r="H353">
        <v>2</v>
      </c>
      <c r="I353" t="s">
        <v>1066</v>
      </c>
      <c r="J353" t="s">
        <v>1067</v>
      </c>
      <c r="K353" t="s">
        <v>1068</v>
      </c>
      <c r="L353">
        <v>1367</v>
      </c>
      <c r="N353">
        <v>1011</v>
      </c>
      <c r="O353" t="s">
        <v>79</v>
      </c>
      <c r="P353" t="s">
        <v>79</v>
      </c>
      <c r="Q353">
        <v>1</v>
      </c>
      <c r="W353">
        <v>0</v>
      </c>
      <c r="X353">
        <v>893954064</v>
      </c>
      <c r="Y353">
        <f>((AT353*1.25)*1.15)</f>
        <v>0.14374999999999999</v>
      </c>
      <c r="AA353">
        <v>0</v>
      </c>
      <c r="AB353">
        <v>39.909999999999997</v>
      </c>
      <c r="AC353">
        <v>0</v>
      </c>
      <c r="AD353">
        <v>0</v>
      </c>
      <c r="AE353">
        <v>0</v>
      </c>
      <c r="AF353">
        <v>3.29</v>
      </c>
      <c r="AG353">
        <v>0</v>
      </c>
      <c r="AH353">
        <v>0</v>
      </c>
      <c r="AI353">
        <v>1</v>
      </c>
      <c r="AJ353">
        <v>12.13</v>
      </c>
      <c r="AK353">
        <v>30.54</v>
      </c>
      <c r="AL353">
        <v>1</v>
      </c>
      <c r="AM353">
        <v>4</v>
      </c>
      <c r="AN353">
        <v>0</v>
      </c>
      <c r="AO353">
        <v>1</v>
      </c>
      <c r="AP353">
        <v>1</v>
      </c>
      <c r="AQ353">
        <v>0</v>
      </c>
      <c r="AR353">
        <v>0</v>
      </c>
      <c r="AS353" t="s">
        <v>3</v>
      </c>
      <c r="AT353">
        <v>0.1</v>
      </c>
      <c r="AU353" t="s">
        <v>90</v>
      </c>
      <c r="AV353">
        <v>0</v>
      </c>
      <c r="AW353">
        <v>2</v>
      </c>
      <c r="AX353">
        <v>145051700</v>
      </c>
      <c r="AY353">
        <v>1</v>
      </c>
      <c r="AZ353">
        <v>0</v>
      </c>
      <c r="BA353">
        <v>353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ROUND(Y353*Source!I153,9)</f>
        <v>2.875</v>
      </c>
      <c r="CY353">
        <f>AB353</f>
        <v>39.909999999999997</v>
      </c>
      <c r="CZ353">
        <f>AF353</f>
        <v>3.29</v>
      </c>
      <c r="DA353">
        <f>AJ353</f>
        <v>12.13</v>
      </c>
      <c r="DB353">
        <f>ROUND(((ROUND(AT353*CZ353,2)*1.25)*1.15),2)</f>
        <v>0.47</v>
      </c>
      <c r="DC353">
        <f>ROUND(((ROUND(AT353*AG353,2)*1.25)*1.15),2)</f>
        <v>0</v>
      </c>
      <c r="DD353" t="s">
        <v>3</v>
      </c>
      <c r="DE353" t="s">
        <v>3</v>
      </c>
      <c r="DF353">
        <f t="shared" si="146"/>
        <v>0</v>
      </c>
      <c r="DG353">
        <f>ROUND(ROUND(AF353*AJ353,2)*CX353,2)</f>
        <v>114.74</v>
      </c>
      <c r="DH353">
        <f>ROUND(ROUND(AG353*AK353,2)*CX353,2)</f>
        <v>0</v>
      </c>
      <c r="DI353">
        <f>ROUND(ROUND(AH353,2)*CX353,2)</f>
        <v>0</v>
      </c>
      <c r="DJ353">
        <f>DG353</f>
        <v>114.74</v>
      </c>
      <c r="DK353">
        <v>0</v>
      </c>
      <c r="DL353" t="s">
        <v>3</v>
      </c>
      <c r="DM353">
        <v>0</v>
      </c>
      <c r="DN353" t="s">
        <v>3</v>
      </c>
      <c r="DO353">
        <v>0</v>
      </c>
    </row>
    <row r="354" spans="1:119" x14ac:dyDescent="0.2">
      <c r="A354">
        <f>ROW(Source!A154)</f>
        <v>154</v>
      </c>
      <c r="B354">
        <v>145033679</v>
      </c>
      <c r="C354">
        <v>145051702</v>
      </c>
      <c r="D354">
        <v>140759985</v>
      </c>
      <c r="E354">
        <v>70</v>
      </c>
      <c r="F354">
        <v>1</v>
      </c>
      <c r="G354">
        <v>1</v>
      </c>
      <c r="H354">
        <v>1</v>
      </c>
      <c r="I354" t="s">
        <v>848</v>
      </c>
      <c r="J354" t="s">
        <v>3</v>
      </c>
      <c r="K354" t="s">
        <v>849</v>
      </c>
      <c r="L354">
        <v>1191</v>
      </c>
      <c r="N354">
        <v>1013</v>
      </c>
      <c r="O354" t="s">
        <v>725</v>
      </c>
      <c r="P354" t="s">
        <v>725</v>
      </c>
      <c r="Q354">
        <v>1</v>
      </c>
      <c r="W354">
        <v>0</v>
      </c>
      <c r="X354">
        <v>784619160</v>
      </c>
      <c r="Y354">
        <f>((AT354*1.15)*1.15)</f>
        <v>12.008299999999997</v>
      </c>
      <c r="AA354">
        <v>0</v>
      </c>
      <c r="AB354">
        <v>0</v>
      </c>
      <c r="AC354">
        <v>0</v>
      </c>
      <c r="AD354">
        <v>266.92</v>
      </c>
      <c r="AE354">
        <v>0</v>
      </c>
      <c r="AF354">
        <v>0</v>
      </c>
      <c r="AG354">
        <v>0</v>
      </c>
      <c r="AH354">
        <v>8.74</v>
      </c>
      <c r="AI354">
        <v>1</v>
      </c>
      <c r="AJ354">
        <v>1</v>
      </c>
      <c r="AK354">
        <v>1</v>
      </c>
      <c r="AL354">
        <v>30.54</v>
      </c>
      <c r="AM354">
        <v>4</v>
      </c>
      <c r="AN354">
        <v>0</v>
      </c>
      <c r="AO354">
        <v>1</v>
      </c>
      <c r="AP354">
        <v>1</v>
      </c>
      <c r="AQ354">
        <v>0</v>
      </c>
      <c r="AR354">
        <v>0</v>
      </c>
      <c r="AS354" t="s">
        <v>3</v>
      </c>
      <c r="AT354">
        <v>9.08</v>
      </c>
      <c r="AU354" t="s">
        <v>91</v>
      </c>
      <c r="AV354">
        <v>1</v>
      </c>
      <c r="AW354">
        <v>2</v>
      </c>
      <c r="AX354">
        <v>145051703</v>
      </c>
      <c r="AY354">
        <v>1</v>
      </c>
      <c r="AZ354">
        <v>0</v>
      </c>
      <c r="BA354">
        <v>354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ROUND(Y354*Source!I154,9)</f>
        <v>2.4016600000000001</v>
      </c>
      <c r="CY354">
        <f>AD354</f>
        <v>266.92</v>
      </c>
      <c r="CZ354">
        <f>AH354</f>
        <v>8.74</v>
      </c>
      <c r="DA354">
        <f>AL354</f>
        <v>30.54</v>
      </c>
      <c r="DB354">
        <f>ROUND(((ROUND(AT354*CZ354,2)*1.15)*1.15),2)</f>
        <v>104.95</v>
      </c>
      <c r="DC354">
        <f>ROUND(((ROUND(AT354*AG354,2)*1.15)*1.15),2)</f>
        <v>0</v>
      </c>
      <c r="DD354" t="s">
        <v>3</v>
      </c>
      <c r="DE354" t="s">
        <v>3</v>
      </c>
      <c r="DF354">
        <f t="shared" si="146"/>
        <v>0</v>
      </c>
      <c r="DG354">
        <f>ROUND(ROUND(AF354,2)*CX354,2)</f>
        <v>0</v>
      </c>
      <c r="DH354">
        <f>ROUND(ROUND(AG354,2)*CX354,2)</f>
        <v>0</v>
      </c>
      <c r="DI354">
        <f>ROUND(ROUND(AH354*AL354,2)*CX354,2)</f>
        <v>641.04999999999995</v>
      </c>
      <c r="DJ354">
        <f>DI354</f>
        <v>641.04999999999995</v>
      </c>
      <c r="DK354">
        <v>0</v>
      </c>
      <c r="DL354" t="s">
        <v>3</v>
      </c>
      <c r="DM354">
        <v>0</v>
      </c>
      <c r="DN354" t="s">
        <v>3</v>
      </c>
      <c r="DO354">
        <v>0</v>
      </c>
    </row>
    <row r="355" spans="1:119" x14ac:dyDescent="0.2">
      <c r="A355">
        <f>ROW(Source!A154)</f>
        <v>154</v>
      </c>
      <c r="B355">
        <v>145033679</v>
      </c>
      <c r="C355">
        <v>145051702</v>
      </c>
      <c r="D355">
        <v>140760225</v>
      </c>
      <c r="E355">
        <v>70</v>
      </c>
      <c r="F355">
        <v>1</v>
      </c>
      <c r="G355">
        <v>1</v>
      </c>
      <c r="H355">
        <v>1</v>
      </c>
      <c r="I355" t="s">
        <v>730</v>
      </c>
      <c r="J355" t="s">
        <v>3</v>
      </c>
      <c r="K355" t="s">
        <v>731</v>
      </c>
      <c r="L355">
        <v>1191</v>
      </c>
      <c r="N355">
        <v>1013</v>
      </c>
      <c r="O355" t="s">
        <v>725</v>
      </c>
      <c r="P355" t="s">
        <v>725</v>
      </c>
      <c r="Q355">
        <v>1</v>
      </c>
      <c r="W355">
        <v>0</v>
      </c>
      <c r="X355">
        <v>-1417349443</v>
      </c>
      <c r="Y355">
        <f>((AT355*1.25)*1.15)</f>
        <v>4.3124999999999997E-2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</v>
      </c>
      <c r="AJ355">
        <v>1</v>
      </c>
      <c r="AK355">
        <v>30.54</v>
      </c>
      <c r="AL355">
        <v>1</v>
      </c>
      <c r="AM355">
        <v>4</v>
      </c>
      <c r="AN355">
        <v>0</v>
      </c>
      <c r="AO355">
        <v>1</v>
      </c>
      <c r="AP355">
        <v>1</v>
      </c>
      <c r="AQ355">
        <v>0</v>
      </c>
      <c r="AR355">
        <v>0</v>
      </c>
      <c r="AS355" t="s">
        <v>3</v>
      </c>
      <c r="AT355">
        <v>0.03</v>
      </c>
      <c r="AU355" t="s">
        <v>90</v>
      </c>
      <c r="AV355">
        <v>2</v>
      </c>
      <c r="AW355">
        <v>2</v>
      </c>
      <c r="AX355">
        <v>145051704</v>
      </c>
      <c r="AY355">
        <v>1</v>
      </c>
      <c r="AZ355">
        <v>0</v>
      </c>
      <c r="BA355">
        <v>355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ROUND(Y355*Source!I154,9)</f>
        <v>8.6250000000000007E-3</v>
      </c>
      <c r="CY355">
        <f>AD355</f>
        <v>0</v>
      </c>
      <c r="CZ355">
        <f>AH355</f>
        <v>0</v>
      </c>
      <c r="DA355">
        <f>AL355</f>
        <v>1</v>
      </c>
      <c r="DB355">
        <f>ROUND(((ROUND(AT355*CZ355,2)*1.25)*1.15),2)</f>
        <v>0</v>
      </c>
      <c r="DC355">
        <f>ROUND(((ROUND(AT355*AG355,2)*1.25)*1.15),2)</f>
        <v>0</v>
      </c>
      <c r="DD355" t="s">
        <v>3</v>
      </c>
      <c r="DE355" t="s">
        <v>3</v>
      </c>
      <c r="DF355">
        <f t="shared" si="146"/>
        <v>0</v>
      </c>
      <c r="DG355">
        <f>ROUND(ROUND(AF355,2)*CX355,2)</f>
        <v>0</v>
      </c>
      <c r="DH355">
        <f>ROUND(ROUND(AG355*AK355,2)*CX355,2)</f>
        <v>0</v>
      </c>
      <c r="DI355">
        <f t="shared" ref="DI355:DI360" si="147">ROUND(ROUND(AH355,2)*CX355,2)</f>
        <v>0</v>
      </c>
      <c r="DJ355">
        <f>DI355</f>
        <v>0</v>
      </c>
      <c r="DK355">
        <v>0</v>
      </c>
      <c r="DL355" t="s">
        <v>3</v>
      </c>
      <c r="DM355">
        <v>0</v>
      </c>
      <c r="DN355" t="s">
        <v>3</v>
      </c>
      <c r="DO355">
        <v>0</v>
      </c>
    </row>
    <row r="356" spans="1:119" x14ac:dyDescent="0.2">
      <c r="A356">
        <f>ROW(Source!A154)</f>
        <v>154</v>
      </c>
      <c r="B356">
        <v>145033679</v>
      </c>
      <c r="C356">
        <v>145051702</v>
      </c>
      <c r="D356">
        <v>140923086</v>
      </c>
      <c r="E356">
        <v>1</v>
      </c>
      <c r="F356">
        <v>1</v>
      </c>
      <c r="G356">
        <v>1</v>
      </c>
      <c r="H356">
        <v>2</v>
      </c>
      <c r="I356" t="s">
        <v>953</v>
      </c>
      <c r="J356" t="s">
        <v>954</v>
      </c>
      <c r="K356" t="s">
        <v>955</v>
      </c>
      <c r="L356">
        <v>1367</v>
      </c>
      <c r="N356">
        <v>1011</v>
      </c>
      <c r="O356" t="s">
        <v>79</v>
      </c>
      <c r="P356" t="s">
        <v>79</v>
      </c>
      <c r="Q356">
        <v>1</v>
      </c>
      <c r="W356">
        <v>0</v>
      </c>
      <c r="X356">
        <v>208619310</v>
      </c>
      <c r="Y356">
        <f>((AT356*1.25)*1.15)</f>
        <v>1.4374999999999999E-2</v>
      </c>
      <c r="AA356">
        <v>0</v>
      </c>
      <c r="AB356">
        <v>20.62</v>
      </c>
      <c r="AC356">
        <v>0</v>
      </c>
      <c r="AD356">
        <v>0</v>
      </c>
      <c r="AE356">
        <v>0</v>
      </c>
      <c r="AF356">
        <v>1.7</v>
      </c>
      <c r="AG356">
        <v>0</v>
      </c>
      <c r="AH356">
        <v>0</v>
      </c>
      <c r="AI356">
        <v>1</v>
      </c>
      <c r="AJ356">
        <v>12.13</v>
      </c>
      <c r="AK356">
        <v>30.54</v>
      </c>
      <c r="AL356">
        <v>1</v>
      </c>
      <c r="AM356">
        <v>4</v>
      </c>
      <c r="AN356">
        <v>0</v>
      </c>
      <c r="AO356">
        <v>1</v>
      </c>
      <c r="AP356">
        <v>1</v>
      </c>
      <c r="AQ356">
        <v>0</v>
      </c>
      <c r="AR356">
        <v>0</v>
      </c>
      <c r="AS356" t="s">
        <v>3</v>
      </c>
      <c r="AT356">
        <v>0.01</v>
      </c>
      <c r="AU356" t="s">
        <v>90</v>
      </c>
      <c r="AV356">
        <v>0</v>
      </c>
      <c r="AW356">
        <v>2</v>
      </c>
      <c r="AX356">
        <v>145051705</v>
      </c>
      <c r="AY356">
        <v>1</v>
      </c>
      <c r="AZ356">
        <v>0</v>
      </c>
      <c r="BA356">
        <v>356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ROUND(Y356*Source!I154,9)</f>
        <v>2.875E-3</v>
      </c>
      <c r="CY356">
        <f>AB356</f>
        <v>20.62</v>
      </c>
      <c r="CZ356">
        <f>AF356</f>
        <v>1.7</v>
      </c>
      <c r="DA356">
        <f>AJ356</f>
        <v>12.13</v>
      </c>
      <c r="DB356">
        <f>ROUND(((ROUND(AT356*CZ356,2)*1.25)*1.15),2)</f>
        <v>0.03</v>
      </c>
      <c r="DC356">
        <f>ROUND(((ROUND(AT356*AG356,2)*1.25)*1.15),2)</f>
        <v>0</v>
      </c>
      <c r="DD356" t="s">
        <v>3</v>
      </c>
      <c r="DE356" t="s">
        <v>3</v>
      </c>
      <c r="DF356">
        <f t="shared" si="146"/>
        <v>0</v>
      </c>
      <c r="DG356">
        <f>ROUND(ROUND(AF356*AJ356,2)*CX356,2)</f>
        <v>0.06</v>
      </c>
      <c r="DH356">
        <f>ROUND(ROUND(AG356*AK356,2)*CX356,2)</f>
        <v>0</v>
      </c>
      <c r="DI356">
        <f t="shared" si="147"/>
        <v>0</v>
      </c>
      <c r="DJ356">
        <f>DG356</f>
        <v>0.06</v>
      </c>
      <c r="DK356">
        <v>0</v>
      </c>
      <c r="DL356" t="s">
        <v>3</v>
      </c>
      <c r="DM356">
        <v>0</v>
      </c>
      <c r="DN356" t="s">
        <v>3</v>
      </c>
      <c r="DO356">
        <v>0</v>
      </c>
    </row>
    <row r="357" spans="1:119" x14ac:dyDescent="0.2">
      <c r="A357">
        <f>ROW(Source!A154)</f>
        <v>154</v>
      </c>
      <c r="B357">
        <v>145033679</v>
      </c>
      <c r="C357">
        <v>145051702</v>
      </c>
      <c r="D357">
        <v>140923105</v>
      </c>
      <c r="E357">
        <v>1</v>
      </c>
      <c r="F357">
        <v>1</v>
      </c>
      <c r="G357">
        <v>1</v>
      </c>
      <c r="H357">
        <v>2</v>
      </c>
      <c r="I357" t="s">
        <v>823</v>
      </c>
      <c r="J357" t="s">
        <v>824</v>
      </c>
      <c r="K357" t="s">
        <v>825</v>
      </c>
      <c r="L357">
        <v>1367</v>
      </c>
      <c r="N357">
        <v>1011</v>
      </c>
      <c r="O357" t="s">
        <v>79</v>
      </c>
      <c r="P357" t="s">
        <v>79</v>
      </c>
      <c r="Q357">
        <v>1</v>
      </c>
      <c r="W357">
        <v>0</v>
      </c>
      <c r="X357">
        <v>-896236776</v>
      </c>
      <c r="Y357">
        <f>((AT357*1.25)*1.15)</f>
        <v>1.4374999999999999E-2</v>
      </c>
      <c r="AA357">
        <v>0</v>
      </c>
      <c r="AB357">
        <v>1091.58</v>
      </c>
      <c r="AC357">
        <v>307.23</v>
      </c>
      <c r="AD357">
        <v>0</v>
      </c>
      <c r="AE357">
        <v>0</v>
      </c>
      <c r="AF357">
        <v>89.99</v>
      </c>
      <c r="AG357">
        <v>10.06</v>
      </c>
      <c r="AH357">
        <v>0</v>
      </c>
      <c r="AI357">
        <v>1</v>
      </c>
      <c r="AJ357">
        <v>12.13</v>
      </c>
      <c r="AK357">
        <v>30.54</v>
      </c>
      <c r="AL357">
        <v>1</v>
      </c>
      <c r="AM357">
        <v>4</v>
      </c>
      <c r="AN357">
        <v>0</v>
      </c>
      <c r="AO357">
        <v>1</v>
      </c>
      <c r="AP357">
        <v>1</v>
      </c>
      <c r="AQ357">
        <v>0</v>
      </c>
      <c r="AR357">
        <v>0</v>
      </c>
      <c r="AS357" t="s">
        <v>3</v>
      </c>
      <c r="AT357">
        <v>0.01</v>
      </c>
      <c r="AU357" t="s">
        <v>90</v>
      </c>
      <c r="AV357">
        <v>0</v>
      </c>
      <c r="AW357">
        <v>2</v>
      </c>
      <c r="AX357">
        <v>145051706</v>
      </c>
      <c r="AY357">
        <v>1</v>
      </c>
      <c r="AZ357">
        <v>0</v>
      </c>
      <c r="BA357">
        <v>357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ROUND(Y357*Source!I154,9)</f>
        <v>2.875E-3</v>
      </c>
      <c r="CY357">
        <f>AB357</f>
        <v>1091.58</v>
      </c>
      <c r="CZ357">
        <f>AF357</f>
        <v>89.99</v>
      </c>
      <c r="DA357">
        <f>AJ357</f>
        <v>12.13</v>
      </c>
      <c r="DB357">
        <f>ROUND(((ROUND(AT357*CZ357,2)*1.25)*1.15),2)</f>
        <v>1.29</v>
      </c>
      <c r="DC357">
        <f>ROUND(((ROUND(AT357*AG357,2)*1.25)*1.15),2)</f>
        <v>0.14000000000000001</v>
      </c>
      <c r="DD357" t="s">
        <v>3</v>
      </c>
      <c r="DE357" t="s">
        <v>3</v>
      </c>
      <c r="DF357">
        <f t="shared" si="146"/>
        <v>0</v>
      </c>
      <c r="DG357">
        <f>ROUND(ROUND(AF357*AJ357,2)*CX357,2)</f>
        <v>3.14</v>
      </c>
      <c r="DH357">
        <f>ROUND(ROUND(AG357*AK357,2)*CX357,2)</f>
        <v>0.88</v>
      </c>
      <c r="DI357">
        <f t="shared" si="147"/>
        <v>0</v>
      </c>
      <c r="DJ357">
        <f>DG357</f>
        <v>3.14</v>
      </c>
      <c r="DK357">
        <v>0</v>
      </c>
      <c r="DL357" t="s">
        <v>3</v>
      </c>
      <c r="DM357">
        <v>0</v>
      </c>
      <c r="DN357" t="s">
        <v>3</v>
      </c>
      <c r="DO357">
        <v>0</v>
      </c>
    </row>
    <row r="358" spans="1:119" x14ac:dyDescent="0.2">
      <c r="A358">
        <f>ROW(Source!A154)</f>
        <v>154</v>
      </c>
      <c r="B358">
        <v>145033679</v>
      </c>
      <c r="C358">
        <v>145051702</v>
      </c>
      <c r="D358">
        <v>140923885</v>
      </c>
      <c r="E358">
        <v>1</v>
      </c>
      <c r="F358">
        <v>1</v>
      </c>
      <c r="G358">
        <v>1</v>
      </c>
      <c r="H358">
        <v>2</v>
      </c>
      <c r="I358" t="s">
        <v>732</v>
      </c>
      <c r="J358" t="s">
        <v>733</v>
      </c>
      <c r="K358" t="s">
        <v>734</v>
      </c>
      <c r="L358">
        <v>1367</v>
      </c>
      <c r="N358">
        <v>1011</v>
      </c>
      <c r="O358" t="s">
        <v>79</v>
      </c>
      <c r="P358" t="s">
        <v>79</v>
      </c>
      <c r="Q358">
        <v>1</v>
      </c>
      <c r="W358">
        <v>0</v>
      </c>
      <c r="X358">
        <v>509054691</v>
      </c>
      <c r="Y358">
        <f>((AT358*1.25)*1.15)</f>
        <v>2.8749999999999998E-2</v>
      </c>
      <c r="AA358">
        <v>0</v>
      </c>
      <c r="AB358">
        <v>797.06</v>
      </c>
      <c r="AC358">
        <v>354.26</v>
      </c>
      <c r="AD358">
        <v>0</v>
      </c>
      <c r="AE358">
        <v>0</v>
      </c>
      <c r="AF358">
        <v>65.709999999999994</v>
      </c>
      <c r="AG358">
        <v>11.6</v>
      </c>
      <c r="AH358">
        <v>0</v>
      </c>
      <c r="AI358">
        <v>1</v>
      </c>
      <c r="AJ358">
        <v>12.13</v>
      </c>
      <c r="AK358">
        <v>30.54</v>
      </c>
      <c r="AL358">
        <v>1</v>
      </c>
      <c r="AM358">
        <v>4</v>
      </c>
      <c r="AN358">
        <v>0</v>
      </c>
      <c r="AO358">
        <v>1</v>
      </c>
      <c r="AP358">
        <v>1</v>
      </c>
      <c r="AQ358">
        <v>0</v>
      </c>
      <c r="AR358">
        <v>0</v>
      </c>
      <c r="AS358" t="s">
        <v>3</v>
      </c>
      <c r="AT358">
        <v>0.02</v>
      </c>
      <c r="AU358" t="s">
        <v>90</v>
      </c>
      <c r="AV358">
        <v>0</v>
      </c>
      <c r="AW358">
        <v>2</v>
      </c>
      <c r="AX358">
        <v>145051707</v>
      </c>
      <c r="AY358">
        <v>1</v>
      </c>
      <c r="AZ358">
        <v>0</v>
      </c>
      <c r="BA358">
        <v>358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ROUND(Y358*Source!I154,9)</f>
        <v>5.7499999999999999E-3</v>
      </c>
      <c r="CY358">
        <f>AB358</f>
        <v>797.06</v>
      </c>
      <c r="CZ358">
        <f>AF358</f>
        <v>65.709999999999994</v>
      </c>
      <c r="DA358">
        <f>AJ358</f>
        <v>12.13</v>
      </c>
      <c r="DB358">
        <f>ROUND(((ROUND(AT358*CZ358,2)*1.25)*1.15),2)</f>
        <v>1.88</v>
      </c>
      <c r="DC358">
        <f>ROUND(((ROUND(AT358*AG358,2)*1.25)*1.15),2)</f>
        <v>0.33</v>
      </c>
      <c r="DD358" t="s">
        <v>3</v>
      </c>
      <c r="DE358" t="s">
        <v>3</v>
      </c>
      <c r="DF358">
        <f t="shared" si="146"/>
        <v>0</v>
      </c>
      <c r="DG358">
        <f>ROUND(ROUND(AF358*AJ358,2)*CX358,2)</f>
        <v>4.58</v>
      </c>
      <c r="DH358">
        <f>ROUND(ROUND(AG358*AK358,2)*CX358,2)</f>
        <v>2.04</v>
      </c>
      <c r="DI358">
        <f t="shared" si="147"/>
        <v>0</v>
      </c>
      <c r="DJ358">
        <f>DG358</f>
        <v>4.58</v>
      </c>
      <c r="DK358">
        <v>0</v>
      </c>
      <c r="DL358" t="s">
        <v>3</v>
      </c>
      <c r="DM358">
        <v>0</v>
      </c>
      <c r="DN358" t="s">
        <v>3</v>
      </c>
      <c r="DO358">
        <v>0</v>
      </c>
    </row>
    <row r="359" spans="1:119" x14ac:dyDescent="0.2">
      <c r="A359">
        <f>ROW(Source!A154)</f>
        <v>154</v>
      </c>
      <c r="B359">
        <v>145033679</v>
      </c>
      <c r="C359">
        <v>145051702</v>
      </c>
      <c r="D359">
        <v>140776226</v>
      </c>
      <c r="E359">
        <v>1</v>
      </c>
      <c r="F359">
        <v>1</v>
      </c>
      <c r="G359">
        <v>1</v>
      </c>
      <c r="H359">
        <v>3</v>
      </c>
      <c r="I359" t="s">
        <v>818</v>
      </c>
      <c r="J359" t="s">
        <v>819</v>
      </c>
      <c r="K359" t="s">
        <v>820</v>
      </c>
      <c r="L359">
        <v>1346</v>
      </c>
      <c r="N359">
        <v>1009</v>
      </c>
      <c r="O359" t="s">
        <v>43</v>
      </c>
      <c r="P359" t="s">
        <v>43</v>
      </c>
      <c r="Q359">
        <v>1</v>
      </c>
      <c r="W359">
        <v>0</v>
      </c>
      <c r="X359">
        <v>1052716416</v>
      </c>
      <c r="Y359">
        <f>AT359</f>
        <v>5</v>
      </c>
      <c r="AA359">
        <v>15.85</v>
      </c>
      <c r="AB359">
        <v>0</v>
      </c>
      <c r="AC359">
        <v>0</v>
      </c>
      <c r="AD359">
        <v>0</v>
      </c>
      <c r="AE359">
        <v>1.82</v>
      </c>
      <c r="AF359">
        <v>0</v>
      </c>
      <c r="AG359">
        <v>0</v>
      </c>
      <c r="AH359">
        <v>0</v>
      </c>
      <c r="AI359">
        <v>8.7100000000000009</v>
      </c>
      <c r="AJ359">
        <v>1</v>
      </c>
      <c r="AK359">
        <v>1</v>
      </c>
      <c r="AL359">
        <v>1</v>
      </c>
      <c r="AM359">
        <v>4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3</v>
      </c>
      <c r="AT359">
        <v>5</v>
      </c>
      <c r="AU359" t="s">
        <v>3</v>
      </c>
      <c r="AV359">
        <v>0</v>
      </c>
      <c r="AW359">
        <v>2</v>
      </c>
      <c r="AX359">
        <v>145051708</v>
      </c>
      <c r="AY359">
        <v>1</v>
      </c>
      <c r="AZ359">
        <v>0</v>
      </c>
      <c r="BA359">
        <v>359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ROUND(Y359*Source!I154,9)</f>
        <v>1</v>
      </c>
      <c r="CY359">
        <f>AA359</f>
        <v>15.85</v>
      </c>
      <c r="CZ359">
        <f>AE359</f>
        <v>1.82</v>
      </c>
      <c r="DA359">
        <f>AI359</f>
        <v>8.7100000000000009</v>
      </c>
      <c r="DB359">
        <f>ROUND(ROUND(AT359*CZ359,2),2)</f>
        <v>9.1</v>
      </c>
      <c r="DC359">
        <f>ROUND(ROUND(AT359*AG359,2),2)</f>
        <v>0</v>
      </c>
      <c r="DD359" t="s">
        <v>3</v>
      </c>
      <c r="DE359" t="s">
        <v>3</v>
      </c>
      <c r="DF359">
        <f>ROUND(ROUND(AE359*AI359,2)*CX359,2)</f>
        <v>15.85</v>
      </c>
      <c r="DG359">
        <f>ROUND(ROUND(AF359,2)*CX359,2)</f>
        <v>0</v>
      </c>
      <c r="DH359">
        <f>ROUND(ROUND(AG359,2)*CX359,2)</f>
        <v>0</v>
      </c>
      <c r="DI359">
        <f t="shared" si="147"/>
        <v>0</v>
      </c>
      <c r="DJ359">
        <f>DF359</f>
        <v>15.85</v>
      </c>
      <c r="DK359">
        <v>0</v>
      </c>
      <c r="DL359" t="s">
        <v>3</v>
      </c>
      <c r="DM359">
        <v>0</v>
      </c>
      <c r="DN359" t="s">
        <v>3</v>
      </c>
      <c r="DO359">
        <v>0</v>
      </c>
    </row>
    <row r="360" spans="1:119" x14ac:dyDescent="0.2">
      <c r="A360">
        <f>ROW(Source!A154)</f>
        <v>154</v>
      </c>
      <c r="B360">
        <v>145033679</v>
      </c>
      <c r="C360">
        <v>145051702</v>
      </c>
      <c r="D360">
        <v>140805221</v>
      </c>
      <c r="E360">
        <v>1</v>
      </c>
      <c r="F360">
        <v>1</v>
      </c>
      <c r="G360">
        <v>1</v>
      </c>
      <c r="H360">
        <v>3</v>
      </c>
      <c r="I360" t="s">
        <v>1069</v>
      </c>
      <c r="J360" t="s">
        <v>1070</v>
      </c>
      <c r="K360" t="s">
        <v>1071</v>
      </c>
      <c r="L360">
        <v>1346</v>
      </c>
      <c r="N360">
        <v>1009</v>
      </c>
      <c r="O360" t="s">
        <v>43</v>
      </c>
      <c r="P360" t="s">
        <v>43</v>
      </c>
      <c r="Q360">
        <v>1</v>
      </c>
      <c r="W360">
        <v>0</v>
      </c>
      <c r="X360">
        <v>58056778</v>
      </c>
      <c r="Y360">
        <f>AT360</f>
        <v>32</v>
      </c>
      <c r="AA360">
        <v>58.1</v>
      </c>
      <c r="AB360">
        <v>0</v>
      </c>
      <c r="AC360">
        <v>0</v>
      </c>
      <c r="AD360">
        <v>0</v>
      </c>
      <c r="AE360">
        <v>6.67</v>
      </c>
      <c r="AF360">
        <v>0</v>
      </c>
      <c r="AG360">
        <v>0</v>
      </c>
      <c r="AH360">
        <v>0</v>
      </c>
      <c r="AI360">
        <v>8.7100000000000009</v>
      </c>
      <c r="AJ360">
        <v>1</v>
      </c>
      <c r="AK360">
        <v>1</v>
      </c>
      <c r="AL360">
        <v>1</v>
      </c>
      <c r="AM360">
        <v>4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32</v>
      </c>
      <c r="AU360" t="s">
        <v>3</v>
      </c>
      <c r="AV360">
        <v>0</v>
      </c>
      <c r="AW360">
        <v>2</v>
      </c>
      <c r="AX360">
        <v>145051709</v>
      </c>
      <c r="AY360">
        <v>1</v>
      </c>
      <c r="AZ360">
        <v>0</v>
      </c>
      <c r="BA360">
        <v>360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ROUND(Y360*Source!I154,9)</f>
        <v>6.4</v>
      </c>
      <c r="CY360">
        <f>AA360</f>
        <v>58.1</v>
      </c>
      <c r="CZ360">
        <f>AE360</f>
        <v>6.67</v>
      </c>
      <c r="DA360">
        <f>AI360</f>
        <v>8.7100000000000009</v>
      </c>
      <c r="DB360">
        <f>ROUND(ROUND(AT360*CZ360,2),2)</f>
        <v>213.44</v>
      </c>
      <c r="DC360">
        <f>ROUND(ROUND(AT360*AG360,2),2)</f>
        <v>0</v>
      </c>
      <c r="DD360" t="s">
        <v>3</v>
      </c>
      <c r="DE360" t="s">
        <v>3</v>
      </c>
      <c r="DF360">
        <f>ROUND(ROUND(AE360*AI360,2)*CX360,2)</f>
        <v>371.84</v>
      </c>
      <c r="DG360">
        <f>ROUND(ROUND(AF360,2)*CX360,2)</f>
        <v>0</v>
      </c>
      <c r="DH360">
        <f>ROUND(ROUND(AG360,2)*CX360,2)</f>
        <v>0</v>
      </c>
      <c r="DI360">
        <f t="shared" si="147"/>
        <v>0</v>
      </c>
      <c r="DJ360">
        <f>DF360</f>
        <v>371.84</v>
      </c>
      <c r="DK360">
        <v>0</v>
      </c>
      <c r="DL360" t="s">
        <v>3</v>
      </c>
      <c r="DM360">
        <v>0</v>
      </c>
      <c r="DN360" t="s">
        <v>3</v>
      </c>
      <c r="DO360">
        <v>0</v>
      </c>
    </row>
    <row r="361" spans="1:119" x14ac:dyDescent="0.2">
      <c r="A361">
        <f>ROW(Source!A155)</f>
        <v>155</v>
      </c>
      <c r="B361">
        <v>145033679</v>
      </c>
      <c r="C361">
        <v>145051721</v>
      </c>
      <c r="D361">
        <v>140760001</v>
      </c>
      <c r="E361">
        <v>70</v>
      </c>
      <c r="F361">
        <v>1</v>
      </c>
      <c r="G361">
        <v>1</v>
      </c>
      <c r="H361">
        <v>1</v>
      </c>
      <c r="I361" t="s">
        <v>867</v>
      </c>
      <c r="J361" t="s">
        <v>3</v>
      </c>
      <c r="K361" t="s">
        <v>868</v>
      </c>
      <c r="L361">
        <v>1191</v>
      </c>
      <c r="N361">
        <v>1013</v>
      </c>
      <c r="O361" t="s">
        <v>725</v>
      </c>
      <c r="P361" t="s">
        <v>725</v>
      </c>
      <c r="Q361">
        <v>1</v>
      </c>
      <c r="W361">
        <v>0</v>
      </c>
      <c r="X361">
        <v>1893946532</v>
      </c>
      <c r="Y361">
        <f>(((AT361*1.15)*1.15)*3)</f>
        <v>8.4507749999999984</v>
      </c>
      <c r="AA361">
        <v>0</v>
      </c>
      <c r="AB361">
        <v>0</v>
      </c>
      <c r="AC361">
        <v>0</v>
      </c>
      <c r="AD361">
        <v>277</v>
      </c>
      <c r="AE361">
        <v>0</v>
      </c>
      <c r="AF361">
        <v>0</v>
      </c>
      <c r="AG361">
        <v>0</v>
      </c>
      <c r="AH361">
        <v>9.07</v>
      </c>
      <c r="AI361">
        <v>1</v>
      </c>
      <c r="AJ361">
        <v>1</v>
      </c>
      <c r="AK361">
        <v>1</v>
      </c>
      <c r="AL361">
        <v>30.54</v>
      </c>
      <c r="AM361">
        <v>4</v>
      </c>
      <c r="AN361">
        <v>0</v>
      </c>
      <c r="AO361">
        <v>1</v>
      </c>
      <c r="AP361">
        <v>1</v>
      </c>
      <c r="AQ361">
        <v>0</v>
      </c>
      <c r="AR361">
        <v>0</v>
      </c>
      <c r="AS361" t="s">
        <v>3</v>
      </c>
      <c r="AT361">
        <v>2.13</v>
      </c>
      <c r="AU361" t="s">
        <v>533</v>
      </c>
      <c r="AV361">
        <v>1</v>
      </c>
      <c r="AW361">
        <v>2</v>
      </c>
      <c r="AX361">
        <v>145051722</v>
      </c>
      <c r="AY361">
        <v>1</v>
      </c>
      <c r="AZ361">
        <v>0</v>
      </c>
      <c r="BA361">
        <v>361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ROUND(Y361*Source!I155,9)</f>
        <v>1.6901550000000001</v>
      </c>
      <c r="CY361">
        <f>AD361</f>
        <v>277</v>
      </c>
      <c r="CZ361">
        <f>AH361</f>
        <v>9.07</v>
      </c>
      <c r="DA361">
        <f>AL361</f>
        <v>30.54</v>
      </c>
      <c r="DB361">
        <f>ROUND((((ROUND(AT361*CZ361,2)*1.15)*1.15)*3),2)</f>
        <v>76.650000000000006</v>
      </c>
      <c r="DC361">
        <f>ROUND((((ROUND(AT361*AG361,2)*1.15)*1.15)*3),2)</f>
        <v>0</v>
      </c>
      <c r="DD361" t="s">
        <v>3</v>
      </c>
      <c r="DE361" t="s">
        <v>3</v>
      </c>
      <c r="DF361">
        <f t="shared" ref="DF361:DF366" si="148">ROUND(ROUND(AE361,2)*CX361,2)</f>
        <v>0</v>
      </c>
      <c r="DG361">
        <f>ROUND(ROUND(AF361,2)*CX361,2)</f>
        <v>0</v>
      </c>
      <c r="DH361">
        <f>ROUND(ROUND(AG361,2)*CX361,2)</f>
        <v>0</v>
      </c>
      <c r="DI361">
        <f>ROUND(ROUND(AH361*AL361,2)*CX361,2)</f>
        <v>468.17</v>
      </c>
      <c r="DJ361">
        <f>DI361</f>
        <v>468.17</v>
      </c>
      <c r="DK361">
        <v>0</v>
      </c>
      <c r="DL361" t="s">
        <v>3</v>
      </c>
      <c r="DM361">
        <v>0</v>
      </c>
      <c r="DN361" t="s">
        <v>3</v>
      </c>
      <c r="DO361">
        <v>0</v>
      </c>
    </row>
    <row r="362" spans="1:119" x14ac:dyDescent="0.2">
      <c r="A362">
        <f>ROW(Source!A155)</f>
        <v>155</v>
      </c>
      <c r="B362">
        <v>145033679</v>
      </c>
      <c r="C362">
        <v>145051721</v>
      </c>
      <c r="D362">
        <v>140760225</v>
      </c>
      <c r="E362">
        <v>70</v>
      </c>
      <c r="F362">
        <v>1</v>
      </c>
      <c r="G362">
        <v>1</v>
      </c>
      <c r="H362">
        <v>1</v>
      </c>
      <c r="I362" t="s">
        <v>730</v>
      </c>
      <c r="J362" t="s">
        <v>3</v>
      </c>
      <c r="K362" t="s">
        <v>731</v>
      </c>
      <c r="L362">
        <v>1191</v>
      </c>
      <c r="N362">
        <v>1013</v>
      </c>
      <c r="O362" t="s">
        <v>725</v>
      </c>
      <c r="P362" t="s">
        <v>725</v>
      </c>
      <c r="Q362">
        <v>1</v>
      </c>
      <c r="W362">
        <v>0</v>
      </c>
      <c r="X362">
        <v>-1417349443</v>
      </c>
      <c r="Y362">
        <f>(((AT362*1.25)*1.15)*3)</f>
        <v>8.6249999999999993E-2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1</v>
      </c>
      <c r="AK362">
        <v>30.54</v>
      </c>
      <c r="AL362">
        <v>1</v>
      </c>
      <c r="AM362">
        <v>4</v>
      </c>
      <c r="AN362">
        <v>0</v>
      </c>
      <c r="AO362">
        <v>1</v>
      </c>
      <c r="AP362">
        <v>1</v>
      </c>
      <c r="AQ362">
        <v>0</v>
      </c>
      <c r="AR362">
        <v>0</v>
      </c>
      <c r="AS362" t="s">
        <v>3</v>
      </c>
      <c r="AT362">
        <v>0.02</v>
      </c>
      <c r="AU362" t="s">
        <v>532</v>
      </c>
      <c r="AV362">
        <v>2</v>
      </c>
      <c r="AW362">
        <v>2</v>
      </c>
      <c r="AX362">
        <v>145051723</v>
      </c>
      <c r="AY362">
        <v>1</v>
      </c>
      <c r="AZ362">
        <v>0</v>
      </c>
      <c r="BA362">
        <v>362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ROUND(Y362*Source!I155,9)</f>
        <v>1.7250000000000001E-2</v>
      </c>
      <c r="CY362">
        <f>AD362</f>
        <v>0</v>
      </c>
      <c r="CZ362">
        <f>AH362</f>
        <v>0</v>
      </c>
      <c r="DA362">
        <f>AL362</f>
        <v>1</v>
      </c>
      <c r="DB362">
        <f>ROUND((((ROUND(AT362*CZ362,2)*1.25)*1.15)*3),2)</f>
        <v>0</v>
      </c>
      <c r="DC362">
        <f>ROUND((((ROUND(AT362*AG362,2)*1.25)*1.15)*3),2)</f>
        <v>0</v>
      </c>
      <c r="DD362" t="s">
        <v>3</v>
      </c>
      <c r="DE362" t="s">
        <v>3</v>
      </c>
      <c r="DF362">
        <f t="shared" si="148"/>
        <v>0</v>
      </c>
      <c r="DG362">
        <f>ROUND(ROUND(AF362,2)*CX362,2)</f>
        <v>0</v>
      </c>
      <c r="DH362">
        <f>ROUND(ROUND(AG362*AK362,2)*CX362,2)</f>
        <v>0</v>
      </c>
      <c r="DI362">
        <f t="shared" ref="DI362:DI368" si="149">ROUND(ROUND(AH362,2)*CX362,2)</f>
        <v>0</v>
      </c>
      <c r="DJ362">
        <f>DI362</f>
        <v>0</v>
      </c>
      <c r="DK362">
        <v>0</v>
      </c>
      <c r="DL362" t="s">
        <v>3</v>
      </c>
      <c r="DM362">
        <v>0</v>
      </c>
      <c r="DN362" t="s">
        <v>3</v>
      </c>
      <c r="DO362">
        <v>0</v>
      </c>
    </row>
    <row r="363" spans="1:119" x14ac:dyDescent="0.2">
      <c r="A363">
        <f>ROW(Source!A155)</f>
        <v>155</v>
      </c>
      <c r="B363">
        <v>145033679</v>
      </c>
      <c r="C363">
        <v>145051721</v>
      </c>
      <c r="D363">
        <v>140923086</v>
      </c>
      <c r="E363">
        <v>1</v>
      </c>
      <c r="F363">
        <v>1</v>
      </c>
      <c r="G363">
        <v>1</v>
      </c>
      <c r="H363">
        <v>2</v>
      </c>
      <c r="I363" t="s">
        <v>953</v>
      </c>
      <c r="J363" t="s">
        <v>954</v>
      </c>
      <c r="K363" t="s">
        <v>955</v>
      </c>
      <c r="L363">
        <v>1367</v>
      </c>
      <c r="N363">
        <v>1011</v>
      </c>
      <c r="O363" t="s">
        <v>79</v>
      </c>
      <c r="P363" t="s">
        <v>79</v>
      </c>
      <c r="Q363">
        <v>1</v>
      </c>
      <c r="W363">
        <v>0</v>
      </c>
      <c r="X363">
        <v>208619310</v>
      </c>
      <c r="Y363">
        <f>(((AT363*1.25)*1.15)*3)</f>
        <v>4.3124999999999997E-2</v>
      </c>
      <c r="AA363">
        <v>0</v>
      </c>
      <c r="AB363">
        <v>20.62</v>
      </c>
      <c r="AC363">
        <v>0</v>
      </c>
      <c r="AD363">
        <v>0</v>
      </c>
      <c r="AE363">
        <v>0</v>
      </c>
      <c r="AF363">
        <v>1.7</v>
      </c>
      <c r="AG363">
        <v>0</v>
      </c>
      <c r="AH363">
        <v>0</v>
      </c>
      <c r="AI363">
        <v>1</v>
      </c>
      <c r="AJ363">
        <v>12.13</v>
      </c>
      <c r="AK363">
        <v>30.54</v>
      </c>
      <c r="AL363">
        <v>1</v>
      </c>
      <c r="AM363">
        <v>4</v>
      </c>
      <c r="AN363">
        <v>0</v>
      </c>
      <c r="AO363">
        <v>1</v>
      </c>
      <c r="AP363">
        <v>1</v>
      </c>
      <c r="AQ363">
        <v>0</v>
      </c>
      <c r="AR363">
        <v>0</v>
      </c>
      <c r="AS363" t="s">
        <v>3</v>
      </c>
      <c r="AT363">
        <v>0.01</v>
      </c>
      <c r="AU363" t="s">
        <v>532</v>
      </c>
      <c r="AV363">
        <v>0</v>
      </c>
      <c r="AW363">
        <v>2</v>
      </c>
      <c r="AX363">
        <v>145051724</v>
      </c>
      <c r="AY363">
        <v>1</v>
      </c>
      <c r="AZ363">
        <v>0</v>
      </c>
      <c r="BA363">
        <v>363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ROUND(Y363*Source!I155,9)</f>
        <v>8.6250000000000007E-3</v>
      </c>
      <c r="CY363">
        <f>AB363</f>
        <v>20.62</v>
      </c>
      <c r="CZ363">
        <f>AF363</f>
        <v>1.7</v>
      </c>
      <c r="DA363">
        <f>AJ363</f>
        <v>12.13</v>
      </c>
      <c r="DB363">
        <f>ROUND((((ROUND(AT363*CZ363,2)*1.25)*1.15)*3),2)</f>
        <v>0.09</v>
      </c>
      <c r="DC363">
        <f>ROUND((((ROUND(AT363*AG363,2)*1.25)*1.15)*3),2)</f>
        <v>0</v>
      </c>
      <c r="DD363" t="s">
        <v>3</v>
      </c>
      <c r="DE363" t="s">
        <v>3</v>
      </c>
      <c r="DF363">
        <f t="shared" si="148"/>
        <v>0</v>
      </c>
      <c r="DG363">
        <f>ROUND(ROUND(AF363*AJ363,2)*CX363,2)</f>
        <v>0.18</v>
      </c>
      <c r="DH363">
        <f>ROUND(ROUND(AG363*AK363,2)*CX363,2)</f>
        <v>0</v>
      </c>
      <c r="DI363">
        <f t="shared" si="149"/>
        <v>0</v>
      </c>
      <c r="DJ363">
        <f>DG363</f>
        <v>0.18</v>
      </c>
      <c r="DK363">
        <v>0</v>
      </c>
      <c r="DL363" t="s">
        <v>3</v>
      </c>
      <c r="DM363">
        <v>0</v>
      </c>
      <c r="DN363" t="s">
        <v>3</v>
      </c>
      <c r="DO363">
        <v>0</v>
      </c>
    </row>
    <row r="364" spans="1:119" x14ac:dyDescent="0.2">
      <c r="A364">
        <f>ROW(Source!A155)</f>
        <v>155</v>
      </c>
      <c r="B364">
        <v>145033679</v>
      </c>
      <c r="C364">
        <v>145051721</v>
      </c>
      <c r="D364">
        <v>140923105</v>
      </c>
      <c r="E364">
        <v>1</v>
      </c>
      <c r="F364">
        <v>1</v>
      </c>
      <c r="G364">
        <v>1</v>
      </c>
      <c r="H364">
        <v>2</v>
      </c>
      <c r="I364" t="s">
        <v>823</v>
      </c>
      <c r="J364" t="s">
        <v>824</v>
      </c>
      <c r="K364" t="s">
        <v>825</v>
      </c>
      <c r="L364">
        <v>1367</v>
      </c>
      <c r="N364">
        <v>1011</v>
      </c>
      <c r="O364" t="s">
        <v>79</v>
      </c>
      <c r="P364" t="s">
        <v>79</v>
      </c>
      <c r="Q364">
        <v>1</v>
      </c>
      <c r="W364">
        <v>0</v>
      </c>
      <c r="X364">
        <v>-896236776</v>
      </c>
      <c r="Y364">
        <f>(((AT364*1.25)*1.15)*3)</f>
        <v>4.3124999999999997E-2</v>
      </c>
      <c r="AA364">
        <v>0</v>
      </c>
      <c r="AB364">
        <v>1091.58</v>
      </c>
      <c r="AC364">
        <v>307.23</v>
      </c>
      <c r="AD364">
        <v>0</v>
      </c>
      <c r="AE364">
        <v>0</v>
      </c>
      <c r="AF364">
        <v>89.99</v>
      </c>
      <c r="AG364">
        <v>10.06</v>
      </c>
      <c r="AH364">
        <v>0</v>
      </c>
      <c r="AI364">
        <v>1</v>
      </c>
      <c r="AJ364">
        <v>12.13</v>
      </c>
      <c r="AK364">
        <v>30.54</v>
      </c>
      <c r="AL364">
        <v>1</v>
      </c>
      <c r="AM364">
        <v>4</v>
      </c>
      <c r="AN364">
        <v>0</v>
      </c>
      <c r="AO364">
        <v>1</v>
      </c>
      <c r="AP364">
        <v>1</v>
      </c>
      <c r="AQ364">
        <v>0</v>
      </c>
      <c r="AR364">
        <v>0</v>
      </c>
      <c r="AS364" t="s">
        <v>3</v>
      </c>
      <c r="AT364">
        <v>0.01</v>
      </c>
      <c r="AU364" t="s">
        <v>532</v>
      </c>
      <c r="AV364">
        <v>0</v>
      </c>
      <c r="AW364">
        <v>2</v>
      </c>
      <c r="AX364">
        <v>145051725</v>
      </c>
      <c r="AY364">
        <v>1</v>
      </c>
      <c r="AZ364">
        <v>0</v>
      </c>
      <c r="BA364">
        <v>364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ROUND(Y364*Source!I155,9)</f>
        <v>8.6250000000000007E-3</v>
      </c>
      <c r="CY364">
        <f>AB364</f>
        <v>1091.58</v>
      </c>
      <c r="CZ364">
        <f>AF364</f>
        <v>89.99</v>
      </c>
      <c r="DA364">
        <f>AJ364</f>
        <v>12.13</v>
      </c>
      <c r="DB364">
        <f>ROUND((((ROUND(AT364*CZ364,2)*1.25)*1.15)*3),2)</f>
        <v>3.88</v>
      </c>
      <c r="DC364">
        <f>ROUND((((ROUND(AT364*AG364,2)*1.25)*1.15)*3),2)</f>
        <v>0.43</v>
      </c>
      <c r="DD364" t="s">
        <v>3</v>
      </c>
      <c r="DE364" t="s">
        <v>3</v>
      </c>
      <c r="DF364">
        <f t="shared" si="148"/>
        <v>0</v>
      </c>
      <c r="DG364">
        <f>ROUND(ROUND(AF364*AJ364,2)*CX364,2)</f>
        <v>9.41</v>
      </c>
      <c r="DH364">
        <f>ROUND(ROUND(AG364*AK364,2)*CX364,2)</f>
        <v>2.65</v>
      </c>
      <c r="DI364">
        <f t="shared" si="149"/>
        <v>0</v>
      </c>
      <c r="DJ364">
        <f>DG364</f>
        <v>9.41</v>
      </c>
      <c r="DK364">
        <v>0</v>
      </c>
      <c r="DL364" t="s">
        <v>3</v>
      </c>
      <c r="DM364">
        <v>0</v>
      </c>
      <c r="DN364" t="s">
        <v>3</v>
      </c>
      <c r="DO364">
        <v>0</v>
      </c>
    </row>
    <row r="365" spans="1:119" x14ac:dyDescent="0.2">
      <c r="A365">
        <f>ROW(Source!A155)</f>
        <v>155</v>
      </c>
      <c r="B365">
        <v>145033679</v>
      </c>
      <c r="C365">
        <v>145051721</v>
      </c>
      <c r="D365">
        <v>140923885</v>
      </c>
      <c r="E365">
        <v>1</v>
      </c>
      <c r="F365">
        <v>1</v>
      </c>
      <c r="G365">
        <v>1</v>
      </c>
      <c r="H365">
        <v>2</v>
      </c>
      <c r="I365" t="s">
        <v>732</v>
      </c>
      <c r="J365" t="s">
        <v>733</v>
      </c>
      <c r="K365" t="s">
        <v>734</v>
      </c>
      <c r="L365">
        <v>1367</v>
      </c>
      <c r="N365">
        <v>1011</v>
      </c>
      <c r="O365" t="s">
        <v>79</v>
      </c>
      <c r="P365" t="s">
        <v>79</v>
      </c>
      <c r="Q365">
        <v>1</v>
      </c>
      <c r="W365">
        <v>0</v>
      </c>
      <c r="X365">
        <v>509054691</v>
      </c>
      <c r="Y365">
        <f>(((AT365*1.25)*1.15)*3)</f>
        <v>4.3124999999999997E-2</v>
      </c>
      <c r="AA365">
        <v>0</v>
      </c>
      <c r="AB365">
        <v>797.06</v>
      </c>
      <c r="AC365">
        <v>354.26</v>
      </c>
      <c r="AD365">
        <v>0</v>
      </c>
      <c r="AE365">
        <v>0</v>
      </c>
      <c r="AF365">
        <v>65.709999999999994</v>
      </c>
      <c r="AG365">
        <v>11.6</v>
      </c>
      <c r="AH365">
        <v>0</v>
      </c>
      <c r="AI365">
        <v>1</v>
      </c>
      <c r="AJ365">
        <v>12.13</v>
      </c>
      <c r="AK365">
        <v>30.54</v>
      </c>
      <c r="AL365">
        <v>1</v>
      </c>
      <c r="AM365">
        <v>4</v>
      </c>
      <c r="AN365">
        <v>0</v>
      </c>
      <c r="AO365">
        <v>1</v>
      </c>
      <c r="AP365">
        <v>1</v>
      </c>
      <c r="AQ365">
        <v>0</v>
      </c>
      <c r="AR365">
        <v>0</v>
      </c>
      <c r="AS365" t="s">
        <v>3</v>
      </c>
      <c r="AT365">
        <v>0.01</v>
      </c>
      <c r="AU365" t="s">
        <v>532</v>
      </c>
      <c r="AV365">
        <v>0</v>
      </c>
      <c r="AW365">
        <v>2</v>
      </c>
      <c r="AX365">
        <v>145051726</v>
      </c>
      <c r="AY365">
        <v>1</v>
      </c>
      <c r="AZ365">
        <v>0</v>
      </c>
      <c r="BA365">
        <v>365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ROUND(Y365*Source!I155,9)</f>
        <v>8.6250000000000007E-3</v>
      </c>
      <c r="CY365">
        <f>AB365</f>
        <v>797.06</v>
      </c>
      <c r="CZ365">
        <f>AF365</f>
        <v>65.709999999999994</v>
      </c>
      <c r="DA365">
        <f>AJ365</f>
        <v>12.13</v>
      </c>
      <c r="DB365">
        <f>ROUND((((ROUND(AT365*CZ365,2)*1.25)*1.15)*3),2)</f>
        <v>2.85</v>
      </c>
      <c r="DC365">
        <f>ROUND((((ROUND(AT365*AG365,2)*1.25)*1.15)*3),2)</f>
        <v>0.52</v>
      </c>
      <c r="DD365" t="s">
        <v>3</v>
      </c>
      <c r="DE365" t="s">
        <v>3</v>
      </c>
      <c r="DF365">
        <f t="shared" si="148"/>
        <v>0</v>
      </c>
      <c r="DG365">
        <f>ROUND(ROUND(AF365*AJ365,2)*CX365,2)</f>
        <v>6.87</v>
      </c>
      <c r="DH365">
        <f>ROUND(ROUND(AG365*AK365,2)*CX365,2)</f>
        <v>3.06</v>
      </c>
      <c r="DI365">
        <f t="shared" si="149"/>
        <v>0</v>
      </c>
      <c r="DJ365">
        <f>DG365</f>
        <v>6.87</v>
      </c>
      <c r="DK365">
        <v>0</v>
      </c>
      <c r="DL365" t="s">
        <v>3</v>
      </c>
      <c r="DM365">
        <v>0</v>
      </c>
      <c r="DN365" t="s">
        <v>3</v>
      </c>
      <c r="DO365">
        <v>0</v>
      </c>
    </row>
    <row r="366" spans="1:119" x14ac:dyDescent="0.2">
      <c r="A366">
        <f>ROW(Source!A155)</f>
        <v>155</v>
      </c>
      <c r="B366">
        <v>145033679</v>
      </c>
      <c r="C366">
        <v>145051721</v>
      </c>
      <c r="D366">
        <v>140924526</v>
      </c>
      <c r="E366">
        <v>1</v>
      </c>
      <c r="F366">
        <v>1</v>
      </c>
      <c r="G366">
        <v>1</v>
      </c>
      <c r="H366">
        <v>2</v>
      </c>
      <c r="I366" t="s">
        <v>815</v>
      </c>
      <c r="J366" t="s">
        <v>816</v>
      </c>
      <c r="K366" t="s">
        <v>817</v>
      </c>
      <c r="L366">
        <v>1367</v>
      </c>
      <c r="N366">
        <v>1011</v>
      </c>
      <c r="O366" t="s">
        <v>79</v>
      </c>
      <c r="P366" t="s">
        <v>79</v>
      </c>
      <c r="Q366">
        <v>1</v>
      </c>
      <c r="W366">
        <v>0</v>
      </c>
      <c r="X366">
        <v>-1745017968</v>
      </c>
      <c r="Y366">
        <f>(((AT366*1.25)*1.15)*3)</f>
        <v>2.8031249999999996</v>
      </c>
      <c r="AA366">
        <v>0</v>
      </c>
      <c r="AB366">
        <v>82.73</v>
      </c>
      <c r="AC366">
        <v>0</v>
      </c>
      <c r="AD366">
        <v>0</v>
      </c>
      <c r="AE366">
        <v>0</v>
      </c>
      <c r="AF366">
        <v>6.82</v>
      </c>
      <c r="AG366">
        <v>0</v>
      </c>
      <c r="AH366">
        <v>0</v>
      </c>
      <c r="AI366">
        <v>1</v>
      </c>
      <c r="AJ366">
        <v>12.13</v>
      </c>
      <c r="AK366">
        <v>30.54</v>
      </c>
      <c r="AL366">
        <v>1</v>
      </c>
      <c r="AM366">
        <v>4</v>
      </c>
      <c r="AN366">
        <v>0</v>
      </c>
      <c r="AO366">
        <v>1</v>
      </c>
      <c r="AP366">
        <v>1</v>
      </c>
      <c r="AQ366">
        <v>0</v>
      </c>
      <c r="AR366">
        <v>0</v>
      </c>
      <c r="AS366" t="s">
        <v>3</v>
      </c>
      <c r="AT366">
        <v>0.65</v>
      </c>
      <c r="AU366" t="s">
        <v>532</v>
      </c>
      <c r="AV366">
        <v>0</v>
      </c>
      <c r="AW366">
        <v>2</v>
      </c>
      <c r="AX366">
        <v>145051727</v>
      </c>
      <c r="AY366">
        <v>1</v>
      </c>
      <c r="AZ366">
        <v>0</v>
      </c>
      <c r="BA366">
        <v>366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ROUND(Y366*Source!I155,9)</f>
        <v>0.56062500000000004</v>
      </c>
      <c r="CY366">
        <f>AB366</f>
        <v>82.73</v>
      </c>
      <c r="CZ366">
        <f>AF366</f>
        <v>6.82</v>
      </c>
      <c r="DA366">
        <f>AJ366</f>
        <v>12.13</v>
      </c>
      <c r="DB366">
        <f>ROUND((((ROUND(AT366*CZ366,2)*1.25)*1.15)*3),2)</f>
        <v>19.100000000000001</v>
      </c>
      <c r="DC366">
        <f>ROUND((((ROUND(AT366*AG366,2)*1.25)*1.15)*3),2)</f>
        <v>0</v>
      </c>
      <c r="DD366" t="s">
        <v>3</v>
      </c>
      <c r="DE366" t="s">
        <v>3</v>
      </c>
      <c r="DF366">
        <f t="shared" si="148"/>
        <v>0</v>
      </c>
      <c r="DG366">
        <f>ROUND(ROUND(AF366*AJ366,2)*CX366,2)</f>
        <v>46.38</v>
      </c>
      <c r="DH366">
        <f>ROUND(ROUND(AG366*AK366,2)*CX366,2)</f>
        <v>0</v>
      </c>
      <c r="DI366">
        <f t="shared" si="149"/>
        <v>0</v>
      </c>
      <c r="DJ366">
        <f>DG366</f>
        <v>46.38</v>
      </c>
      <c r="DK366">
        <v>0</v>
      </c>
      <c r="DL366" t="s">
        <v>3</v>
      </c>
      <c r="DM366">
        <v>0</v>
      </c>
      <c r="DN366" t="s">
        <v>3</v>
      </c>
      <c r="DO366">
        <v>0</v>
      </c>
    </row>
    <row r="367" spans="1:119" x14ac:dyDescent="0.2">
      <c r="A367">
        <f>ROW(Source!A155)</f>
        <v>155</v>
      </c>
      <c r="B367">
        <v>145033679</v>
      </c>
      <c r="C367">
        <v>145051721</v>
      </c>
      <c r="D367">
        <v>140804609</v>
      </c>
      <c r="E367">
        <v>1</v>
      </c>
      <c r="F367">
        <v>1</v>
      </c>
      <c r="G367">
        <v>1</v>
      </c>
      <c r="H367">
        <v>3</v>
      </c>
      <c r="I367" t="s">
        <v>535</v>
      </c>
      <c r="J367" t="s">
        <v>537</v>
      </c>
      <c r="K367" t="s">
        <v>536</v>
      </c>
      <c r="L367">
        <v>1348</v>
      </c>
      <c r="N367">
        <v>1009</v>
      </c>
      <c r="O367" t="s">
        <v>105</v>
      </c>
      <c r="P367" t="s">
        <v>105</v>
      </c>
      <c r="Q367">
        <v>1000</v>
      </c>
      <c r="W367">
        <v>1</v>
      </c>
      <c r="X367">
        <v>499358224</v>
      </c>
      <c r="Y367">
        <f>(AT367*3)</f>
        <v>-2.6999999999999996E-2</v>
      </c>
      <c r="AA367">
        <v>124665.1</v>
      </c>
      <c r="AB367">
        <v>0</v>
      </c>
      <c r="AC367">
        <v>0</v>
      </c>
      <c r="AD367">
        <v>0</v>
      </c>
      <c r="AE367">
        <v>14312.87</v>
      </c>
      <c r="AF367">
        <v>0</v>
      </c>
      <c r="AG367">
        <v>0</v>
      </c>
      <c r="AH367">
        <v>0</v>
      </c>
      <c r="AI367">
        <v>8.7100000000000009</v>
      </c>
      <c r="AJ367">
        <v>1</v>
      </c>
      <c r="AK367">
        <v>1</v>
      </c>
      <c r="AL367">
        <v>1</v>
      </c>
      <c r="AM367">
        <v>4</v>
      </c>
      <c r="AN367">
        <v>0</v>
      </c>
      <c r="AO367">
        <v>1</v>
      </c>
      <c r="AP367">
        <v>1</v>
      </c>
      <c r="AQ367">
        <v>0</v>
      </c>
      <c r="AR367">
        <v>0</v>
      </c>
      <c r="AS367" t="s">
        <v>3</v>
      </c>
      <c r="AT367">
        <v>-8.9999999999999993E-3</v>
      </c>
      <c r="AU367" t="s">
        <v>531</v>
      </c>
      <c r="AV367">
        <v>0</v>
      </c>
      <c r="AW367">
        <v>2</v>
      </c>
      <c r="AX367">
        <v>145051728</v>
      </c>
      <c r="AY367">
        <v>1</v>
      </c>
      <c r="AZ367">
        <v>6144</v>
      </c>
      <c r="BA367">
        <v>367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ROUND(Y367*Source!I155,9)</f>
        <v>-5.4000000000000003E-3</v>
      </c>
      <c r="CY367">
        <f>AA367</f>
        <v>124665.1</v>
      </c>
      <c r="CZ367">
        <f>AE367</f>
        <v>14312.87</v>
      </c>
      <c r="DA367">
        <f>AI367</f>
        <v>8.7100000000000009</v>
      </c>
      <c r="DB367">
        <f>ROUND((ROUND(AT367*CZ367,2)*3),2)</f>
        <v>-386.46</v>
      </c>
      <c r="DC367">
        <f>ROUND((ROUND(AT367*AG367,2)*3),2)</f>
        <v>0</v>
      </c>
      <c r="DD367" t="s">
        <v>3</v>
      </c>
      <c r="DE367" t="s">
        <v>3</v>
      </c>
      <c r="DF367">
        <f>ROUND(ROUND(AE367*AI367,2)*CX367,2)</f>
        <v>-673.19</v>
      </c>
      <c r="DG367">
        <f>ROUND(ROUND(AF367,2)*CX367,2)</f>
        <v>0</v>
      </c>
      <c r="DH367">
        <f>ROUND(ROUND(AG367,2)*CX367,2)</f>
        <v>0</v>
      </c>
      <c r="DI367">
        <f t="shared" si="149"/>
        <v>0</v>
      </c>
      <c r="DJ367">
        <f>DF367</f>
        <v>-673.19</v>
      </c>
      <c r="DK367">
        <v>0</v>
      </c>
      <c r="DL367" t="s">
        <v>3</v>
      </c>
      <c r="DM367">
        <v>0</v>
      </c>
      <c r="DN367" t="s">
        <v>3</v>
      </c>
      <c r="DO367">
        <v>0</v>
      </c>
    </row>
    <row r="368" spans="1:119" x14ac:dyDescent="0.2">
      <c r="A368">
        <f>ROW(Source!A155)</f>
        <v>155</v>
      </c>
      <c r="B368">
        <v>145033679</v>
      </c>
      <c r="C368">
        <v>145051721</v>
      </c>
      <c r="D368">
        <v>140805221</v>
      </c>
      <c r="E368">
        <v>1</v>
      </c>
      <c r="F368">
        <v>1</v>
      </c>
      <c r="G368">
        <v>1</v>
      </c>
      <c r="H368">
        <v>3</v>
      </c>
      <c r="I368" t="s">
        <v>1069</v>
      </c>
      <c r="J368" t="s">
        <v>1070</v>
      </c>
      <c r="K368" t="s">
        <v>1071</v>
      </c>
      <c r="L368">
        <v>1346</v>
      </c>
      <c r="N368">
        <v>1009</v>
      </c>
      <c r="O368" t="s">
        <v>43</v>
      </c>
      <c r="P368" t="s">
        <v>43</v>
      </c>
      <c r="Q368">
        <v>1</v>
      </c>
      <c r="W368">
        <v>0</v>
      </c>
      <c r="X368">
        <v>58056778</v>
      </c>
      <c r="Y368">
        <f>(AT368*3)</f>
        <v>4.1999999999999993</v>
      </c>
      <c r="AA368">
        <v>58.1</v>
      </c>
      <c r="AB368">
        <v>0</v>
      </c>
      <c r="AC368">
        <v>0</v>
      </c>
      <c r="AD368">
        <v>0</v>
      </c>
      <c r="AE368">
        <v>6.67</v>
      </c>
      <c r="AF368">
        <v>0</v>
      </c>
      <c r="AG368">
        <v>0</v>
      </c>
      <c r="AH368">
        <v>0</v>
      </c>
      <c r="AI368">
        <v>8.7100000000000009</v>
      </c>
      <c r="AJ368">
        <v>1</v>
      </c>
      <c r="AK368">
        <v>1</v>
      </c>
      <c r="AL368">
        <v>1</v>
      </c>
      <c r="AM368">
        <v>4</v>
      </c>
      <c r="AN368">
        <v>0</v>
      </c>
      <c r="AO368">
        <v>1</v>
      </c>
      <c r="AP368">
        <v>1</v>
      </c>
      <c r="AQ368">
        <v>0</v>
      </c>
      <c r="AR368">
        <v>0</v>
      </c>
      <c r="AS368" t="s">
        <v>3</v>
      </c>
      <c r="AT368">
        <v>1.4</v>
      </c>
      <c r="AU368" t="s">
        <v>531</v>
      </c>
      <c r="AV368">
        <v>0</v>
      </c>
      <c r="AW368">
        <v>2</v>
      </c>
      <c r="AX368">
        <v>145051729</v>
      </c>
      <c r="AY368">
        <v>1</v>
      </c>
      <c r="AZ368">
        <v>0</v>
      </c>
      <c r="BA368">
        <v>368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ROUND(Y368*Source!I155,9)</f>
        <v>0.84</v>
      </c>
      <c r="CY368">
        <f>AA368</f>
        <v>58.1</v>
      </c>
      <c r="CZ368">
        <f>AE368</f>
        <v>6.67</v>
      </c>
      <c r="DA368">
        <f>AI368</f>
        <v>8.7100000000000009</v>
      </c>
      <c r="DB368">
        <f>ROUND((ROUND(AT368*CZ368,2)*3),2)</f>
        <v>28.02</v>
      </c>
      <c r="DC368">
        <f>ROUND((ROUND(AT368*AG368,2)*3),2)</f>
        <v>0</v>
      </c>
      <c r="DD368" t="s">
        <v>3</v>
      </c>
      <c r="DE368" t="s">
        <v>3</v>
      </c>
      <c r="DF368">
        <f>ROUND(ROUND(AE368*AI368,2)*CX368,2)</f>
        <v>48.8</v>
      </c>
      <c r="DG368">
        <f>ROUND(ROUND(AF368,2)*CX368,2)</f>
        <v>0</v>
      </c>
      <c r="DH368">
        <f>ROUND(ROUND(AG368,2)*CX368,2)</f>
        <v>0</v>
      </c>
      <c r="DI368">
        <f t="shared" si="149"/>
        <v>0</v>
      </c>
      <c r="DJ368">
        <f>DF368</f>
        <v>48.8</v>
      </c>
      <c r="DK368">
        <v>0</v>
      </c>
      <c r="DL368" t="s">
        <v>3</v>
      </c>
      <c r="DM368">
        <v>0</v>
      </c>
      <c r="DN368" t="s">
        <v>3</v>
      </c>
      <c r="DO368">
        <v>0</v>
      </c>
    </row>
    <row r="369" spans="1:119" x14ac:dyDescent="0.2">
      <c r="A369">
        <f>ROW(Source!A160)</f>
        <v>160</v>
      </c>
      <c r="B369">
        <v>145033679</v>
      </c>
      <c r="C369">
        <v>145051750</v>
      </c>
      <c r="D369">
        <v>140759956</v>
      </c>
      <c r="E369">
        <v>70</v>
      </c>
      <c r="F369">
        <v>1</v>
      </c>
      <c r="G369">
        <v>1</v>
      </c>
      <c r="H369">
        <v>1</v>
      </c>
      <c r="I369" t="s">
        <v>912</v>
      </c>
      <c r="J369" t="s">
        <v>3</v>
      </c>
      <c r="K369" t="s">
        <v>913</v>
      </c>
      <c r="L369">
        <v>1191</v>
      </c>
      <c r="N369">
        <v>1013</v>
      </c>
      <c r="O369" t="s">
        <v>725</v>
      </c>
      <c r="P369" t="s">
        <v>725</v>
      </c>
      <c r="Q369">
        <v>1</v>
      </c>
      <c r="W369">
        <v>0</v>
      </c>
      <c r="X369">
        <v>388411409</v>
      </c>
      <c r="Y369">
        <f>((AT369*1.15)*0.8)</f>
        <v>65.78</v>
      </c>
      <c r="AA369">
        <v>0</v>
      </c>
      <c r="AB369">
        <v>0</v>
      </c>
      <c r="AC369">
        <v>0</v>
      </c>
      <c r="AD369">
        <v>249.51</v>
      </c>
      <c r="AE369">
        <v>0</v>
      </c>
      <c r="AF369">
        <v>0</v>
      </c>
      <c r="AG369">
        <v>0</v>
      </c>
      <c r="AH369">
        <v>8.17</v>
      </c>
      <c r="AI369">
        <v>1</v>
      </c>
      <c r="AJ369">
        <v>1</v>
      </c>
      <c r="AK369">
        <v>1</v>
      </c>
      <c r="AL369">
        <v>30.54</v>
      </c>
      <c r="AM369">
        <v>4</v>
      </c>
      <c r="AN369">
        <v>0</v>
      </c>
      <c r="AO369">
        <v>1</v>
      </c>
      <c r="AP369">
        <v>1</v>
      </c>
      <c r="AQ369">
        <v>0</v>
      </c>
      <c r="AR369">
        <v>0</v>
      </c>
      <c r="AS369" t="s">
        <v>3</v>
      </c>
      <c r="AT369">
        <v>71.5</v>
      </c>
      <c r="AU369" t="s">
        <v>300</v>
      </c>
      <c r="AV369">
        <v>1</v>
      </c>
      <c r="AW369">
        <v>2</v>
      </c>
      <c r="AX369">
        <v>145051751</v>
      </c>
      <c r="AY369">
        <v>1</v>
      </c>
      <c r="AZ369">
        <v>0</v>
      </c>
      <c r="BA369">
        <v>369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ROUND(Y369*Source!I160,9)</f>
        <v>251.41116</v>
      </c>
      <c r="CY369">
        <f>AD369</f>
        <v>249.51</v>
      </c>
      <c r="CZ369">
        <f>AH369</f>
        <v>8.17</v>
      </c>
      <c r="DA369">
        <f>AL369</f>
        <v>30.54</v>
      </c>
      <c r="DB369">
        <f>ROUND(((ROUND(AT369*CZ369,2)*1.15)*0.8),2)</f>
        <v>537.42999999999995</v>
      </c>
      <c r="DC369">
        <f>ROUND(((ROUND(AT369*AG369,2)*1.15)*0.8),2)</f>
        <v>0</v>
      </c>
      <c r="DD369" t="s">
        <v>3</v>
      </c>
      <c r="DE369" t="s">
        <v>3</v>
      </c>
      <c r="DF369">
        <f>ROUND(ROUND(AE369,2)*CX369,2)</f>
        <v>0</v>
      </c>
      <c r="DG369">
        <f>ROUND(ROUND(AF369,2)*CX369,2)</f>
        <v>0</v>
      </c>
      <c r="DH369">
        <f>ROUND(ROUND(AG369,2)*CX369,2)</f>
        <v>0</v>
      </c>
      <c r="DI369">
        <f>ROUND(ROUND(AH369*AL369,2)*CX369,2)</f>
        <v>62729.599999999999</v>
      </c>
      <c r="DJ369">
        <f>DI369</f>
        <v>62729.599999999999</v>
      </c>
      <c r="DK369">
        <v>0</v>
      </c>
      <c r="DL369" t="s">
        <v>3</v>
      </c>
      <c r="DM369">
        <v>0</v>
      </c>
      <c r="DN369" t="s">
        <v>3</v>
      </c>
      <c r="DO369">
        <v>0</v>
      </c>
    </row>
    <row r="370" spans="1:119" x14ac:dyDescent="0.2">
      <c r="A370">
        <f>ROW(Source!A160)</f>
        <v>160</v>
      </c>
      <c r="B370">
        <v>145033679</v>
      </c>
      <c r="C370">
        <v>145051750</v>
      </c>
      <c r="D370">
        <v>140760225</v>
      </c>
      <c r="E370">
        <v>70</v>
      </c>
      <c r="F370">
        <v>1</v>
      </c>
      <c r="G370">
        <v>1</v>
      </c>
      <c r="H370">
        <v>1</v>
      </c>
      <c r="I370" t="s">
        <v>730</v>
      </c>
      <c r="J370" t="s">
        <v>3</v>
      </c>
      <c r="K370" t="s">
        <v>731</v>
      </c>
      <c r="L370">
        <v>1191</v>
      </c>
      <c r="N370">
        <v>1013</v>
      </c>
      <c r="O370" t="s">
        <v>725</v>
      </c>
      <c r="P370" t="s">
        <v>725</v>
      </c>
      <c r="Q370">
        <v>1</v>
      </c>
      <c r="W370">
        <v>0</v>
      </c>
      <c r="X370">
        <v>-1417349443</v>
      </c>
      <c r="Y370">
        <f>((AT370*1.15)*0.8)</f>
        <v>0.67159999999999997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1</v>
      </c>
      <c r="AK370">
        <v>30.54</v>
      </c>
      <c r="AL370">
        <v>1</v>
      </c>
      <c r="AM370">
        <v>4</v>
      </c>
      <c r="AN370">
        <v>0</v>
      </c>
      <c r="AO370">
        <v>1</v>
      </c>
      <c r="AP370">
        <v>1</v>
      </c>
      <c r="AQ370">
        <v>0</v>
      </c>
      <c r="AR370">
        <v>0</v>
      </c>
      <c r="AS370" t="s">
        <v>3</v>
      </c>
      <c r="AT370">
        <v>0.73</v>
      </c>
      <c r="AU370" t="s">
        <v>300</v>
      </c>
      <c r="AV370">
        <v>2</v>
      </c>
      <c r="AW370">
        <v>2</v>
      </c>
      <c r="AX370">
        <v>145051752</v>
      </c>
      <c r="AY370">
        <v>1</v>
      </c>
      <c r="AZ370">
        <v>0</v>
      </c>
      <c r="BA370">
        <v>370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ROUND(Y370*Source!I160,9)</f>
        <v>2.5668552</v>
      </c>
      <c r="CY370">
        <f>AD370</f>
        <v>0</v>
      </c>
      <c r="CZ370">
        <f>AH370</f>
        <v>0</v>
      </c>
      <c r="DA370">
        <f>AL370</f>
        <v>1</v>
      </c>
      <c r="DB370">
        <f>ROUND(((ROUND(AT370*CZ370,2)*1.15)*0.8),2)</f>
        <v>0</v>
      </c>
      <c r="DC370">
        <f>ROUND(((ROUND(AT370*AG370,2)*1.15)*0.8),2)</f>
        <v>0</v>
      </c>
      <c r="DD370" t="s">
        <v>3</v>
      </c>
      <c r="DE370" t="s">
        <v>3</v>
      </c>
      <c r="DF370">
        <f>ROUND(ROUND(AE370,2)*CX370,2)</f>
        <v>0</v>
      </c>
      <c r="DG370">
        <f>ROUND(ROUND(AF370,2)*CX370,2)</f>
        <v>0</v>
      </c>
      <c r="DH370">
        <f>ROUND(ROUND(AG370*AK370,2)*CX370,2)</f>
        <v>0</v>
      </c>
      <c r="DI370">
        <f t="shared" ref="DI370:DI376" si="150">ROUND(ROUND(AH370,2)*CX370,2)</f>
        <v>0</v>
      </c>
      <c r="DJ370">
        <f>DI370</f>
        <v>0</v>
      </c>
      <c r="DK370">
        <v>0</v>
      </c>
      <c r="DL370" t="s">
        <v>3</v>
      </c>
      <c r="DM370">
        <v>0</v>
      </c>
      <c r="DN370" t="s">
        <v>3</v>
      </c>
      <c r="DO370">
        <v>0</v>
      </c>
    </row>
    <row r="371" spans="1:119" x14ac:dyDescent="0.2">
      <c r="A371">
        <f>ROW(Source!A160)</f>
        <v>160</v>
      </c>
      <c r="B371">
        <v>145033679</v>
      </c>
      <c r="C371">
        <v>145051750</v>
      </c>
      <c r="D371">
        <v>140922951</v>
      </c>
      <c r="E371">
        <v>1</v>
      </c>
      <c r="F371">
        <v>1</v>
      </c>
      <c r="G371">
        <v>1</v>
      </c>
      <c r="H371">
        <v>2</v>
      </c>
      <c r="I371" t="s">
        <v>752</v>
      </c>
      <c r="J371" t="s">
        <v>753</v>
      </c>
      <c r="K371" t="s">
        <v>754</v>
      </c>
      <c r="L371">
        <v>1367</v>
      </c>
      <c r="N371">
        <v>1011</v>
      </c>
      <c r="O371" t="s">
        <v>79</v>
      </c>
      <c r="P371" t="s">
        <v>79</v>
      </c>
      <c r="Q371">
        <v>1</v>
      </c>
      <c r="W371">
        <v>0</v>
      </c>
      <c r="X371">
        <v>-430484415</v>
      </c>
      <c r="Y371">
        <f>((AT371*1.15)*0.8)</f>
        <v>0.26679999999999998</v>
      </c>
      <c r="AA371">
        <v>0</v>
      </c>
      <c r="AB371">
        <v>1399.8</v>
      </c>
      <c r="AC371">
        <v>412.29</v>
      </c>
      <c r="AD371">
        <v>0</v>
      </c>
      <c r="AE371">
        <v>0</v>
      </c>
      <c r="AF371">
        <v>115.4</v>
      </c>
      <c r="AG371">
        <v>13.5</v>
      </c>
      <c r="AH371">
        <v>0</v>
      </c>
      <c r="AI371">
        <v>1</v>
      </c>
      <c r="AJ371">
        <v>12.13</v>
      </c>
      <c r="AK371">
        <v>30.54</v>
      </c>
      <c r="AL371">
        <v>1</v>
      </c>
      <c r="AM371">
        <v>4</v>
      </c>
      <c r="AN371">
        <v>0</v>
      </c>
      <c r="AO371">
        <v>1</v>
      </c>
      <c r="AP371">
        <v>1</v>
      </c>
      <c r="AQ371">
        <v>0</v>
      </c>
      <c r="AR371">
        <v>0</v>
      </c>
      <c r="AS371" t="s">
        <v>3</v>
      </c>
      <c r="AT371">
        <v>0.28999999999999998</v>
      </c>
      <c r="AU371" t="s">
        <v>300</v>
      </c>
      <c r="AV371">
        <v>0</v>
      </c>
      <c r="AW371">
        <v>2</v>
      </c>
      <c r="AX371">
        <v>145051753</v>
      </c>
      <c r="AY371">
        <v>1</v>
      </c>
      <c r="AZ371">
        <v>0</v>
      </c>
      <c r="BA371">
        <v>371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ROUND(Y371*Source!I160,9)</f>
        <v>1.0197096000000001</v>
      </c>
      <c r="CY371">
        <f>AB371</f>
        <v>1399.8</v>
      </c>
      <c r="CZ371">
        <f>AF371</f>
        <v>115.4</v>
      </c>
      <c r="DA371">
        <f>AJ371</f>
        <v>12.13</v>
      </c>
      <c r="DB371">
        <f>ROUND(((ROUND(AT371*CZ371,2)*1.15)*0.8),2)</f>
        <v>30.79</v>
      </c>
      <c r="DC371">
        <f>ROUND(((ROUND(AT371*AG371,2)*1.15)*0.8),2)</f>
        <v>3.61</v>
      </c>
      <c r="DD371" t="s">
        <v>3</v>
      </c>
      <c r="DE371" t="s">
        <v>3</v>
      </c>
      <c r="DF371">
        <f>ROUND(ROUND(AE371,2)*CX371,2)</f>
        <v>0</v>
      </c>
      <c r="DG371">
        <f>ROUND(ROUND(AF371*AJ371,2)*CX371,2)</f>
        <v>1427.39</v>
      </c>
      <c r="DH371">
        <f>ROUND(ROUND(AG371*AK371,2)*CX371,2)</f>
        <v>420.42</v>
      </c>
      <c r="DI371">
        <f t="shared" si="150"/>
        <v>0</v>
      </c>
      <c r="DJ371">
        <f>DG371</f>
        <v>1427.39</v>
      </c>
      <c r="DK371">
        <v>0</v>
      </c>
      <c r="DL371" t="s">
        <v>3</v>
      </c>
      <c r="DM371">
        <v>0</v>
      </c>
      <c r="DN371" t="s">
        <v>3</v>
      </c>
      <c r="DO371">
        <v>0</v>
      </c>
    </row>
    <row r="372" spans="1:119" x14ac:dyDescent="0.2">
      <c r="A372">
        <f>ROW(Source!A160)</f>
        <v>160</v>
      </c>
      <c r="B372">
        <v>145033679</v>
      </c>
      <c r="C372">
        <v>145051750</v>
      </c>
      <c r="D372">
        <v>140923885</v>
      </c>
      <c r="E372">
        <v>1</v>
      </c>
      <c r="F372">
        <v>1</v>
      </c>
      <c r="G372">
        <v>1</v>
      </c>
      <c r="H372">
        <v>2</v>
      </c>
      <c r="I372" t="s">
        <v>732</v>
      </c>
      <c r="J372" t="s">
        <v>733</v>
      </c>
      <c r="K372" t="s">
        <v>734</v>
      </c>
      <c r="L372">
        <v>1367</v>
      </c>
      <c r="N372">
        <v>1011</v>
      </c>
      <c r="O372" t="s">
        <v>79</v>
      </c>
      <c r="P372" t="s">
        <v>79</v>
      </c>
      <c r="Q372">
        <v>1</v>
      </c>
      <c r="W372">
        <v>0</v>
      </c>
      <c r="X372">
        <v>509054691</v>
      </c>
      <c r="Y372">
        <f>((AT372*1.15)*0.8)</f>
        <v>0.40480000000000005</v>
      </c>
      <c r="AA372">
        <v>0</v>
      </c>
      <c r="AB372">
        <v>797.06</v>
      </c>
      <c r="AC372">
        <v>354.26</v>
      </c>
      <c r="AD372">
        <v>0</v>
      </c>
      <c r="AE372">
        <v>0</v>
      </c>
      <c r="AF372">
        <v>65.709999999999994</v>
      </c>
      <c r="AG372">
        <v>11.6</v>
      </c>
      <c r="AH372">
        <v>0</v>
      </c>
      <c r="AI372">
        <v>1</v>
      </c>
      <c r="AJ372">
        <v>12.13</v>
      </c>
      <c r="AK372">
        <v>30.54</v>
      </c>
      <c r="AL372">
        <v>1</v>
      </c>
      <c r="AM372">
        <v>4</v>
      </c>
      <c r="AN372">
        <v>0</v>
      </c>
      <c r="AO372">
        <v>1</v>
      </c>
      <c r="AP372">
        <v>1</v>
      </c>
      <c r="AQ372">
        <v>0</v>
      </c>
      <c r="AR372">
        <v>0</v>
      </c>
      <c r="AS372" t="s">
        <v>3</v>
      </c>
      <c r="AT372">
        <v>0.44</v>
      </c>
      <c r="AU372" t="s">
        <v>300</v>
      </c>
      <c r="AV372">
        <v>0</v>
      </c>
      <c r="AW372">
        <v>2</v>
      </c>
      <c r="AX372">
        <v>145051754</v>
      </c>
      <c r="AY372">
        <v>1</v>
      </c>
      <c r="AZ372">
        <v>0</v>
      </c>
      <c r="BA372">
        <v>372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ROUND(Y372*Source!I160,9)</f>
        <v>1.5471455999999999</v>
      </c>
      <c r="CY372">
        <f>AB372</f>
        <v>797.06</v>
      </c>
      <c r="CZ372">
        <f>AF372</f>
        <v>65.709999999999994</v>
      </c>
      <c r="DA372">
        <f>AJ372</f>
        <v>12.13</v>
      </c>
      <c r="DB372">
        <f>ROUND(((ROUND(AT372*CZ372,2)*1.15)*0.8),2)</f>
        <v>26.6</v>
      </c>
      <c r="DC372">
        <f>ROUND(((ROUND(AT372*AG372,2)*1.15)*0.8),2)</f>
        <v>4.6900000000000004</v>
      </c>
      <c r="DD372" t="s">
        <v>3</v>
      </c>
      <c r="DE372" t="s">
        <v>3</v>
      </c>
      <c r="DF372">
        <f>ROUND(ROUND(AE372,2)*CX372,2)</f>
        <v>0</v>
      </c>
      <c r="DG372">
        <f>ROUND(ROUND(AF372*AJ372,2)*CX372,2)</f>
        <v>1233.17</v>
      </c>
      <c r="DH372">
        <f>ROUND(ROUND(AG372*AK372,2)*CX372,2)</f>
        <v>548.09</v>
      </c>
      <c r="DI372">
        <f t="shared" si="150"/>
        <v>0</v>
      </c>
      <c r="DJ372">
        <f>DG372</f>
        <v>1233.17</v>
      </c>
      <c r="DK372">
        <v>0</v>
      </c>
      <c r="DL372" t="s">
        <v>3</v>
      </c>
      <c r="DM372">
        <v>0</v>
      </c>
      <c r="DN372" t="s">
        <v>3</v>
      </c>
      <c r="DO372">
        <v>0</v>
      </c>
    </row>
    <row r="373" spans="1:119" x14ac:dyDescent="0.2">
      <c r="A373">
        <f>ROW(Source!A160)</f>
        <v>160</v>
      </c>
      <c r="B373">
        <v>145033679</v>
      </c>
      <c r="C373">
        <v>145051750</v>
      </c>
      <c r="D373">
        <v>140770479</v>
      </c>
      <c r="E373">
        <v>1</v>
      </c>
      <c r="F373">
        <v>1</v>
      </c>
      <c r="G373">
        <v>1</v>
      </c>
      <c r="H373">
        <v>3</v>
      </c>
      <c r="I373" t="s">
        <v>1072</v>
      </c>
      <c r="J373" t="s">
        <v>1073</v>
      </c>
      <c r="K373" t="s">
        <v>1074</v>
      </c>
      <c r="L373">
        <v>1327</v>
      </c>
      <c r="N373">
        <v>1005</v>
      </c>
      <c r="O373" t="s">
        <v>131</v>
      </c>
      <c r="P373" t="s">
        <v>131</v>
      </c>
      <c r="Q373">
        <v>1</v>
      </c>
      <c r="W373">
        <v>0</v>
      </c>
      <c r="X373">
        <v>-667519806</v>
      </c>
      <c r="Y373">
        <f>(AT373*0)</f>
        <v>0</v>
      </c>
      <c r="AA373">
        <v>326.63</v>
      </c>
      <c r="AB373">
        <v>0</v>
      </c>
      <c r="AC373">
        <v>0</v>
      </c>
      <c r="AD373">
        <v>0</v>
      </c>
      <c r="AE373">
        <v>37.5</v>
      </c>
      <c r="AF373">
        <v>0</v>
      </c>
      <c r="AG373">
        <v>0</v>
      </c>
      <c r="AH373">
        <v>0</v>
      </c>
      <c r="AI373">
        <v>8.7100000000000009</v>
      </c>
      <c r="AJ373">
        <v>1</v>
      </c>
      <c r="AK373">
        <v>1</v>
      </c>
      <c r="AL373">
        <v>1</v>
      </c>
      <c r="AM373">
        <v>4</v>
      </c>
      <c r="AN373">
        <v>0</v>
      </c>
      <c r="AO373">
        <v>1</v>
      </c>
      <c r="AP373">
        <v>1</v>
      </c>
      <c r="AQ373">
        <v>0</v>
      </c>
      <c r="AR373">
        <v>0</v>
      </c>
      <c r="AS373" t="s">
        <v>3</v>
      </c>
      <c r="AT373">
        <v>15.2</v>
      </c>
      <c r="AU373" t="s">
        <v>299</v>
      </c>
      <c r="AV373">
        <v>0</v>
      </c>
      <c r="AW373">
        <v>2</v>
      </c>
      <c r="AX373">
        <v>145051755</v>
      </c>
      <c r="AY373">
        <v>1</v>
      </c>
      <c r="AZ373">
        <v>0</v>
      </c>
      <c r="BA373">
        <v>373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ROUND(Y373*Source!I160,9)</f>
        <v>0</v>
      </c>
      <c r="CY373">
        <f>AA373</f>
        <v>326.63</v>
      </c>
      <c r="CZ373">
        <f>AE373</f>
        <v>37.5</v>
      </c>
      <c r="DA373">
        <f>AI373</f>
        <v>8.7100000000000009</v>
      </c>
      <c r="DB373">
        <f>ROUND((ROUND(AT373*CZ373,2)*0),2)</f>
        <v>0</v>
      </c>
      <c r="DC373">
        <f>ROUND((ROUND(AT373*AG373,2)*0),2)</f>
        <v>0</v>
      </c>
      <c r="DD373" t="s">
        <v>3</v>
      </c>
      <c r="DE373" t="s">
        <v>3</v>
      </c>
      <c r="DF373">
        <f>ROUND(ROUND(AE373*AI373,2)*CX373,2)</f>
        <v>0</v>
      </c>
      <c r="DG373">
        <f t="shared" ref="DG373:DG378" si="151">ROUND(ROUND(AF373,2)*CX373,2)</f>
        <v>0</v>
      </c>
      <c r="DH373">
        <f>ROUND(ROUND(AG373,2)*CX373,2)</f>
        <v>0</v>
      </c>
      <c r="DI373">
        <f t="shared" si="150"/>
        <v>0</v>
      </c>
      <c r="DJ373">
        <f>DF373</f>
        <v>0</v>
      </c>
      <c r="DK373">
        <v>0</v>
      </c>
      <c r="DL373" t="s">
        <v>3</v>
      </c>
      <c r="DM373">
        <v>0</v>
      </c>
      <c r="DN373" t="s">
        <v>3</v>
      </c>
      <c r="DO373">
        <v>0</v>
      </c>
    </row>
    <row r="374" spans="1:119" x14ac:dyDescent="0.2">
      <c r="A374">
        <f>ROW(Source!A160)</f>
        <v>160</v>
      </c>
      <c r="B374">
        <v>145033679</v>
      </c>
      <c r="C374">
        <v>145051750</v>
      </c>
      <c r="D374">
        <v>140770493</v>
      </c>
      <c r="E374">
        <v>1</v>
      </c>
      <c r="F374">
        <v>1</v>
      </c>
      <c r="G374">
        <v>1</v>
      </c>
      <c r="H374">
        <v>3</v>
      </c>
      <c r="I374" t="s">
        <v>1075</v>
      </c>
      <c r="J374" t="s">
        <v>1076</v>
      </c>
      <c r="K374" t="s">
        <v>1077</v>
      </c>
      <c r="L374">
        <v>1327</v>
      </c>
      <c r="N374">
        <v>1005</v>
      </c>
      <c r="O374" t="s">
        <v>131</v>
      </c>
      <c r="P374" t="s">
        <v>131</v>
      </c>
      <c r="Q374">
        <v>1</v>
      </c>
      <c r="W374">
        <v>0</v>
      </c>
      <c r="X374">
        <v>-1533817872</v>
      </c>
      <c r="Y374">
        <f>(AT374*0)</f>
        <v>0</v>
      </c>
      <c r="AA374">
        <v>115.15</v>
      </c>
      <c r="AB374">
        <v>0</v>
      </c>
      <c r="AC374">
        <v>0</v>
      </c>
      <c r="AD374">
        <v>0</v>
      </c>
      <c r="AE374">
        <v>13.22</v>
      </c>
      <c r="AF374">
        <v>0</v>
      </c>
      <c r="AG374">
        <v>0</v>
      </c>
      <c r="AH374">
        <v>0</v>
      </c>
      <c r="AI374">
        <v>8.7100000000000009</v>
      </c>
      <c r="AJ374">
        <v>1</v>
      </c>
      <c r="AK374">
        <v>1</v>
      </c>
      <c r="AL374">
        <v>1</v>
      </c>
      <c r="AM374">
        <v>4</v>
      </c>
      <c r="AN374">
        <v>0</v>
      </c>
      <c r="AO374">
        <v>1</v>
      </c>
      <c r="AP374">
        <v>1</v>
      </c>
      <c r="AQ374">
        <v>0</v>
      </c>
      <c r="AR374">
        <v>0</v>
      </c>
      <c r="AS374" t="s">
        <v>3</v>
      </c>
      <c r="AT374">
        <v>135</v>
      </c>
      <c r="AU374" t="s">
        <v>299</v>
      </c>
      <c r="AV374">
        <v>0</v>
      </c>
      <c r="AW374">
        <v>2</v>
      </c>
      <c r="AX374">
        <v>145051756</v>
      </c>
      <c r="AY374">
        <v>1</v>
      </c>
      <c r="AZ374">
        <v>0</v>
      </c>
      <c r="BA374">
        <v>374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ROUND(Y374*Source!I160,9)</f>
        <v>0</v>
      </c>
      <c r="CY374">
        <f>AA374</f>
        <v>115.15</v>
      </c>
      <c r="CZ374">
        <f>AE374</f>
        <v>13.22</v>
      </c>
      <c r="DA374">
        <f>AI374</f>
        <v>8.7100000000000009</v>
      </c>
      <c r="DB374">
        <f>ROUND((ROUND(AT374*CZ374,2)*0),2)</f>
        <v>0</v>
      </c>
      <c r="DC374">
        <f>ROUND((ROUND(AT374*AG374,2)*0),2)</f>
        <v>0</v>
      </c>
      <c r="DD374" t="s">
        <v>3</v>
      </c>
      <c r="DE374" t="s">
        <v>3</v>
      </c>
      <c r="DF374">
        <f>ROUND(ROUND(AE374*AI374,2)*CX374,2)</f>
        <v>0</v>
      </c>
      <c r="DG374">
        <f t="shared" si="151"/>
        <v>0</v>
      </c>
      <c r="DH374">
        <f>ROUND(ROUND(AG374,2)*CX374,2)</f>
        <v>0</v>
      </c>
      <c r="DI374">
        <f t="shared" si="150"/>
        <v>0</v>
      </c>
      <c r="DJ374">
        <f>DF374</f>
        <v>0</v>
      </c>
      <c r="DK374">
        <v>0</v>
      </c>
      <c r="DL374" t="s">
        <v>3</v>
      </c>
      <c r="DM374">
        <v>0</v>
      </c>
      <c r="DN374" t="s">
        <v>3</v>
      </c>
      <c r="DO374">
        <v>0</v>
      </c>
    </row>
    <row r="375" spans="1:119" x14ac:dyDescent="0.2">
      <c r="A375">
        <f>ROW(Source!A160)</f>
        <v>160</v>
      </c>
      <c r="B375">
        <v>145033679</v>
      </c>
      <c r="C375">
        <v>145051750</v>
      </c>
      <c r="D375">
        <v>140790840</v>
      </c>
      <c r="E375">
        <v>1</v>
      </c>
      <c r="F375">
        <v>1</v>
      </c>
      <c r="G375">
        <v>1</v>
      </c>
      <c r="H375">
        <v>3</v>
      </c>
      <c r="I375" t="s">
        <v>1078</v>
      </c>
      <c r="J375" t="s">
        <v>1079</v>
      </c>
      <c r="K375" t="s">
        <v>1080</v>
      </c>
      <c r="L375">
        <v>1348</v>
      </c>
      <c r="N375">
        <v>1009</v>
      </c>
      <c r="O375" t="s">
        <v>105</v>
      </c>
      <c r="P375" t="s">
        <v>105</v>
      </c>
      <c r="Q375">
        <v>1000</v>
      </c>
      <c r="W375">
        <v>0</v>
      </c>
      <c r="X375">
        <v>1175875667</v>
      </c>
      <c r="Y375">
        <f>(AT375*0)</f>
        <v>0</v>
      </c>
      <c r="AA375">
        <v>69479.67</v>
      </c>
      <c r="AB375">
        <v>0</v>
      </c>
      <c r="AC375">
        <v>0</v>
      </c>
      <c r="AD375">
        <v>0</v>
      </c>
      <c r="AE375">
        <v>7977</v>
      </c>
      <c r="AF375">
        <v>0</v>
      </c>
      <c r="AG375">
        <v>0</v>
      </c>
      <c r="AH375">
        <v>0</v>
      </c>
      <c r="AI375">
        <v>8.7100000000000009</v>
      </c>
      <c r="AJ375">
        <v>1</v>
      </c>
      <c r="AK375">
        <v>1</v>
      </c>
      <c r="AL375">
        <v>1</v>
      </c>
      <c r="AM375">
        <v>4</v>
      </c>
      <c r="AN375">
        <v>0</v>
      </c>
      <c r="AO375">
        <v>1</v>
      </c>
      <c r="AP375">
        <v>1</v>
      </c>
      <c r="AQ375">
        <v>0</v>
      </c>
      <c r="AR375">
        <v>0</v>
      </c>
      <c r="AS375" t="s">
        <v>3</v>
      </c>
      <c r="AT375">
        <v>2.4E-2</v>
      </c>
      <c r="AU375" t="s">
        <v>299</v>
      </c>
      <c r="AV375">
        <v>0</v>
      </c>
      <c r="AW375">
        <v>2</v>
      </c>
      <c r="AX375">
        <v>145051757</v>
      </c>
      <c r="AY375">
        <v>1</v>
      </c>
      <c r="AZ375">
        <v>0</v>
      </c>
      <c r="BA375">
        <v>375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ROUND(Y375*Source!I160,9)</f>
        <v>0</v>
      </c>
      <c r="CY375">
        <f>AA375</f>
        <v>69479.67</v>
      </c>
      <c r="CZ375">
        <f>AE375</f>
        <v>7977</v>
      </c>
      <c r="DA375">
        <f>AI375</f>
        <v>8.7100000000000009</v>
      </c>
      <c r="DB375">
        <f>ROUND((ROUND(AT375*CZ375,2)*0),2)</f>
        <v>0</v>
      </c>
      <c r="DC375">
        <f>ROUND((ROUND(AT375*AG375,2)*0),2)</f>
        <v>0</v>
      </c>
      <c r="DD375" t="s">
        <v>3</v>
      </c>
      <c r="DE375" t="s">
        <v>3</v>
      </c>
      <c r="DF375">
        <f>ROUND(ROUND(AE375*AI375,2)*CX375,2)</f>
        <v>0</v>
      </c>
      <c r="DG375">
        <f t="shared" si="151"/>
        <v>0</v>
      </c>
      <c r="DH375">
        <f>ROUND(ROUND(AG375,2)*CX375,2)</f>
        <v>0</v>
      </c>
      <c r="DI375">
        <f t="shared" si="150"/>
        <v>0</v>
      </c>
      <c r="DJ375">
        <f>DF375</f>
        <v>0</v>
      </c>
      <c r="DK375">
        <v>0</v>
      </c>
      <c r="DL375" t="s">
        <v>3</v>
      </c>
      <c r="DM375">
        <v>0</v>
      </c>
      <c r="DN375" t="s">
        <v>3</v>
      </c>
      <c r="DO375">
        <v>0</v>
      </c>
    </row>
    <row r="376" spans="1:119" x14ac:dyDescent="0.2">
      <c r="A376">
        <f>ROW(Source!A160)</f>
        <v>160</v>
      </c>
      <c r="B376">
        <v>145033679</v>
      </c>
      <c r="C376">
        <v>145051750</v>
      </c>
      <c r="D376">
        <v>140796534</v>
      </c>
      <c r="E376">
        <v>1</v>
      </c>
      <c r="F376">
        <v>1</v>
      </c>
      <c r="G376">
        <v>1</v>
      </c>
      <c r="H376">
        <v>3</v>
      </c>
      <c r="I376" t="s">
        <v>1081</v>
      </c>
      <c r="J376" t="s">
        <v>1082</v>
      </c>
      <c r="K376" t="s">
        <v>1083</v>
      </c>
      <c r="L376">
        <v>1339</v>
      </c>
      <c r="N376">
        <v>1007</v>
      </c>
      <c r="O376" t="s">
        <v>66</v>
      </c>
      <c r="P376" t="s">
        <v>66</v>
      </c>
      <c r="Q376">
        <v>1</v>
      </c>
      <c r="W376">
        <v>0</v>
      </c>
      <c r="X376">
        <v>1233548999</v>
      </c>
      <c r="Y376">
        <f>(AT376*0)</f>
        <v>0</v>
      </c>
      <c r="AA376">
        <v>7252.82</v>
      </c>
      <c r="AB376">
        <v>0</v>
      </c>
      <c r="AC376">
        <v>0</v>
      </c>
      <c r="AD376">
        <v>0</v>
      </c>
      <c r="AE376">
        <v>832.7</v>
      </c>
      <c r="AF376">
        <v>0</v>
      </c>
      <c r="AG376">
        <v>0</v>
      </c>
      <c r="AH376">
        <v>0</v>
      </c>
      <c r="AI376">
        <v>8.7100000000000009</v>
      </c>
      <c r="AJ376">
        <v>1</v>
      </c>
      <c r="AK376">
        <v>1</v>
      </c>
      <c r="AL376">
        <v>1</v>
      </c>
      <c r="AM376">
        <v>4</v>
      </c>
      <c r="AN376">
        <v>0</v>
      </c>
      <c r="AO376">
        <v>1</v>
      </c>
      <c r="AP376">
        <v>1</v>
      </c>
      <c r="AQ376">
        <v>0</v>
      </c>
      <c r="AR376">
        <v>0</v>
      </c>
      <c r="AS376" t="s">
        <v>3</v>
      </c>
      <c r="AT376">
        <v>0.06</v>
      </c>
      <c r="AU376" t="s">
        <v>299</v>
      </c>
      <c r="AV376">
        <v>0</v>
      </c>
      <c r="AW376">
        <v>2</v>
      </c>
      <c r="AX376">
        <v>145051758</v>
      </c>
      <c r="AY376">
        <v>1</v>
      </c>
      <c r="AZ376">
        <v>0</v>
      </c>
      <c r="BA376">
        <v>376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ROUND(Y376*Source!I160,9)</f>
        <v>0</v>
      </c>
      <c r="CY376">
        <f>AA376</f>
        <v>7252.82</v>
      </c>
      <c r="CZ376">
        <f>AE376</f>
        <v>832.7</v>
      </c>
      <c r="DA376">
        <f>AI376</f>
        <v>8.7100000000000009</v>
      </c>
      <c r="DB376">
        <f>ROUND((ROUND(AT376*CZ376,2)*0),2)</f>
        <v>0</v>
      </c>
      <c r="DC376">
        <f>ROUND((ROUND(AT376*AG376,2)*0),2)</f>
        <v>0</v>
      </c>
      <c r="DD376" t="s">
        <v>3</v>
      </c>
      <c r="DE376" t="s">
        <v>3</v>
      </c>
      <c r="DF376">
        <f>ROUND(ROUND(AE376*AI376,2)*CX376,2)</f>
        <v>0</v>
      </c>
      <c r="DG376">
        <f t="shared" si="151"/>
        <v>0</v>
      </c>
      <c r="DH376">
        <f>ROUND(ROUND(AG376,2)*CX376,2)</f>
        <v>0</v>
      </c>
      <c r="DI376">
        <f t="shared" si="150"/>
        <v>0</v>
      </c>
      <c r="DJ376">
        <f>DF376</f>
        <v>0</v>
      </c>
      <c r="DK376">
        <v>0</v>
      </c>
      <c r="DL376" t="s">
        <v>3</v>
      </c>
      <c r="DM376">
        <v>0</v>
      </c>
      <c r="DN376" t="s">
        <v>3</v>
      </c>
      <c r="DO376">
        <v>0</v>
      </c>
    </row>
    <row r="377" spans="1:119" x14ac:dyDescent="0.2">
      <c r="A377">
        <f>ROW(Source!A161)</f>
        <v>161</v>
      </c>
      <c r="B377">
        <v>145033679</v>
      </c>
      <c r="C377">
        <v>145051854</v>
      </c>
      <c r="D377">
        <v>140760022</v>
      </c>
      <c r="E377">
        <v>70</v>
      </c>
      <c r="F377">
        <v>1</v>
      </c>
      <c r="G377">
        <v>1</v>
      </c>
      <c r="H377">
        <v>1</v>
      </c>
      <c r="I377" t="s">
        <v>766</v>
      </c>
      <c r="J377" t="s">
        <v>3</v>
      </c>
      <c r="K377" t="s">
        <v>767</v>
      </c>
      <c r="L377">
        <v>1191</v>
      </c>
      <c r="N377">
        <v>1013</v>
      </c>
      <c r="O377" t="s">
        <v>725</v>
      </c>
      <c r="P377" t="s">
        <v>725</v>
      </c>
      <c r="Q377">
        <v>1</v>
      </c>
      <c r="W377">
        <v>0</v>
      </c>
      <c r="X377">
        <v>-2012709214</v>
      </c>
      <c r="Y377">
        <f t="shared" ref="Y377:Y388" si="152">AT377</f>
        <v>110</v>
      </c>
      <c r="AA377">
        <v>0</v>
      </c>
      <c r="AB377">
        <v>0</v>
      </c>
      <c r="AC377">
        <v>0</v>
      </c>
      <c r="AD377">
        <v>287.08</v>
      </c>
      <c r="AE377">
        <v>0</v>
      </c>
      <c r="AF377">
        <v>0</v>
      </c>
      <c r="AG377">
        <v>0</v>
      </c>
      <c r="AH377">
        <v>9.4</v>
      </c>
      <c r="AI377">
        <v>1</v>
      </c>
      <c r="AJ377">
        <v>1</v>
      </c>
      <c r="AK377">
        <v>1</v>
      </c>
      <c r="AL377">
        <v>30.54</v>
      </c>
      <c r="AM377">
        <v>4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110</v>
      </c>
      <c r="AU377" t="s">
        <v>3</v>
      </c>
      <c r="AV377">
        <v>1</v>
      </c>
      <c r="AW377">
        <v>2</v>
      </c>
      <c r="AX377">
        <v>145051855</v>
      </c>
      <c r="AY377">
        <v>1</v>
      </c>
      <c r="AZ377">
        <v>0</v>
      </c>
      <c r="BA377">
        <v>377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ROUND(Y377*Source!I161,9)</f>
        <v>281.82</v>
      </c>
      <c r="CY377">
        <f>AD377</f>
        <v>287.08</v>
      </c>
      <c r="CZ377">
        <f>AH377</f>
        <v>9.4</v>
      </c>
      <c r="DA377">
        <f>AL377</f>
        <v>30.54</v>
      </c>
      <c r="DB377">
        <f t="shared" ref="DB377:DB388" si="153">ROUND(ROUND(AT377*CZ377,2),2)</f>
        <v>1034</v>
      </c>
      <c r="DC377">
        <f t="shared" ref="DC377:DC388" si="154">ROUND(ROUND(AT377*AG377,2),2)</f>
        <v>0</v>
      </c>
      <c r="DD377" t="s">
        <v>3</v>
      </c>
      <c r="DE377" t="s">
        <v>3</v>
      </c>
      <c r="DF377">
        <f t="shared" ref="DF377:DF384" si="155">ROUND(ROUND(AE377,2)*CX377,2)</f>
        <v>0</v>
      </c>
      <c r="DG377">
        <f t="shared" si="151"/>
        <v>0</v>
      </c>
      <c r="DH377">
        <f>ROUND(ROUND(AG377,2)*CX377,2)</f>
        <v>0</v>
      </c>
      <c r="DI377">
        <f>ROUND(ROUND(AH377*AL377,2)*CX377,2)</f>
        <v>80904.89</v>
      </c>
      <c r="DJ377">
        <f>DI377</f>
        <v>80904.89</v>
      </c>
      <c r="DK377">
        <v>0</v>
      </c>
      <c r="DL377" t="s">
        <v>3</v>
      </c>
      <c r="DM377">
        <v>0</v>
      </c>
      <c r="DN377" t="s">
        <v>3</v>
      </c>
      <c r="DO377">
        <v>0</v>
      </c>
    </row>
    <row r="378" spans="1:119" x14ac:dyDescent="0.2">
      <c r="A378">
        <f>ROW(Source!A161)</f>
        <v>161</v>
      </c>
      <c r="B378">
        <v>145033679</v>
      </c>
      <c r="C378">
        <v>145051854</v>
      </c>
      <c r="D378">
        <v>140760225</v>
      </c>
      <c r="E378">
        <v>70</v>
      </c>
      <c r="F378">
        <v>1</v>
      </c>
      <c r="G378">
        <v>1</v>
      </c>
      <c r="H378">
        <v>1</v>
      </c>
      <c r="I378" t="s">
        <v>730</v>
      </c>
      <c r="J378" t="s">
        <v>3</v>
      </c>
      <c r="K378" t="s">
        <v>731</v>
      </c>
      <c r="L378">
        <v>1191</v>
      </c>
      <c r="N378">
        <v>1013</v>
      </c>
      <c r="O378" t="s">
        <v>725</v>
      </c>
      <c r="P378" t="s">
        <v>725</v>
      </c>
      <c r="Q378">
        <v>1</v>
      </c>
      <c r="W378">
        <v>0</v>
      </c>
      <c r="X378">
        <v>-1417349443</v>
      </c>
      <c r="Y378">
        <f t="shared" si="152"/>
        <v>2.4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30.54</v>
      </c>
      <c r="AL378">
        <v>1</v>
      </c>
      <c r="AM378">
        <v>4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2.4</v>
      </c>
      <c r="AU378" t="s">
        <v>3</v>
      </c>
      <c r="AV378">
        <v>2</v>
      </c>
      <c r="AW378">
        <v>2</v>
      </c>
      <c r="AX378">
        <v>145051856</v>
      </c>
      <c r="AY378">
        <v>1</v>
      </c>
      <c r="AZ378">
        <v>0</v>
      </c>
      <c r="BA378">
        <v>378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ROUND(Y378*Source!I161,9)</f>
        <v>6.1487999999999996</v>
      </c>
      <c r="CY378">
        <f>AD378</f>
        <v>0</v>
      </c>
      <c r="CZ378">
        <f>AH378</f>
        <v>0</v>
      </c>
      <c r="DA378">
        <f>AL378</f>
        <v>1</v>
      </c>
      <c r="DB378">
        <f t="shared" si="153"/>
        <v>0</v>
      </c>
      <c r="DC378">
        <f t="shared" si="154"/>
        <v>0</v>
      </c>
      <c r="DD378" t="s">
        <v>3</v>
      </c>
      <c r="DE378" t="s">
        <v>3</v>
      </c>
      <c r="DF378">
        <f t="shared" si="155"/>
        <v>0</v>
      </c>
      <c r="DG378">
        <f t="shared" si="151"/>
        <v>0</v>
      </c>
      <c r="DH378">
        <f t="shared" ref="DH378:DH384" si="156">ROUND(ROUND(AG378*AK378,2)*CX378,2)</f>
        <v>0</v>
      </c>
      <c r="DI378">
        <f t="shared" ref="DI378:DI388" si="157">ROUND(ROUND(AH378,2)*CX378,2)</f>
        <v>0</v>
      </c>
      <c r="DJ378">
        <f>DI378</f>
        <v>0</v>
      </c>
      <c r="DK378">
        <v>0</v>
      </c>
      <c r="DL378" t="s">
        <v>3</v>
      </c>
      <c r="DM378">
        <v>0</v>
      </c>
      <c r="DN378" t="s">
        <v>3</v>
      </c>
      <c r="DO378">
        <v>0</v>
      </c>
    </row>
    <row r="379" spans="1:119" x14ac:dyDescent="0.2">
      <c r="A379">
        <f>ROW(Source!A161)</f>
        <v>161</v>
      </c>
      <c r="B379">
        <v>145033679</v>
      </c>
      <c r="C379">
        <v>145051854</v>
      </c>
      <c r="D379">
        <v>140922951</v>
      </c>
      <c r="E379">
        <v>1</v>
      </c>
      <c r="F379">
        <v>1</v>
      </c>
      <c r="G379">
        <v>1</v>
      </c>
      <c r="H379">
        <v>2</v>
      </c>
      <c r="I379" t="s">
        <v>752</v>
      </c>
      <c r="J379" t="s">
        <v>753</v>
      </c>
      <c r="K379" t="s">
        <v>754</v>
      </c>
      <c r="L379">
        <v>1367</v>
      </c>
      <c r="N379">
        <v>1011</v>
      </c>
      <c r="O379" t="s">
        <v>79</v>
      </c>
      <c r="P379" t="s">
        <v>79</v>
      </c>
      <c r="Q379">
        <v>1</v>
      </c>
      <c r="W379">
        <v>0</v>
      </c>
      <c r="X379">
        <v>-430484415</v>
      </c>
      <c r="Y379">
        <f t="shared" si="152"/>
        <v>1.1000000000000001</v>
      </c>
      <c r="AA379">
        <v>0</v>
      </c>
      <c r="AB379">
        <v>1399.8</v>
      </c>
      <c r="AC379">
        <v>412.29</v>
      </c>
      <c r="AD379">
        <v>0</v>
      </c>
      <c r="AE379">
        <v>0</v>
      </c>
      <c r="AF379">
        <v>115.4</v>
      </c>
      <c r="AG379">
        <v>13.5</v>
      </c>
      <c r="AH379">
        <v>0</v>
      </c>
      <c r="AI379">
        <v>1</v>
      </c>
      <c r="AJ379">
        <v>12.13</v>
      </c>
      <c r="AK379">
        <v>30.54</v>
      </c>
      <c r="AL379">
        <v>1</v>
      </c>
      <c r="AM379">
        <v>4</v>
      </c>
      <c r="AN379">
        <v>0</v>
      </c>
      <c r="AO379">
        <v>1</v>
      </c>
      <c r="AP379">
        <v>0</v>
      </c>
      <c r="AQ379">
        <v>0</v>
      </c>
      <c r="AR379">
        <v>0</v>
      </c>
      <c r="AS379" t="s">
        <v>3</v>
      </c>
      <c r="AT379">
        <v>1.1000000000000001</v>
      </c>
      <c r="AU379" t="s">
        <v>3</v>
      </c>
      <c r="AV379">
        <v>0</v>
      </c>
      <c r="AW379">
        <v>2</v>
      </c>
      <c r="AX379">
        <v>145051857</v>
      </c>
      <c r="AY379">
        <v>1</v>
      </c>
      <c r="AZ379">
        <v>0</v>
      </c>
      <c r="BA379">
        <v>379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ROUND(Y379*Source!I161,9)</f>
        <v>2.8182</v>
      </c>
      <c r="CY379">
        <f t="shared" ref="CY379:CY384" si="158">AB379</f>
        <v>1399.8</v>
      </c>
      <c r="CZ379">
        <f t="shared" ref="CZ379:CZ384" si="159">AF379</f>
        <v>115.4</v>
      </c>
      <c r="DA379">
        <f t="shared" ref="DA379:DA384" si="160">AJ379</f>
        <v>12.13</v>
      </c>
      <c r="DB379">
        <f t="shared" si="153"/>
        <v>126.94</v>
      </c>
      <c r="DC379">
        <f t="shared" si="154"/>
        <v>14.85</v>
      </c>
      <c r="DD379" t="s">
        <v>3</v>
      </c>
      <c r="DE379" t="s">
        <v>3</v>
      </c>
      <c r="DF379">
        <f t="shared" si="155"/>
        <v>0</v>
      </c>
      <c r="DG379">
        <f t="shared" ref="DG379:DG384" si="161">ROUND(ROUND(AF379*AJ379,2)*CX379,2)</f>
        <v>3944.92</v>
      </c>
      <c r="DH379">
        <f t="shared" si="156"/>
        <v>1161.92</v>
      </c>
      <c r="DI379">
        <f t="shared" si="157"/>
        <v>0</v>
      </c>
      <c r="DJ379">
        <f t="shared" ref="DJ379:DJ384" si="162">DG379</f>
        <v>3944.92</v>
      </c>
      <c r="DK379">
        <v>0</v>
      </c>
      <c r="DL379" t="s">
        <v>3</v>
      </c>
      <c r="DM379">
        <v>0</v>
      </c>
      <c r="DN379" t="s">
        <v>3</v>
      </c>
      <c r="DO379">
        <v>0</v>
      </c>
    </row>
    <row r="380" spans="1:119" x14ac:dyDescent="0.2">
      <c r="A380">
        <f>ROW(Source!A161)</f>
        <v>161</v>
      </c>
      <c r="B380">
        <v>145033679</v>
      </c>
      <c r="C380">
        <v>145051854</v>
      </c>
      <c r="D380">
        <v>140923886</v>
      </c>
      <c r="E380">
        <v>1</v>
      </c>
      <c r="F380">
        <v>1</v>
      </c>
      <c r="G380">
        <v>1</v>
      </c>
      <c r="H380">
        <v>2</v>
      </c>
      <c r="I380" t="s">
        <v>771</v>
      </c>
      <c r="J380" t="s">
        <v>772</v>
      </c>
      <c r="K380" t="s">
        <v>773</v>
      </c>
      <c r="L380">
        <v>1367</v>
      </c>
      <c r="N380">
        <v>1011</v>
      </c>
      <c r="O380" t="s">
        <v>79</v>
      </c>
      <c r="P380" t="s">
        <v>79</v>
      </c>
      <c r="Q380">
        <v>1</v>
      </c>
      <c r="W380">
        <v>0</v>
      </c>
      <c r="X380">
        <v>2006019958</v>
      </c>
      <c r="Y380">
        <f t="shared" si="152"/>
        <v>0.5</v>
      </c>
      <c r="AA380">
        <v>0</v>
      </c>
      <c r="AB380">
        <v>1041.24</v>
      </c>
      <c r="AC380">
        <v>354.26</v>
      </c>
      <c r="AD380">
        <v>0</v>
      </c>
      <c r="AE380">
        <v>0</v>
      </c>
      <c r="AF380">
        <v>85.84</v>
      </c>
      <c r="AG380">
        <v>11.6</v>
      </c>
      <c r="AH380">
        <v>0</v>
      </c>
      <c r="AI380">
        <v>1</v>
      </c>
      <c r="AJ380">
        <v>12.13</v>
      </c>
      <c r="AK380">
        <v>30.54</v>
      </c>
      <c r="AL380">
        <v>1</v>
      </c>
      <c r="AM380">
        <v>4</v>
      </c>
      <c r="AN380">
        <v>0</v>
      </c>
      <c r="AO380">
        <v>1</v>
      </c>
      <c r="AP380">
        <v>0</v>
      </c>
      <c r="AQ380">
        <v>0</v>
      </c>
      <c r="AR380">
        <v>0</v>
      </c>
      <c r="AS380" t="s">
        <v>3</v>
      </c>
      <c r="AT380">
        <v>0.5</v>
      </c>
      <c r="AU380" t="s">
        <v>3</v>
      </c>
      <c r="AV380">
        <v>0</v>
      </c>
      <c r="AW380">
        <v>2</v>
      </c>
      <c r="AX380">
        <v>145051858</v>
      </c>
      <c r="AY380">
        <v>1</v>
      </c>
      <c r="AZ380">
        <v>0</v>
      </c>
      <c r="BA380">
        <v>380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ROUND(Y380*Source!I161,9)</f>
        <v>1.2809999999999999</v>
      </c>
      <c r="CY380">
        <f t="shared" si="158"/>
        <v>1041.24</v>
      </c>
      <c r="CZ380">
        <f t="shared" si="159"/>
        <v>85.84</v>
      </c>
      <c r="DA380">
        <f t="shared" si="160"/>
        <v>12.13</v>
      </c>
      <c r="DB380">
        <f t="shared" si="153"/>
        <v>42.92</v>
      </c>
      <c r="DC380">
        <f t="shared" si="154"/>
        <v>5.8</v>
      </c>
      <c r="DD380" t="s">
        <v>3</v>
      </c>
      <c r="DE380" t="s">
        <v>3</v>
      </c>
      <c r="DF380">
        <f t="shared" si="155"/>
        <v>0</v>
      </c>
      <c r="DG380">
        <f t="shared" si="161"/>
        <v>1333.83</v>
      </c>
      <c r="DH380">
        <f t="shared" si="156"/>
        <v>453.81</v>
      </c>
      <c r="DI380">
        <f t="shared" si="157"/>
        <v>0</v>
      </c>
      <c r="DJ380">
        <f t="shared" si="162"/>
        <v>1333.83</v>
      </c>
      <c r="DK380">
        <v>0</v>
      </c>
      <c r="DL380" t="s">
        <v>3</v>
      </c>
      <c r="DM380">
        <v>0</v>
      </c>
      <c r="DN380" t="s">
        <v>3</v>
      </c>
      <c r="DO380">
        <v>0</v>
      </c>
    </row>
    <row r="381" spans="1:119" x14ac:dyDescent="0.2">
      <c r="A381">
        <f>ROW(Source!A161)</f>
        <v>161</v>
      </c>
      <c r="B381">
        <v>145033679</v>
      </c>
      <c r="C381">
        <v>145051854</v>
      </c>
      <c r="D381">
        <v>140924028</v>
      </c>
      <c r="E381">
        <v>1</v>
      </c>
      <c r="F381">
        <v>1</v>
      </c>
      <c r="G381">
        <v>1</v>
      </c>
      <c r="H381">
        <v>2</v>
      </c>
      <c r="I381" t="s">
        <v>774</v>
      </c>
      <c r="J381" t="s">
        <v>775</v>
      </c>
      <c r="K381" t="s">
        <v>776</v>
      </c>
      <c r="L381">
        <v>1367</v>
      </c>
      <c r="N381">
        <v>1011</v>
      </c>
      <c r="O381" t="s">
        <v>79</v>
      </c>
      <c r="P381" t="s">
        <v>79</v>
      </c>
      <c r="Q381">
        <v>1</v>
      </c>
      <c r="W381">
        <v>0</v>
      </c>
      <c r="X381">
        <v>-536365956</v>
      </c>
      <c r="Y381">
        <f t="shared" si="152"/>
        <v>43</v>
      </c>
      <c r="AA381">
        <v>0</v>
      </c>
      <c r="AB381">
        <v>479.01</v>
      </c>
      <c r="AC381">
        <v>0</v>
      </c>
      <c r="AD381">
        <v>0</v>
      </c>
      <c r="AE381">
        <v>0</v>
      </c>
      <c r="AF381">
        <v>39.49</v>
      </c>
      <c r="AG381">
        <v>0</v>
      </c>
      <c r="AH381">
        <v>0</v>
      </c>
      <c r="AI381">
        <v>1</v>
      </c>
      <c r="AJ381">
        <v>12.13</v>
      </c>
      <c r="AK381">
        <v>30.54</v>
      </c>
      <c r="AL381">
        <v>1</v>
      </c>
      <c r="AM381">
        <v>4</v>
      </c>
      <c r="AN381">
        <v>0</v>
      </c>
      <c r="AO381">
        <v>1</v>
      </c>
      <c r="AP381">
        <v>0</v>
      </c>
      <c r="AQ381">
        <v>0</v>
      </c>
      <c r="AR381">
        <v>0</v>
      </c>
      <c r="AS381" t="s">
        <v>3</v>
      </c>
      <c r="AT381">
        <v>43</v>
      </c>
      <c r="AU381" t="s">
        <v>3</v>
      </c>
      <c r="AV381">
        <v>0</v>
      </c>
      <c r="AW381">
        <v>2</v>
      </c>
      <c r="AX381">
        <v>145051859</v>
      </c>
      <c r="AY381">
        <v>1</v>
      </c>
      <c r="AZ381">
        <v>0</v>
      </c>
      <c r="BA381">
        <v>381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ROUND(Y381*Source!I161,9)</f>
        <v>110.166</v>
      </c>
      <c r="CY381">
        <f t="shared" si="158"/>
        <v>479.01</v>
      </c>
      <c r="CZ381">
        <f t="shared" si="159"/>
        <v>39.49</v>
      </c>
      <c r="DA381">
        <f t="shared" si="160"/>
        <v>12.13</v>
      </c>
      <c r="DB381">
        <f t="shared" si="153"/>
        <v>1698.07</v>
      </c>
      <c r="DC381">
        <f t="shared" si="154"/>
        <v>0</v>
      </c>
      <c r="DD381" t="s">
        <v>3</v>
      </c>
      <c r="DE381" t="s">
        <v>3</v>
      </c>
      <c r="DF381">
        <f t="shared" si="155"/>
        <v>0</v>
      </c>
      <c r="DG381">
        <f t="shared" si="161"/>
        <v>52770.62</v>
      </c>
      <c r="DH381">
        <f t="shared" si="156"/>
        <v>0</v>
      </c>
      <c r="DI381">
        <f t="shared" si="157"/>
        <v>0</v>
      </c>
      <c r="DJ381">
        <f t="shared" si="162"/>
        <v>52770.62</v>
      </c>
      <c r="DK381">
        <v>0</v>
      </c>
      <c r="DL381" t="s">
        <v>3</v>
      </c>
      <c r="DM381">
        <v>0</v>
      </c>
      <c r="DN381" t="s">
        <v>3</v>
      </c>
      <c r="DO381">
        <v>0</v>
      </c>
    </row>
    <row r="382" spans="1:119" x14ac:dyDescent="0.2">
      <c r="A382">
        <f>ROW(Source!A161)</f>
        <v>161</v>
      </c>
      <c r="B382">
        <v>145033679</v>
      </c>
      <c r="C382">
        <v>145051854</v>
      </c>
      <c r="D382">
        <v>140924041</v>
      </c>
      <c r="E382">
        <v>1</v>
      </c>
      <c r="F382">
        <v>1</v>
      </c>
      <c r="G382">
        <v>1</v>
      </c>
      <c r="H382">
        <v>2</v>
      </c>
      <c r="I382" t="s">
        <v>777</v>
      </c>
      <c r="J382" t="s">
        <v>778</v>
      </c>
      <c r="K382" t="s">
        <v>779</v>
      </c>
      <c r="L382">
        <v>1367</v>
      </c>
      <c r="N382">
        <v>1011</v>
      </c>
      <c r="O382" t="s">
        <v>79</v>
      </c>
      <c r="P382" t="s">
        <v>79</v>
      </c>
      <c r="Q382">
        <v>1</v>
      </c>
      <c r="W382">
        <v>0</v>
      </c>
      <c r="X382">
        <v>2077867240</v>
      </c>
      <c r="Y382">
        <f t="shared" si="152"/>
        <v>0.9</v>
      </c>
      <c r="AA382">
        <v>0</v>
      </c>
      <c r="AB382">
        <v>14.56</v>
      </c>
      <c r="AC382">
        <v>0</v>
      </c>
      <c r="AD382">
        <v>0</v>
      </c>
      <c r="AE382">
        <v>0</v>
      </c>
      <c r="AF382">
        <v>1.2</v>
      </c>
      <c r="AG382">
        <v>0</v>
      </c>
      <c r="AH382">
        <v>0</v>
      </c>
      <c r="AI382">
        <v>1</v>
      </c>
      <c r="AJ382">
        <v>12.13</v>
      </c>
      <c r="AK382">
        <v>30.54</v>
      </c>
      <c r="AL382">
        <v>1</v>
      </c>
      <c r="AM382">
        <v>4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3</v>
      </c>
      <c r="AT382">
        <v>0.9</v>
      </c>
      <c r="AU382" t="s">
        <v>3</v>
      </c>
      <c r="AV382">
        <v>0</v>
      </c>
      <c r="AW382">
        <v>2</v>
      </c>
      <c r="AX382">
        <v>145051860</v>
      </c>
      <c r="AY382">
        <v>1</v>
      </c>
      <c r="AZ382">
        <v>0</v>
      </c>
      <c r="BA382">
        <v>382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ROUND(Y382*Source!I161,9)</f>
        <v>2.3058000000000001</v>
      </c>
      <c r="CY382">
        <f t="shared" si="158"/>
        <v>14.56</v>
      </c>
      <c r="CZ382">
        <f t="shared" si="159"/>
        <v>1.2</v>
      </c>
      <c r="DA382">
        <f t="shared" si="160"/>
        <v>12.13</v>
      </c>
      <c r="DB382">
        <f t="shared" si="153"/>
        <v>1.08</v>
      </c>
      <c r="DC382">
        <f t="shared" si="154"/>
        <v>0</v>
      </c>
      <c r="DD382" t="s">
        <v>3</v>
      </c>
      <c r="DE382" t="s">
        <v>3</v>
      </c>
      <c r="DF382">
        <f t="shared" si="155"/>
        <v>0</v>
      </c>
      <c r="DG382">
        <f t="shared" si="161"/>
        <v>33.57</v>
      </c>
      <c r="DH382">
        <f t="shared" si="156"/>
        <v>0</v>
      </c>
      <c r="DI382">
        <f t="shared" si="157"/>
        <v>0</v>
      </c>
      <c r="DJ382">
        <f t="shared" si="162"/>
        <v>33.57</v>
      </c>
      <c r="DK382">
        <v>0</v>
      </c>
      <c r="DL382" t="s">
        <v>3</v>
      </c>
      <c r="DM382">
        <v>0</v>
      </c>
      <c r="DN382" t="s">
        <v>3</v>
      </c>
      <c r="DO382">
        <v>0</v>
      </c>
    </row>
    <row r="383" spans="1:119" x14ac:dyDescent="0.2">
      <c r="A383">
        <f>ROW(Source!A161)</f>
        <v>161</v>
      </c>
      <c r="B383">
        <v>145033679</v>
      </c>
      <c r="C383">
        <v>145051854</v>
      </c>
      <c r="D383">
        <v>140924610</v>
      </c>
      <c r="E383">
        <v>1</v>
      </c>
      <c r="F383">
        <v>1</v>
      </c>
      <c r="G383">
        <v>1</v>
      </c>
      <c r="H383">
        <v>2</v>
      </c>
      <c r="I383" t="s">
        <v>780</v>
      </c>
      <c r="J383" t="s">
        <v>781</v>
      </c>
      <c r="K383" t="s">
        <v>782</v>
      </c>
      <c r="L383">
        <v>1367</v>
      </c>
      <c r="N383">
        <v>1011</v>
      </c>
      <c r="O383" t="s">
        <v>79</v>
      </c>
      <c r="P383" t="s">
        <v>79</v>
      </c>
      <c r="Q383">
        <v>1</v>
      </c>
      <c r="W383">
        <v>0</v>
      </c>
      <c r="X383">
        <v>-193141335</v>
      </c>
      <c r="Y383">
        <f t="shared" si="152"/>
        <v>0.8</v>
      </c>
      <c r="AA383">
        <v>0</v>
      </c>
      <c r="AB383">
        <v>186.8</v>
      </c>
      <c r="AC383">
        <v>307.23</v>
      </c>
      <c r="AD383">
        <v>0</v>
      </c>
      <c r="AE383">
        <v>0</v>
      </c>
      <c r="AF383">
        <v>15.4</v>
      </c>
      <c r="AG383">
        <v>10.06</v>
      </c>
      <c r="AH383">
        <v>0</v>
      </c>
      <c r="AI383">
        <v>1</v>
      </c>
      <c r="AJ383">
        <v>12.13</v>
      </c>
      <c r="AK383">
        <v>30.54</v>
      </c>
      <c r="AL383">
        <v>1</v>
      </c>
      <c r="AM383">
        <v>4</v>
      </c>
      <c r="AN383">
        <v>0</v>
      </c>
      <c r="AO383">
        <v>1</v>
      </c>
      <c r="AP383">
        <v>0</v>
      </c>
      <c r="AQ383">
        <v>0</v>
      </c>
      <c r="AR383">
        <v>0</v>
      </c>
      <c r="AS383" t="s">
        <v>3</v>
      </c>
      <c r="AT383">
        <v>0.8</v>
      </c>
      <c r="AU383" t="s">
        <v>3</v>
      </c>
      <c r="AV383">
        <v>0</v>
      </c>
      <c r="AW383">
        <v>2</v>
      </c>
      <c r="AX383">
        <v>145051861</v>
      </c>
      <c r="AY383">
        <v>1</v>
      </c>
      <c r="AZ383">
        <v>0</v>
      </c>
      <c r="BA383">
        <v>383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ROUND(Y383*Source!I161,9)</f>
        <v>2.0495999999999999</v>
      </c>
      <c r="CY383">
        <f t="shared" si="158"/>
        <v>186.8</v>
      </c>
      <c r="CZ383">
        <f t="shared" si="159"/>
        <v>15.4</v>
      </c>
      <c r="DA383">
        <f t="shared" si="160"/>
        <v>12.13</v>
      </c>
      <c r="DB383">
        <f t="shared" si="153"/>
        <v>12.32</v>
      </c>
      <c r="DC383">
        <f t="shared" si="154"/>
        <v>8.0500000000000007</v>
      </c>
      <c r="DD383" t="s">
        <v>3</v>
      </c>
      <c r="DE383" t="s">
        <v>3</v>
      </c>
      <c r="DF383">
        <f t="shared" si="155"/>
        <v>0</v>
      </c>
      <c r="DG383">
        <f t="shared" si="161"/>
        <v>382.87</v>
      </c>
      <c r="DH383">
        <f t="shared" si="156"/>
        <v>629.70000000000005</v>
      </c>
      <c r="DI383">
        <f t="shared" si="157"/>
        <v>0</v>
      </c>
      <c r="DJ383">
        <f t="shared" si="162"/>
        <v>382.87</v>
      </c>
      <c r="DK383">
        <v>0</v>
      </c>
      <c r="DL383" t="s">
        <v>3</v>
      </c>
      <c r="DM383">
        <v>0</v>
      </c>
      <c r="DN383" t="s">
        <v>3</v>
      </c>
      <c r="DO383">
        <v>0</v>
      </c>
    </row>
    <row r="384" spans="1:119" x14ac:dyDescent="0.2">
      <c r="A384">
        <f>ROW(Source!A161)</f>
        <v>161</v>
      </c>
      <c r="B384">
        <v>145033679</v>
      </c>
      <c r="C384">
        <v>145051854</v>
      </c>
      <c r="D384">
        <v>140924652</v>
      </c>
      <c r="E384">
        <v>1</v>
      </c>
      <c r="F384">
        <v>1</v>
      </c>
      <c r="G384">
        <v>1</v>
      </c>
      <c r="H384">
        <v>2</v>
      </c>
      <c r="I384" t="s">
        <v>783</v>
      </c>
      <c r="J384" t="s">
        <v>784</v>
      </c>
      <c r="K384" t="s">
        <v>785</v>
      </c>
      <c r="L384">
        <v>1367</v>
      </c>
      <c r="N384">
        <v>1011</v>
      </c>
      <c r="O384" t="s">
        <v>79</v>
      </c>
      <c r="P384" t="s">
        <v>79</v>
      </c>
      <c r="Q384">
        <v>1</v>
      </c>
      <c r="W384">
        <v>0</v>
      </c>
      <c r="X384">
        <v>-1100498410</v>
      </c>
      <c r="Y384">
        <f t="shared" si="152"/>
        <v>2.4</v>
      </c>
      <c r="AA384">
        <v>0</v>
      </c>
      <c r="AB384">
        <v>28.63</v>
      </c>
      <c r="AC384">
        <v>0</v>
      </c>
      <c r="AD384">
        <v>0</v>
      </c>
      <c r="AE384">
        <v>0</v>
      </c>
      <c r="AF384">
        <v>2.36</v>
      </c>
      <c r="AG384">
        <v>0</v>
      </c>
      <c r="AH384">
        <v>0</v>
      </c>
      <c r="AI384">
        <v>1</v>
      </c>
      <c r="AJ384">
        <v>12.13</v>
      </c>
      <c r="AK384">
        <v>30.54</v>
      </c>
      <c r="AL384">
        <v>1</v>
      </c>
      <c r="AM384">
        <v>4</v>
      </c>
      <c r="AN384">
        <v>0</v>
      </c>
      <c r="AO384">
        <v>1</v>
      </c>
      <c r="AP384">
        <v>0</v>
      </c>
      <c r="AQ384">
        <v>0</v>
      </c>
      <c r="AR384">
        <v>0</v>
      </c>
      <c r="AS384" t="s">
        <v>3</v>
      </c>
      <c r="AT384">
        <v>2.4</v>
      </c>
      <c r="AU384" t="s">
        <v>3</v>
      </c>
      <c r="AV384">
        <v>0</v>
      </c>
      <c r="AW384">
        <v>2</v>
      </c>
      <c r="AX384">
        <v>145051862</v>
      </c>
      <c r="AY384">
        <v>1</v>
      </c>
      <c r="AZ384">
        <v>0</v>
      </c>
      <c r="BA384">
        <v>384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ROUND(Y384*Source!I161,9)</f>
        <v>6.1487999999999996</v>
      </c>
      <c r="CY384">
        <f t="shared" si="158"/>
        <v>28.63</v>
      </c>
      <c r="CZ384">
        <f t="shared" si="159"/>
        <v>2.36</v>
      </c>
      <c r="DA384">
        <f t="shared" si="160"/>
        <v>12.13</v>
      </c>
      <c r="DB384">
        <f t="shared" si="153"/>
        <v>5.66</v>
      </c>
      <c r="DC384">
        <f t="shared" si="154"/>
        <v>0</v>
      </c>
      <c r="DD384" t="s">
        <v>3</v>
      </c>
      <c r="DE384" t="s">
        <v>3</v>
      </c>
      <c r="DF384">
        <f t="shared" si="155"/>
        <v>0</v>
      </c>
      <c r="DG384">
        <f t="shared" si="161"/>
        <v>176.04</v>
      </c>
      <c r="DH384">
        <f t="shared" si="156"/>
        <v>0</v>
      </c>
      <c r="DI384">
        <f t="shared" si="157"/>
        <v>0</v>
      </c>
      <c r="DJ384">
        <f t="shared" si="162"/>
        <v>176.04</v>
      </c>
      <c r="DK384">
        <v>0</v>
      </c>
      <c r="DL384" t="s">
        <v>3</v>
      </c>
      <c r="DM384">
        <v>0</v>
      </c>
      <c r="DN384" t="s">
        <v>3</v>
      </c>
      <c r="DO384">
        <v>0</v>
      </c>
    </row>
    <row r="385" spans="1:119" x14ac:dyDescent="0.2">
      <c r="A385">
        <f>ROW(Source!A161)</f>
        <v>161</v>
      </c>
      <c r="B385">
        <v>145033679</v>
      </c>
      <c r="C385">
        <v>145051854</v>
      </c>
      <c r="D385">
        <v>140771005</v>
      </c>
      <c r="E385">
        <v>1</v>
      </c>
      <c r="F385">
        <v>1</v>
      </c>
      <c r="G385">
        <v>1</v>
      </c>
      <c r="H385">
        <v>3</v>
      </c>
      <c r="I385" t="s">
        <v>786</v>
      </c>
      <c r="J385" t="s">
        <v>787</v>
      </c>
      <c r="K385" t="s">
        <v>788</v>
      </c>
      <c r="L385">
        <v>1339</v>
      </c>
      <c r="N385">
        <v>1007</v>
      </c>
      <c r="O385" t="s">
        <v>66</v>
      </c>
      <c r="P385" t="s">
        <v>66</v>
      </c>
      <c r="Q385">
        <v>1</v>
      </c>
      <c r="W385">
        <v>0</v>
      </c>
      <c r="X385">
        <v>-1761807714</v>
      </c>
      <c r="Y385">
        <f t="shared" si="152"/>
        <v>0.6</v>
      </c>
      <c r="AA385">
        <v>54.18</v>
      </c>
      <c r="AB385">
        <v>0</v>
      </c>
      <c r="AC385">
        <v>0</v>
      </c>
      <c r="AD385">
        <v>0</v>
      </c>
      <c r="AE385">
        <v>6.22</v>
      </c>
      <c r="AF385">
        <v>0</v>
      </c>
      <c r="AG385">
        <v>0</v>
      </c>
      <c r="AH385">
        <v>0</v>
      </c>
      <c r="AI385">
        <v>8.7100000000000009</v>
      </c>
      <c r="AJ385">
        <v>1</v>
      </c>
      <c r="AK385">
        <v>1</v>
      </c>
      <c r="AL385">
        <v>1</v>
      </c>
      <c r="AM385">
        <v>4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3</v>
      </c>
      <c r="AT385">
        <v>0.6</v>
      </c>
      <c r="AU385" t="s">
        <v>3</v>
      </c>
      <c r="AV385">
        <v>0</v>
      </c>
      <c r="AW385">
        <v>2</v>
      </c>
      <c r="AX385">
        <v>145051863</v>
      </c>
      <c r="AY385">
        <v>1</v>
      </c>
      <c r="AZ385">
        <v>0</v>
      </c>
      <c r="BA385">
        <v>385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ROUND(Y385*Source!I161,9)</f>
        <v>1.5371999999999999</v>
      </c>
      <c r="CY385">
        <f>AA385</f>
        <v>54.18</v>
      </c>
      <c r="CZ385">
        <f>AE385</f>
        <v>6.22</v>
      </c>
      <c r="DA385">
        <f>AI385</f>
        <v>8.7100000000000009</v>
      </c>
      <c r="DB385">
        <f t="shared" si="153"/>
        <v>3.73</v>
      </c>
      <c r="DC385">
        <f t="shared" si="154"/>
        <v>0</v>
      </c>
      <c r="DD385" t="s">
        <v>3</v>
      </c>
      <c r="DE385" t="s">
        <v>3</v>
      </c>
      <c r="DF385">
        <f>ROUND(ROUND(AE385*AI385,2)*CX385,2)</f>
        <v>83.29</v>
      </c>
      <c r="DG385">
        <f t="shared" ref="DG385:DG390" si="163">ROUND(ROUND(AF385,2)*CX385,2)</f>
        <v>0</v>
      </c>
      <c r="DH385">
        <f>ROUND(ROUND(AG385,2)*CX385,2)</f>
        <v>0</v>
      </c>
      <c r="DI385">
        <f t="shared" si="157"/>
        <v>0</v>
      </c>
      <c r="DJ385">
        <f>DF385</f>
        <v>83.29</v>
      </c>
      <c r="DK385">
        <v>0</v>
      </c>
      <c r="DL385" t="s">
        <v>3</v>
      </c>
      <c r="DM385">
        <v>0</v>
      </c>
      <c r="DN385" t="s">
        <v>3</v>
      </c>
      <c r="DO385">
        <v>0</v>
      </c>
    </row>
    <row r="386" spans="1:119" x14ac:dyDescent="0.2">
      <c r="A386">
        <f>ROW(Source!A161)</f>
        <v>161</v>
      </c>
      <c r="B386">
        <v>145033679</v>
      </c>
      <c r="C386">
        <v>145051854</v>
      </c>
      <c r="D386">
        <v>140771011</v>
      </c>
      <c r="E386">
        <v>1</v>
      </c>
      <c r="F386">
        <v>1</v>
      </c>
      <c r="G386">
        <v>1</v>
      </c>
      <c r="H386">
        <v>3</v>
      </c>
      <c r="I386" t="s">
        <v>789</v>
      </c>
      <c r="J386" t="s">
        <v>790</v>
      </c>
      <c r="K386" t="s">
        <v>791</v>
      </c>
      <c r="L386">
        <v>1346</v>
      </c>
      <c r="N386">
        <v>1009</v>
      </c>
      <c r="O386" t="s">
        <v>43</v>
      </c>
      <c r="P386" t="s">
        <v>43</v>
      </c>
      <c r="Q386">
        <v>1</v>
      </c>
      <c r="W386">
        <v>0</v>
      </c>
      <c r="X386">
        <v>-2118006079</v>
      </c>
      <c r="Y386">
        <f t="shared" si="152"/>
        <v>0.2</v>
      </c>
      <c r="AA386">
        <v>53.04</v>
      </c>
      <c r="AB386">
        <v>0</v>
      </c>
      <c r="AC386">
        <v>0</v>
      </c>
      <c r="AD386">
        <v>0</v>
      </c>
      <c r="AE386">
        <v>6.09</v>
      </c>
      <c r="AF386">
        <v>0</v>
      </c>
      <c r="AG386">
        <v>0</v>
      </c>
      <c r="AH386">
        <v>0</v>
      </c>
      <c r="AI386">
        <v>8.7100000000000009</v>
      </c>
      <c r="AJ386">
        <v>1</v>
      </c>
      <c r="AK386">
        <v>1</v>
      </c>
      <c r="AL386">
        <v>1</v>
      </c>
      <c r="AM386">
        <v>4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0.2</v>
      </c>
      <c r="AU386" t="s">
        <v>3</v>
      </c>
      <c r="AV386">
        <v>0</v>
      </c>
      <c r="AW386">
        <v>2</v>
      </c>
      <c r="AX386">
        <v>145051864</v>
      </c>
      <c r="AY386">
        <v>1</v>
      </c>
      <c r="AZ386">
        <v>0</v>
      </c>
      <c r="BA386">
        <v>386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ROUND(Y386*Source!I161,9)</f>
        <v>0.51239999999999997</v>
      </c>
      <c r="CY386">
        <f>AA386</f>
        <v>53.04</v>
      </c>
      <c r="CZ386">
        <f>AE386</f>
        <v>6.09</v>
      </c>
      <c r="DA386">
        <f>AI386</f>
        <v>8.7100000000000009</v>
      </c>
      <c r="DB386">
        <f t="shared" si="153"/>
        <v>1.22</v>
      </c>
      <c r="DC386">
        <f t="shared" si="154"/>
        <v>0</v>
      </c>
      <c r="DD386" t="s">
        <v>3</v>
      </c>
      <c r="DE386" t="s">
        <v>3</v>
      </c>
      <c r="DF386">
        <f>ROUND(ROUND(AE386*AI386,2)*CX386,2)</f>
        <v>27.18</v>
      </c>
      <c r="DG386">
        <f t="shared" si="163"/>
        <v>0</v>
      </c>
      <c r="DH386">
        <f>ROUND(ROUND(AG386,2)*CX386,2)</f>
        <v>0</v>
      </c>
      <c r="DI386">
        <f t="shared" si="157"/>
        <v>0</v>
      </c>
      <c r="DJ386">
        <f>DF386</f>
        <v>27.18</v>
      </c>
      <c r="DK386">
        <v>0</v>
      </c>
      <c r="DL386" t="s">
        <v>3</v>
      </c>
      <c r="DM386">
        <v>0</v>
      </c>
      <c r="DN386" t="s">
        <v>3</v>
      </c>
      <c r="DO386">
        <v>0</v>
      </c>
    </row>
    <row r="387" spans="1:119" x14ac:dyDescent="0.2">
      <c r="A387">
        <f>ROW(Source!A161)</f>
        <v>161</v>
      </c>
      <c r="B387">
        <v>145033679</v>
      </c>
      <c r="C387">
        <v>145051854</v>
      </c>
      <c r="D387">
        <v>140773780</v>
      </c>
      <c r="E387">
        <v>1</v>
      </c>
      <c r="F387">
        <v>1</v>
      </c>
      <c r="G387">
        <v>1</v>
      </c>
      <c r="H387">
        <v>3</v>
      </c>
      <c r="I387" t="s">
        <v>974</v>
      </c>
      <c r="J387" t="s">
        <v>975</v>
      </c>
      <c r="K387" t="s">
        <v>976</v>
      </c>
      <c r="L387">
        <v>1346</v>
      </c>
      <c r="N387">
        <v>1009</v>
      </c>
      <c r="O387" t="s">
        <v>43</v>
      </c>
      <c r="P387" t="s">
        <v>43</v>
      </c>
      <c r="Q387">
        <v>1</v>
      </c>
      <c r="W387">
        <v>0</v>
      </c>
      <c r="X387">
        <v>149355137</v>
      </c>
      <c r="Y387">
        <f t="shared" si="152"/>
        <v>19</v>
      </c>
      <c r="AA387">
        <v>93.63</v>
      </c>
      <c r="AB387">
        <v>0</v>
      </c>
      <c r="AC387">
        <v>0</v>
      </c>
      <c r="AD387">
        <v>0</v>
      </c>
      <c r="AE387">
        <v>10.75</v>
      </c>
      <c r="AF387">
        <v>0</v>
      </c>
      <c r="AG387">
        <v>0</v>
      </c>
      <c r="AH387">
        <v>0</v>
      </c>
      <c r="AI387">
        <v>8.7100000000000009</v>
      </c>
      <c r="AJ387">
        <v>1</v>
      </c>
      <c r="AK387">
        <v>1</v>
      </c>
      <c r="AL387">
        <v>1</v>
      </c>
      <c r="AM387">
        <v>4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3</v>
      </c>
      <c r="AT387">
        <v>19</v>
      </c>
      <c r="AU387" t="s">
        <v>3</v>
      </c>
      <c r="AV387">
        <v>0</v>
      </c>
      <c r="AW387">
        <v>2</v>
      </c>
      <c r="AX387">
        <v>145051865</v>
      </c>
      <c r="AY387">
        <v>1</v>
      </c>
      <c r="AZ387">
        <v>0</v>
      </c>
      <c r="BA387">
        <v>387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ROUND(Y387*Source!I161,9)</f>
        <v>48.677999999999997</v>
      </c>
      <c r="CY387">
        <f>AA387</f>
        <v>93.63</v>
      </c>
      <c r="CZ387">
        <f>AE387</f>
        <v>10.75</v>
      </c>
      <c r="DA387">
        <f>AI387</f>
        <v>8.7100000000000009</v>
      </c>
      <c r="DB387">
        <f t="shared" si="153"/>
        <v>204.25</v>
      </c>
      <c r="DC387">
        <f t="shared" si="154"/>
        <v>0</v>
      </c>
      <c r="DD387" t="s">
        <v>3</v>
      </c>
      <c r="DE387" t="s">
        <v>3</v>
      </c>
      <c r="DF387">
        <f>ROUND(ROUND(AE387*AI387,2)*CX387,2)</f>
        <v>4557.72</v>
      </c>
      <c r="DG387">
        <f t="shared" si="163"/>
        <v>0</v>
      </c>
      <c r="DH387">
        <f>ROUND(ROUND(AG387,2)*CX387,2)</f>
        <v>0</v>
      </c>
      <c r="DI387">
        <f t="shared" si="157"/>
        <v>0</v>
      </c>
      <c r="DJ387">
        <f>DF387</f>
        <v>4557.72</v>
      </c>
      <c r="DK387">
        <v>0</v>
      </c>
      <c r="DL387" t="s">
        <v>3</v>
      </c>
      <c r="DM387">
        <v>0</v>
      </c>
      <c r="DN387" t="s">
        <v>3</v>
      </c>
      <c r="DO387">
        <v>0</v>
      </c>
    </row>
    <row r="388" spans="1:119" x14ac:dyDescent="0.2">
      <c r="A388">
        <f>ROW(Source!A161)</f>
        <v>161</v>
      </c>
      <c r="B388">
        <v>145033679</v>
      </c>
      <c r="C388">
        <v>145051854</v>
      </c>
      <c r="D388">
        <v>140765022</v>
      </c>
      <c r="E388">
        <v>70</v>
      </c>
      <c r="F388">
        <v>1</v>
      </c>
      <c r="G388">
        <v>1</v>
      </c>
      <c r="H388">
        <v>3</v>
      </c>
      <c r="I388" t="s">
        <v>795</v>
      </c>
      <c r="J388" t="s">
        <v>3</v>
      </c>
      <c r="K388" t="s">
        <v>796</v>
      </c>
      <c r="L388">
        <v>1374</v>
      </c>
      <c r="N388">
        <v>1013</v>
      </c>
      <c r="O388" t="s">
        <v>275</v>
      </c>
      <c r="P388" t="s">
        <v>275</v>
      </c>
      <c r="Q388">
        <v>1</v>
      </c>
      <c r="W388">
        <v>0</v>
      </c>
      <c r="X388">
        <v>-1731369543</v>
      </c>
      <c r="Y388">
        <f t="shared" si="152"/>
        <v>20.68</v>
      </c>
      <c r="AA388">
        <v>8.7100000000000009</v>
      </c>
      <c r="AB388">
        <v>0</v>
      </c>
      <c r="AC388">
        <v>0</v>
      </c>
      <c r="AD388">
        <v>0</v>
      </c>
      <c r="AE388">
        <v>1</v>
      </c>
      <c r="AF388">
        <v>0</v>
      </c>
      <c r="AG388">
        <v>0</v>
      </c>
      <c r="AH388">
        <v>0</v>
      </c>
      <c r="AI388">
        <v>8.7100000000000009</v>
      </c>
      <c r="AJ388">
        <v>1</v>
      </c>
      <c r="AK388">
        <v>1</v>
      </c>
      <c r="AL388">
        <v>1</v>
      </c>
      <c r="AM388">
        <v>4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20.68</v>
      </c>
      <c r="AU388" t="s">
        <v>3</v>
      </c>
      <c r="AV388">
        <v>0</v>
      </c>
      <c r="AW388">
        <v>2</v>
      </c>
      <c r="AX388">
        <v>145051866</v>
      </c>
      <c r="AY388">
        <v>1</v>
      </c>
      <c r="AZ388">
        <v>0</v>
      </c>
      <c r="BA388">
        <v>388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ROUND(Y388*Source!I161,9)</f>
        <v>52.98216</v>
      </c>
      <c r="CY388">
        <f>AA388</f>
        <v>8.7100000000000009</v>
      </c>
      <c r="CZ388">
        <f>AE388</f>
        <v>1</v>
      </c>
      <c r="DA388">
        <f>AI388</f>
        <v>8.7100000000000009</v>
      </c>
      <c r="DB388">
        <f t="shared" si="153"/>
        <v>20.68</v>
      </c>
      <c r="DC388">
        <f t="shared" si="154"/>
        <v>0</v>
      </c>
      <c r="DD388" t="s">
        <v>3</v>
      </c>
      <c r="DE388" t="s">
        <v>3</v>
      </c>
      <c r="DF388">
        <f>ROUND(ROUND(AE388*AI388,2)*CX388,2)</f>
        <v>461.47</v>
      </c>
      <c r="DG388">
        <f t="shared" si="163"/>
        <v>0</v>
      </c>
      <c r="DH388">
        <f>ROUND(ROUND(AG388,2)*CX388,2)</f>
        <v>0</v>
      </c>
      <c r="DI388">
        <f t="shared" si="157"/>
        <v>0</v>
      </c>
      <c r="DJ388">
        <f>DF388</f>
        <v>461.47</v>
      </c>
      <c r="DK388">
        <v>0</v>
      </c>
      <c r="DL388" t="s">
        <v>3</v>
      </c>
      <c r="DM388">
        <v>0</v>
      </c>
      <c r="DN388" t="s">
        <v>3</v>
      </c>
      <c r="DO388">
        <v>0</v>
      </c>
    </row>
    <row r="389" spans="1:119" x14ac:dyDescent="0.2">
      <c r="A389">
        <f>ROW(Source!A162)</f>
        <v>162</v>
      </c>
      <c r="B389">
        <v>145033679</v>
      </c>
      <c r="C389">
        <v>145051781</v>
      </c>
      <c r="D389">
        <v>140760048</v>
      </c>
      <c r="E389">
        <v>70</v>
      </c>
      <c r="F389">
        <v>1</v>
      </c>
      <c r="G389">
        <v>1</v>
      </c>
      <c r="H389">
        <v>1</v>
      </c>
      <c r="I389" t="s">
        <v>1084</v>
      </c>
      <c r="J389" t="s">
        <v>3</v>
      </c>
      <c r="K389" t="s">
        <v>1085</v>
      </c>
      <c r="L389">
        <v>1191</v>
      </c>
      <c r="N389">
        <v>1013</v>
      </c>
      <c r="O389" t="s">
        <v>725</v>
      </c>
      <c r="P389" t="s">
        <v>725</v>
      </c>
      <c r="Q389">
        <v>1</v>
      </c>
      <c r="W389">
        <v>0</v>
      </c>
      <c r="X389">
        <v>-1841613679</v>
      </c>
      <c r="Y389">
        <f>((AT389*1.15)*1.15)</f>
        <v>33.459249999999997</v>
      </c>
      <c r="AA389">
        <v>0</v>
      </c>
      <c r="AB389">
        <v>0</v>
      </c>
      <c r="AC389">
        <v>0</v>
      </c>
      <c r="AD389">
        <v>307.23</v>
      </c>
      <c r="AE389">
        <v>0</v>
      </c>
      <c r="AF389">
        <v>0</v>
      </c>
      <c r="AG389">
        <v>0</v>
      </c>
      <c r="AH389">
        <v>10.06</v>
      </c>
      <c r="AI389">
        <v>1</v>
      </c>
      <c r="AJ389">
        <v>1</v>
      </c>
      <c r="AK389">
        <v>1</v>
      </c>
      <c r="AL389">
        <v>30.54</v>
      </c>
      <c r="AM389">
        <v>4</v>
      </c>
      <c r="AN389">
        <v>0</v>
      </c>
      <c r="AO389">
        <v>1</v>
      </c>
      <c r="AP389">
        <v>1</v>
      </c>
      <c r="AQ389">
        <v>0</v>
      </c>
      <c r="AR389">
        <v>0</v>
      </c>
      <c r="AS389" t="s">
        <v>3</v>
      </c>
      <c r="AT389">
        <v>25.3</v>
      </c>
      <c r="AU389" t="s">
        <v>91</v>
      </c>
      <c r="AV389">
        <v>1</v>
      </c>
      <c r="AW389">
        <v>2</v>
      </c>
      <c r="AX389">
        <v>145051782</v>
      </c>
      <c r="AY389">
        <v>1</v>
      </c>
      <c r="AZ389">
        <v>0</v>
      </c>
      <c r="BA389">
        <v>389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ROUND(Y389*Source!I162,9)</f>
        <v>85.722598500000004</v>
      </c>
      <c r="CY389">
        <f>AD389</f>
        <v>307.23</v>
      </c>
      <c r="CZ389">
        <f>AH389</f>
        <v>10.06</v>
      </c>
      <c r="DA389">
        <f>AL389</f>
        <v>30.54</v>
      </c>
      <c r="DB389">
        <f>ROUND(((ROUND(AT389*CZ389,2)*1.15)*1.15),2)</f>
        <v>336.6</v>
      </c>
      <c r="DC389">
        <f>ROUND(((ROUND(AT389*AG389,2)*1.15)*1.15),2)</f>
        <v>0</v>
      </c>
      <c r="DD389" t="s">
        <v>3</v>
      </c>
      <c r="DE389" t="s">
        <v>3</v>
      </c>
      <c r="DF389">
        <f t="shared" ref="DF389:DF397" si="164">ROUND(ROUND(AE389,2)*CX389,2)</f>
        <v>0</v>
      </c>
      <c r="DG389">
        <f t="shared" si="163"/>
        <v>0</v>
      </c>
      <c r="DH389">
        <f>ROUND(ROUND(AG389,2)*CX389,2)</f>
        <v>0</v>
      </c>
      <c r="DI389">
        <f>ROUND(ROUND(AH389*AL389,2)*CX389,2)</f>
        <v>26336.55</v>
      </c>
      <c r="DJ389">
        <f>DI389</f>
        <v>26336.55</v>
      </c>
      <c r="DK389">
        <v>0</v>
      </c>
      <c r="DL389" t="s">
        <v>3</v>
      </c>
      <c r="DM389">
        <v>0</v>
      </c>
      <c r="DN389" t="s">
        <v>3</v>
      </c>
      <c r="DO389">
        <v>0</v>
      </c>
    </row>
    <row r="390" spans="1:119" x14ac:dyDescent="0.2">
      <c r="A390">
        <f>ROW(Source!A162)</f>
        <v>162</v>
      </c>
      <c r="B390">
        <v>145033679</v>
      </c>
      <c r="C390">
        <v>145051781</v>
      </c>
      <c r="D390">
        <v>140760225</v>
      </c>
      <c r="E390">
        <v>70</v>
      </c>
      <c r="F390">
        <v>1</v>
      </c>
      <c r="G390">
        <v>1</v>
      </c>
      <c r="H390">
        <v>1</v>
      </c>
      <c r="I390" t="s">
        <v>730</v>
      </c>
      <c r="J390" t="s">
        <v>3</v>
      </c>
      <c r="K390" t="s">
        <v>731</v>
      </c>
      <c r="L390">
        <v>1191</v>
      </c>
      <c r="N390">
        <v>1013</v>
      </c>
      <c r="O390" t="s">
        <v>725</v>
      </c>
      <c r="P390" t="s">
        <v>725</v>
      </c>
      <c r="Q390">
        <v>1</v>
      </c>
      <c r="W390">
        <v>0</v>
      </c>
      <c r="X390">
        <v>-1417349443</v>
      </c>
      <c r="Y390">
        <f t="shared" ref="Y390:Y397" si="165">((AT390*1.25)*1.15)</f>
        <v>4.4274999999999993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</v>
      </c>
      <c r="AJ390">
        <v>1</v>
      </c>
      <c r="AK390">
        <v>30.54</v>
      </c>
      <c r="AL390">
        <v>1</v>
      </c>
      <c r="AM390">
        <v>4</v>
      </c>
      <c r="AN390">
        <v>0</v>
      </c>
      <c r="AO390">
        <v>1</v>
      </c>
      <c r="AP390">
        <v>1</v>
      </c>
      <c r="AQ390">
        <v>0</v>
      </c>
      <c r="AR390">
        <v>0</v>
      </c>
      <c r="AS390" t="s">
        <v>3</v>
      </c>
      <c r="AT390">
        <v>3.08</v>
      </c>
      <c r="AU390" t="s">
        <v>90</v>
      </c>
      <c r="AV390">
        <v>2</v>
      </c>
      <c r="AW390">
        <v>2</v>
      </c>
      <c r="AX390">
        <v>145051783</v>
      </c>
      <c r="AY390">
        <v>1</v>
      </c>
      <c r="AZ390">
        <v>0</v>
      </c>
      <c r="BA390">
        <v>390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ROUND(Y390*Source!I162,9)</f>
        <v>11.343254999999999</v>
      </c>
      <c r="CY390">
        <f>AD390</f>
        <v>0</v>
      </c>
      <c r="CZ390">
        <f>AH390</f>
        <v>0</v>
      </c>
      <c r="DA390">
        <f>AL390</f>
        <v>1</v>
      </c>
      <c r="DB390">
        <f t="shared" ref="DB390:DB397" si="166">ROUND(((ROUND(AT390*CZ390,2)*1.25)*1.15),2)</f>
        <v>0</v>
      </c>
      <c r="DC390">
        <f t="shared" ref="DC390:DC397" si="167">ROUND(((ROUND(AT390*AG390,2)*1.25)*1.15),2)</f>
        <v>0</v>
      </c>
      <c r="DD390" t="s">
        <v>3</v>
      </c>
      <c r="DE390" t="s">
        <v>3</v>
      </c>
      <c r="DF390">
        <f t="shared" si="164"/>
        <v>0</v>
      </c>
      <c r="DG390">
        <f t="shared" si="163"/>
        <v>0</v>
      </c>
      <c r="DH390">
        <f t="shared" ref="DH390:DH397" si="168">ROUND(ROUND(AG390*AK390,2)*CX390,2)</f>
        <v>0</v>
      </c>
      <c r="DI390">
        <f t="shared" ref="DI390:DI410" si="169">ROUND(ROUND(AH390,2)*CX390,2)</f>
        <v>0</v>
      </c>
      <c r="DJ390">
        <f>DI390</f>
        <v>0</v>
      </c>
      <c r="DK390">
        <v>0</v>
      </c>
      <c r="DL390" t="s">
        <v>3</v>
      </c>
      <c r="DM390">
        <v>0</v>
      </c>
      <c r="DN390" t="s">
        <v>3</v>
      </c>
      <c r="DO390">
        <v>0</v>
      </c>
    </row>
    <row r="391" spans="1:119" x14ac:dyDescent="0.2">
      <c r="A391">
        <f>ROW(Source!A162)</f>
        <v>162</v>
      </c>
      <c r="B391">
        <v>145033679</v>
      </c>
      <c r="C391">
        <v>145051781</v>
      </c>
      <c r="D391">
        <v>140922906</v>
      </c>
      <c r="E391">
        <v>1</v>
      </c>
      <c r="F391">
        <v>1</v>
      </c>
      <c r="G391">
        <v>1</v>
      </c>
      <c r="H391">
        <v>2</v>
      </c>
      <c r="I391" t="s">
        <v>962</v>
      </c>
      <c r="J391" t="s">
        <v>963</v>
      </c>
      <c r="K391" t="s">
        <v>964</v>
      </c>
      <c r="L391">
        <v>1367</v>
      </c>
      <c r="N391">
        <v>1011</v>
      </c>
      <c r="O391" t="s">
        <v>79</v>
      </c>
      <c r="P391" t="s">
        <v>79</v>
      </c>
      <c r="Q391">
        <v>1</v>
      </c>
      <c r="W391">
        <v>0</v>
      </c>
      <c r="X391">
        <v>-163180553</v>
      </c>
      <c r="Y391">
        <f t="shared" si="165"/>
        <v>0.14374999999999999</v>
      </c>
      <c r="AA391">
        <v>0</v>
      </c>
      <c r="AB391">
        <v>1458.51</v>
      </c>
      <c r="AC391">
        <v>470.93</v>
      </c>
      <c r="AD391">
        <v>0</v>
      </c>
      <c r="AE391">
        <v>0</v>
      </c>
      <c r="AF391">
        <v>120.24</v>
      </c>
      <c r="AG391">
        <v>15.42</v>
      </c>
      <c r="AH391">
        <v>0</v>
      </c>
      <c r="AI391">
        <v>1</v>
      </c>
      <c r="AJ391">
        <v>12.13</v>
      </c>
      <c r="AK391">
        <v>30.54</v>
      </c>
      <c r="AL391">
        <v>1</v>
      </c>
      <c r="AM391">
        <v>4</v>
      </c>
      <c r="AN391">
        <v>0</v>
      </c>
      <c r="AO391">
        <v>1</v>
      </c>
      <c r="AP391">
        <v>1</v>
      </c>
      <c r="AQ391">
        <v>0</v>
      </c>
      <c r="AR391">
        <v>0</v>
      </c>
      <c r="AS391" t="s">
        <v>3</v>
      </c>
      <c r="AT391">
        <v>0.1</v>
      </c>
      <c r="AU391" t="s">
        <v>90</v>
      </c>
      <c r="AV391">
        <v>0</v>
      </c>
      <c r="AW391">
        <v>2</v>
      </c>
      <c r="AX391">
        <v>145051784</v>
      </c>
      <c r="AY391">
        <v>1</v>
      </c>
      <c r="AZ391">
        <v>0</v>
      </c>
      <c r="BA391">
        <v>391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ROUND(Y391*Source!I162,9)</f>
        <v>0.36828749999999999</v>
      </c>
      <c r="CY391">
        <f t="shared" ref="CY391:CY397" si="170">AB391</f>
        <v>1458.51</v>
      </c>
      <c r="CZ391">
        <f t="shared" ref="CZ391:CZ397" si="171">AF391</f>
        <v>120.24</v>
      </c>
      <c r="DA391">
        <f t="shared" ref="DA391:DA397" si="172">AJ391</f>
        <v>12.13</v>
      </c>
      <c r="DB391">
        <f t="shared" si="166"/>
        <v>17.28</v>
      </c>
      <c r="DC391">
        <f t="shared" si="167"/>
        <v>2.21</v>
      </c>
      <c r="DD391" t="s">
        <v>3</v>
      </c>
      <c r="DE391" t="s">
        <v>3</v>
      </c>
      <c r="DF391">
        <f t="shared" si="164"/>
        <v>0</v>
      </c>
      <c r="DG391">
        <f t="shared" ref="DG391:DG397" si="173">ROUND(ROUND(AF391*AJ391,2)*CX391,2)</f>
        <v>537.15</v>
      </c>
      <c r="DH391">
        <f t="shared" si="168"/>
        <v>173.44</v>
      </c>
      <c r="DI391">
        <f t="shared" si="169"/>
        <v>0</v>
      </c>
      <c r="DJ391">
        <f t="shared" ref="DJ391:DJ397" si="174">DG391</f>
        <v>537.15</v>
      </c>
      <c r="DK391">
        <v>0</v>
      </c>
      <c r="DL391" t="s">
        <v>3</v>
      </c>
      <c r="DM391">
        <v>0</v>
      </c>
      <c r="DN391" t="s">
        <v>3</v>
      </c>
      <c r="DO391">
        <v>0</v>
      </c>
    </row>
    <row r="392" spans="1:119" x14ac:dyDescent="0.2">
      <c r="A392">
        <f>ROW(Source!A162)</f>
        <v>162</v>
      </c>
      <c r="B392">
        <v>145033679</v>
      </c>
      <c r="C392">
        <v>145051781</v>
      </c>
      <c r="D392">
        <v>140922951</v>
      </c>
      <c r="E392">
        <v>1</v>
      </c>
      <c r="F392">
        <v>1</v>
      </c>
      <c r="G392">
        <v>1</v>
      </c>
      <c r="H392">
        <v>2</v>
      </c>
      <c r="I392" t="s">
        <v>752</v>
      </c>
      <c r="J392" t="s">
        <v>753</v>
      </c>
      <c r="K392" t="s">
        <v>754</v>
      </c>
      <c r="L392">
        <v>1367</v>
      </c>
      <c r="N392">
        <v>1011</v>
      </c>
      <c r="O392" t="s">
        <v>79</v>
      </c>
      <c r="P392" t="s">
        <v>79</v>
      </c>
      <c r="Q392">
        <v>1</v>
      </c>
      <c r="W392">
        <v>0</v>
      </c>
      <c r="X392">
        <v>-430484415</v>
      </c>
      <c r="Y392">
        <f t="shared" si="165"/>
        <v>0.15812499999999999</v>
      </c>
      <c r="AA392">
        <v>0</v>
      </c>
      <c r="AB392">
        <v>1399.8</v>
      </c>
      <c r="AC392">
        <v>412.29</v>
      </c>
      <c r="AD392">
        <v>0</v>
      </c>
      <c r="AE392">
        <v>0</v>
      </c>
      <c r="AF392">
        <v>115.4</v>
      </c>
      <c r="AG392">
        <v>13.5</v>
      </c>
      <c r="AH392">
        <v>0</v>
      </c>
      <c r="AI392">
        <v>1</v>
      </c>
      <c r="AJ392">
        <v>12.13</v>
      </c>
      <c r="AK392">
        <v>30.54</v>
      </c>
      <c r="AL392">
        <v>1</v>
      </c>
      <c r="AM392">
        <v>4</v>
      </c>
      <c r="AN392">
        <v>0</v>
      </c>
      <c r="AO392">
        <v>1</v>
      </c>
      <c r="AP392">
        <v>1</v>
      </c>
      <c r="AQ392">
        <v>0</v>
      </c>
      <c r="AR392">
        <v>0</v>
      </c>
      <c r="AS392" t="s">
        <v>3</v>
      </c>
      <c r="AT392">
        <v>0.11</v>
      </c>
      <c r="AU392" t="s">
        <v>90</v>
      </c>
      <c r="AV392">
        <v>0</v>
      </c>
      <c r="AW392">
        <v>2</v>
      </c>
      <c r="AX392">
        <v>145051785</v>
      </c>
      <c r="AY392">
        <v>1</v>
      </c>
      <c r="AZ392">
        <v>0</v>
      </c>
      <c r="BA392">
        <v>392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ROUND(Y392*Source!I162,9)</f>
        <v>0.40511625000000001</v>
      </c>
      <c r="CY392">
        <f t="shared" si="170"/>
        <v>1399.8</v>
      </c>
      <c r="CZ392">
        <f t="shared" si="171"/>
        <v>115.4</v>
      </c>
      <c r="DA392">
        <f t="shared" si="172"/>
        <v>12.13</v>
      </c>
      <c r="DB392">
        <f t="shared" si="166"/>
        <v>18.239999999999998</v>
      </c>
      <c r="DC392">
        <f t="shared" si="167"/>
        <v>2.14</v>
      </c>
      <c r="DD392" t="s">
        <v>3</v>
      </c>
      <c r="DE392" t="s">
        <v>3</v>
      </c>
      <c r="DF392">
        <f t="shared" si="164"/>
        <v>0</v>
      </c>
      <c r="DG392">
        <f t="shared" si="173"/>
        <v>567.08000000000004</v>
      </c>
      <c r="DH392">
        <f t="shared" si="168"/>
        <v>167.03</v>
      </c>
      <c r="DI392">
        <f t="shared" si="169"/>
        <v>0</v>
      </c>
      <c r="DJ392">
        <f t="shared" si="174"/>
        <v>567.08000000000004</v>
      </c>
      <c r="DK392">
        <v>0</v>
      </c>
      <c r="DL392" t="s">
        <v>3</v>
      </c>
      <c r="DM392">
        <v>0</v>
      </c>
      <c r="DN392" t="s">
        <v>3</v>
      </c>
      <c r="DO392">
        <v>0</v>
      </c>
    </row>
    <row r="393" spans="1:119" x14ac:dyDescent="0.2">
      <c r="A393">
        <f>ROW(Source!A162)</f>
        <v>162</v>
      </c>
      <c r="B393">
        <v>145033679</v>
      </c>
      <c r="C393">
        <v>145051781</v>
      </c>
      <c r="D393">
        <v>140922957</v>
      </c>
      <c r="E393">
        <v>1</v>
      </c>
      <c r="F393">
        <v>1</v>
      </c>
      <c r="G393">
        <v>1</v>
      </c>
      <c r="H393">
        <v>2</v>
      </c>
      <c r="I393" t="s">
        <v>965</v>
      </c>
      <c r="J393" t="s">
        <v>966</v>
      </c>
      <c r="K393" t="s">
        <v>967</v>
      </c>
      <c r="L393">
        <v>1367</v>
      </c>
      <c r="N393">
        <v>1011</v>
      </c>
      <c r="O393" t="s">
        <v>79</v>
      </c>
      <c r="P393" t="s">
        <v>79</v>
      </c>
      <c r="Q393">
        <v>1</v>
      </c>
      <c r="W393">
        <v>0</v>
      </c>
      <c r="X393">
        <v>-1189221606</v>
      </c>
      <c r="Y393">
        <f t="shared" si="165"/>
        <v>3.8812499999999996</v>
      </c>
      <c r="AA393">
        <v>0</v>
      </c>
      <c r="AB393">
        <v>1456.09</v>
      </c>
      <c r="AC393">
        <v>412.29</v>
      </c>
      <c r="AD393">
        <v>0</v>
      </c>
      <c r="AE393">
        <v>0</v>
      </c>
      <c r="AF393">
        <v>120.04</v>
      </c>
      <c r="AG393">
        <v>13.5</v>
      </c>
      <c r="AH393">
        <v>0</v>
      </c>
      <c r="AI393">
        <v>1</v>
      </c>
      <c r="AJ393">
        <v>12.13</v>
      </c>
      <c r="AK393">
        <v>30.54</v>
      </c>
      <c r="AL393">
        <v>1</v>
      </c>
      <c r="AM393">
        <v>4</v>
      </c>
      <c r="AN393">
        <v>0</v>
      </c>
      <c r="AO393">
        <v>1</v>
      </c>
      <c r="AP393">
        <v>1</v>
      </c>
      <c r="AQ393">
        <v>0</v>
      </c>
      <c r="AR393">
        <v>0</v>
      </c>
      <c r="AS393" t="s">
        <v>3</v>
      </c>
      <c r="AT393">
        <v>2.7</v>
      </c>
      <c r="AU393" t="s">
        <v>90</v>
      </c>
      <c r="AV393">
        <v>0</v>
      </c>
      <c r="AW393">
        <v>2</v>
      </c>
      <c r="AX393">
        <v>145051786</v>
      </c>
      <c r="AY393">
        <v>1</v>
      </c>
      <c r="AZ393">
        <v>0</v>
      </c>
      <c r="BA393">
        <v>393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ROUND(Y393*Source!I162,9)</f>
        <v>9.9437625000000001</v>
      </c>
      <c r="CY393">
        <f t="shared" si="170"/>
        <v>1456.09</v>
      </c>
      <c r="CZ393">
        <f t="shared" si="171"/>
        <v>120.04</v>
      </c>
      <c r="DA393">
        <f t="shared" si="172"/>
        <v>12.13</v>
      </c>
      <c r="DB393">
        <f t="shared" si="166"/>
        <v>465.91</v>
      </c>
      <c r="DC393">
        <f t="shared" si="167"/>
        <v>52.4</v>
      </c>
      <c r="DD393" t="s">
        <v>3</v>
      </c>
      <c r="DE393" t="s">
        <v>3</v>
      </c>
      <c r="DF393">
        <f t="shared" si="164"/>
        <v>0</v>
      </c>
      <c r="DG393">
        <f t="shared" si="173"/>
        <v>14479.01</v>
      </c>
      <c r="DH393">
        <f t="shared" si="168"/>
        <v>4099.71</v>
      </c>
      <c r="DI393">
        <f t="shared" si="169"/>
        <v>0</v>
      </c>
      <c r="DJ393">
        <f t="shared" si="174"/>
        <v>14479.01</v>
      </c>
      <c r="DK393">
        <v>0</v>
      </c>
      <c r="DL393" t="s">
        <v>3</v>
      </c>
      <c r="DM393">
        <v>0</v>
      </c>
      <c r="DN393" t="s">
        <v>3</v>
      </c>
      <c r="DO393">
        <v>0</v>
      </c>
    </row>
    <row r="394" spans="1:119" x14ac:dyDescent="0.2">
      <c r="A394">
        <f>ROW(Source!A162)</f>
        <v>162</v>
      </c>
      <c r="B394">
        <v>145033679</v>
      </c>
      <c r="C394">
        <v>145051781</v>
      </c>
      <c r="D394">
        <v>140923032</v>
      </c>
      <c r="E394">
        <v>1</v>
      </c>
      <c r="F394">
        <v>1</v>
      </c>
      <c r="G394">
        <v>1</v>
      </c>
      <c r="H394">
        <v>2</v>
      </c>
      <c r="I394" t="s">
        <v>968</v>
      </c>
      <c r="J394" t="s">
        <v>969</v>
      </c>
      <c r="K394" t="s">
        <v>970</v>
      </c>
      <c r="L394">
        <v>1367</v>
      </c>
      <c r="N394">
        <v>1011</v>
      </c>
      <c r="O394" t="s">
        <v>79</v>
      </c>
      <c r="P394" t="s">
        <v>79</v>
      </c>
      <c r="Q394">
        <v>1</v>
      </c>
      <c r="W394">
        <v>0</v>
      </c>
      <c r="X394">
        <v>321316643</v>
      </c>
      <c r="Y394">
        <f t="shared" si="165"/>
        <v>0.11499999999999999</v>
      </c>
      <c r="AA394">
        <v>0</v>
      </c>
      <c r="AB394">
        <v>10.92</v>
      </c>
      <c r="AC394">
        <v>0</v>
      </c>
      <c r="AD394">
        <v>0</v>
      </c>
      <c r="AE394">
        <v>0</v>
      </c>
      <c r="AF394">
        <v>0.9</v>
      </c>
      <c r="AG394">
        <v>0</v>
      </c>
      <c r="AH394">
        <v>0</v>
      </c>
      <c r="AI394">
        <v>1</v>
      </c>
      <c r="AJ394">
        <v>12.13</v>
      </c>
      <c r="AK394">
        <v>30.54</v>
      </c>
      <c r="AL394">
        <v>1</v>
      </c>
      <c r="AM394">
        <v>4</v>
      </c>
      <c r="AN394">
        <v>0</v>
      </c>
      <c r="AO394">
        <v>1</v>
      </c>
      <c r="AP394">
        <v>1</v>
      </c>
      <c r="AQ394">
        <v>0</v>
      </c>
      <c r="AR394">
        <v>0</v>
      </c>
      <c r="AS394" t="s">
        <v>3</v>
      </c>
      <c r="AT394">
        <v>0.08</v>
      </c>
      <c r="AU394" t="s">
        <v>90</v>
      </c>
      <c r="AV394">
        <v>0</v>
      </c>
      <c r="AW394">
        <v>2</v>
      </c>
      <c r="AX394">
        <v>145051787</v>
      </c>
      <c r="AY394">
        <v>1</v>
      </c>
      <c r="AZ394">
        <v>0</v>
      </c>
      <c r="BA394">
        <v>394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ROUND(Y394*Source!I162,9)</f>
        <v>0.29463</v>
      </c>
      <c r="CY394">
        <f t="shared" si="170"/>
        <v>10.92</v>
      </c>
      <c r="CZ394">
        <f t="shared" si="171"/>
        <v>0.9</v>
      </c>
      <c r="DA394">
        <f t="shared" si="172"/>
        <v>12.13</v>
      </c>
      <c r="DB394">
        <f t="shared" si="166"/>
        <v>0.1</v>
      </c>
      <c r="DC394">
        <f t="shared" si="167"/>
        <v>0</v>
      </c>
      <c r="DD394" t="s">
        <v>3</v>
      </c>
      <c r="DE394" t="s">
        <v>3</v>
      </c>
      <c r="DF394">
        <f t="shared" si="164"/>
        <v>0</v>
      </c>
      <c r="DG394">
        <f t="shared" si="173"/>
        <v>3.22</v>
      </c>
      <c r="DH394">
        <f t="shared" si="168"/>
        <v>0</v>
      </c>
      <c r="DI394">
        <f t="shared" si="169"/>
        <v>0</v>
      </c>
      <c r="DJ394">
        <f t="shared" si="174"/>
        <v>3.22</v>
      </c>
      <c r="DK394">
        <v>0</v>
      </c>
      <c r="DL394" t="s">
        <v>3</v>
      </c>
      <c r="DM394">
        <v>0</v>
      </c>
      <c r="DN394" t="s">
        <v>3</v>
      </c>
      <c r="DO394">
        <v>0</v>
      </c>
    </row>
    <row r="395" spans="1:119" x14ac:dyDescent="0.2">
      <c r="A395">
        <f>ROW(Source!A162)</f>
        <v>162</v>
      </c>
      <c r="B395">
        <v>145033679</v>
      </c>
      <c r="C395">
        <v>145051781</v>
      </c>
      <c r="D395">
        <v>140923885</v>
      </c>
      <c r="E395">
        <v>1</v>
      </c>
      <c r="F395">
        <v>1</v>
      </c>
      <c r="G395">
        <v>1</v>
      </c>
      <c r="H395">
        <v>2</v>
      </c>
      <c r="I395" t="s">
        <v>732</v>
      </c>
      <c r="J395" t="s">
        <v>733</v>
      </c>
      <c r="K395" t="s">
        <v>734</v>
      </c>
      <c r="L395">
        <v>1367</v>
      </c>
      <c r="N395">
        <v>1011</v>
      </c>
      <c r="O395" t="s">
        <v>79</v>
      </c>
      <c r="P395" t="s">
        <v>79</v>
      </c>
      <c r="Q395">
        <v>1</v>
      </c>
      <c r="W395">
        <v>0</v>
      </c>
      <c r="X395">
        <v>509054691</v>
      </c>
      <c r="Y395">
        <f t="shared" si="165"/>
        <v>0.24437500000000001</v>
      </c>
      <c r="AA395">
        <v>0</v>
      </c>
      <c r="AB395">
        <v>797.06</v>
      </c>
      <c r="AC395">
        <v>354.26</v>
      </c>
      <c r="AD395">
        <v>0</v>
      </c>
      <c r="AE395">
        <v>0</v>
      </c>
      <c r="AF395">
        <v>65.709999999999994</v>
      </c>
      <c r="AG395">
        <v>11.6</v>
      </c>
      <c r="AH395">
        <v>0</v>
      </c>
      <c r="AI395">
        <v>1</v>
      </c>
      <c r="AJ395">
        <v>12.13</v>
      </c>
      <c r="AK395">
        <v>30.54</v>
      </c>
      <c r="AL395">
        <v>1</v>
      </c>
      <c r="AM395">
        <v>4</v>
      </c>
      <c r="AN395">
        <v>0</v>
      </c>
      <c r="AO395">
        <v>1</v>
      </c>
      <c r="AP395">
        <v>1</v>
      </c>
      <c r="AQ395">
        <v>0</v>
      </c>
      <c r="AR395">
        <v>0</v>
      </c>
      <c r="AS395" t="s">
        <v>3</v>
      </c>
      <c r="AT395">
        <v>0.17</v>
      </c>
      <c r="AU395" t="s">
        <v>90</v>
      </c>
      <c r="AV395">
        <v>0</v>
      </c>
      <c r="AW395">
        <v>2</v>
      </c>
      <c r="AX395">
        <v>145051788</v>
      </c>
      <c r="AY395">
        <v>1</v>
      </c>
      <c r="AZ395">
        <v>0</v>
      </c>
      <c r="BA395">
        <v>395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ROUND(Y395*Source!I162,9)</f>
        <v>0.62608874999999997</v>
      </c>
      <c r="CY395">
        <f t="shared" si="170"/>
        <v>797.06</v>
      </c>
      <c r="CZ395">
        <f t="shared" si="171"/>
        <v>65.709999999999994</v>
      </c>
      <c r="DA395">
        <f t="shared" si="172"/>
        <v>12.13</v>
      </c>
      <c r="DB395">
        <f t="shared" si="166"/>
        <v>16.059999999999999</v>
      </c>
      <c r="DC395">
        <f t="shared" si="167"/>
        <v>2.83</v>
      </c>
      <c r="DD395" t="s">
        <v>3</v>
      </c>
      <c r="DE395" t="s">
        <v>3</v>
      </c>
      <c r="DF395">
        <f t="shared" si="164"/>
        <v>0</v>
      </c>
      <c r="DG395">
        <f t="shared" si="173"/>
        <v>499.03</v>
      </c>
      <c r="DH395">
        <f t="shared" si="168"/>
        <v>221.8</v>
      </c>
      <c r="DI395">
        <f t="shared" si="169"/>
        <v>0</v>
      </c>
      <c r="DJ395">
        <f t="shared" si="174"/>
        <v>499.03</v>
      </c>
      <c r="DK395">
        <v>0</v>
      </c>
      <c r="DL395" t="s">
        <v>3</v>
      </c>
      <c r="DM395">
        <v>0</v>
      </c>
      <c r="DN395" t="s">
        <v>3</v>
      </c>
      <c r="DO395">
        <v>0</v>
      </c>
    </row>
    <row r="396" spans="1:119" x14ac:dyDescent="0.2">
      <c r="A396">
        <f>ROW(Source!A162)</f>
        <v>162</v>
      </c>
      <c r="B396">
        <v>145033679</v>
      </c>
      <c r="C396">
        <v>145051781</v>
      </c>
      <c r="D396">
        <v>140924041</v>
      </c>
      <c r="E396">
        <v>1</v>
      </c>
      <c r="F396">
        <v>1</v>
      </c>
      <c r="G396">
        <v>1</v>
      </c>
      <c r="H396">
        <v>2</v>
      </c>
      <c r="I396" t="s">
        <v>777</v>
      </c>
      <c r="J396" t="s">
        <v>778</v>
      </c>
      <c r="K396" t="s">
        <v>779</v>
      </c>
      <c r="L396">
        <v>1367</v>
      </c>
      <c r="N396">
        <v>1011</v>
      </c>
      <c r="O396" t="s">
        <v>79</v>
      </c>
      <c r="P396" t="s">
        <v>79</v>
      </c>
      <c r="Q396">
        <v>1</v>
      </c>
      <c r="W396">
        <v>0</v>
      </c>
      <c r="X396">
        <v>2077867240</v>
      </c>
      <c r="Y396">
        <f t="shared" si="165"/>
        <v>4.3412499999999996</v>
      </c>
      <c r="AA396">
        <v>0</v>
      </c>
      <c r="AB396">
        <v>14.56</v>
      </c>
      <c r="AC396">
        <v>0</v>
      </c>
      <c r="AD396">
        <v>0</v>
      </c>
      <c r="AE396">
        <v>0</v>
      </c>
      <c r="AF396">
        <v>1.2</v>
      </c>
      <c r="AG396">
        <v>0</v>
      </c>
      <c r="AH396">
        <v>0</v>
      </c>
      <c r="AI396">
        <v>1</v>
      </c>
      <c r="AJ396">
        <v>12.13</v>
      </c>
      <c r="AK396">
        <v>30.54</v>
      </c>
      <c r="AL396">
        <v>1</v>
      </c>
      <c r="AM396">
        <v>4</v>
      </c>
      <c r="AN396">
        <v>0</v>
      </c>
      <c r="AO396">
        <v>1</v>
      </c>
      <c r="AP396">
        <v>1</v>
      </c>
      <c r="AQ396">
        <v>0</v>
      </c>
      <c r="AR396">
        <v>0</v>
      </c>
      <c r="AS396" t="s">
        <v>3</v>
      </c>
      <c r="AT396">
        <v>3.02</v>
      </c>
      <c r="AU396" t="s">
        <v>90</v>
      </c>
      <c r="AV396">
        <v>0</v>
      </c>
      <c r="AW396">
        <v>2</v>
      </c>
      <c r="AX396">
        <v>145051789</v>
      </c>
      <c r="AY396">
        <v>1</v>
      </c>
      <c r="AZ396">
        <v>0</v>
      </c>
      <c r="BA396">
        <v>396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ROUND(Y396*Source!I162,9)</f>
        <v>11.122282500000001</v>
      </c>
      <c r="CY396">
        <f t="shared" si="170"/>
        <v>14.56</v>
      </c>
      <c r="CZ396">
        <f t="shared" si="171"/>
        <v>1.2</v>
      </c>
      <c r="DA396">
        <f t="shared" si="172"/>
        <v>12.13</v>
      </c>
      <c r="DB396">
        <f t="shared" si="166"/>
        <v>5.2</v>
      </c>
      <c r="DC396">
        <f t="shared" si="167"/>
        <v>0</v>
      </c>
      <c r="DD396" t="s">
        <v>3</v>
      </c>
      <c r="DE396" t="s">
        <v>3</v>
      </c>
      <c r="DF396">
        <f t="shared" si="164"/>
        <v>0</v>
      </c>
      <c r="DG396">
        <f t="shared" si="173"/>
        <v>161.94</v>
      </c>
      <c r="DH396">
        <f t="shared" si="168"/>
        <v>0</v>
      </c>
      <c r="DI396">
        <f t="shared" si="169"/>
        <v>0</v>
      </c>
      <c r="DJ396">
        <f t="shared" si="174"/>
        <v>161.94</v>
      </c>
      <c r="DK396">
        <v>0</v>
      </c>
      <c r="DL396" t="s">
        <v>3</v>
      </c>
      <c r="DM396">
        <v>0</v>
      </c>
      <c r="DN396" t="s">
        <v>3</v>
      </c>
      <c r="DO396">
        <v>0</v>
      </c>
    </row>
    <row r="397" spans="1:119" x14ac:dyDescent="0.2">
      <c r="A397">
        <f>ROW(Source!A162)</f>
        <v>162</v>
      </c>
      <c r="B397">
        <v>145033679</v>
      </c>
      <c r="C397">
        <v>145051781</v>
      </c>
      <c r="D397">
        <v>140924084</v>
      </c>
      <c r="E397">
        <v>1</v>
      </c>
      <c r="F397">
        <v>1</v>
      </c>
      <c r="G397">
        <v>1</v>
      </c>
      <c r="H397">
        <v>2</v>
      </c>
      <c r="I397" t="s">
        <v>971</v>
      </c>
      <c r="J397" t="s">
        <v>972</v>
      </c>
      <c r="K397" t="s">
        <v>973</v>
      </c>
      <c r="L397">
        <v>1367</v>
      </c>
      <c r="N397">
        <v>1011</v>
      </c>
      <c r="O397" t="s">
        <v>79</v>
      </c>
      <c r="P397" t="s">
        <v>79</v>
      </c>
      <c r="Q397">
        <v>1</v>
      </c>
      <c r="W397">
        <v>0</v>
      </c>
      <c r="X397">
        <v>-1866313122</v>
      </c>
      <c r="Y397">
        <f t="shared" si="165"/>
        <v>20.125</v>
      </c>
      <c r="AA397">
        <v>0</v>
      </c>
      <c r="AB397">
        <v>149.32</v>
      </c>
      <c r="AC397">
        <v>0</v>
      </c>
      <c r="AD397">
        <v>0</v>
      </c>
      <c r="AE397">
        <v>0</v>
      </c>
      <c r="AF397">
        <v>12.31</v>
      </c>
      <c r="AG397">
        <v>0</v>
      </c>
      <c r="AH397">
        <v>0</v>
      </c>
      <c r="AI397">
        <v>1</v>
      </c>
      <c r="AJ397">
        <v>12.13</v>
      </c>
      <c r="AK397">
        <v>30.54</v>
      </c>
      <c r="AL397">
        <v>1</v>
      </c>
      <c r="AM397">
        <v>4</v>
      </c>
      <c r="AN397">
        <v>0</v>
      </c>
      <c r="AO397">
        <v>1</v>
      </c>
      <c r="AP397">
        <v>1</v>
      </c>
      <c r="AQ397">
        <v>0</v>
      </c>
      <c r="AR397">
        <v>0</v>
      </c>
      <c r="AS397" t="s">
        <v>3</v>
      </c>
      <c r="AT397">
        <v>14</v>
      </c>
      <c r="AU397" t="s">
        <v>90</v>
      </c>
      <c r="AV397">
        <v>0</v>
      </c>
      <c r="AW397">
        <v>2</v>
      </c>
      <c r="AX397">
        <v>145051790</v>
      </c>
      <c r="AY397">
        <v>1</v>
      </c>
      <c r="AZ397">
        <v>0</v>
      </c>
      <c r="BA397">
        <v>397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ROUND(Y397*Source!I162,9)</f>
        <v>51.560250000000003</v>
      </c>
      <c r="CY397">
        <f t="shared" si="170"/>
        <v>149.32</v>
      </c>
      <c r="CZ397">
        <f t="shared" si="171"/>
        <v>12.31</v>
      </c>
      <c r="DA397">
        <f t="shared" si="172"/>
        <v>12.13</v>
      </c>
      <c r="DB397">
        <f t="shared" si="166"/>
        <v>247.74</v>
      </c>
      <c r="DC397">
        <f t="shared" si="167"/>
        <v>0</v>
      </c>
      <c r="DD397" t="s">
        <v>3</v>
      </c>
      <c r="DE397" t="s">
        <v>3</v>
      </c>
      <c r="DF397">
        <f t="shared" si="164"/>
        <v>0</v>
      </c>
      <c r="DG397">
        <f t="shared" si="173"/>
        <v>7698.98</v>
      </c>
      <c r="DH397">
        <f t="shared" si="168"/>
        <v>0</v>
      </c>
      <c r="DI397">
        <f t="shared" si="169"/>
        <v>0</v>
      </c>
      <c r="DJ397">
        <f t="shared" si="174"/>
        <v>7698.98</v>
      </c>
      <c r="DK397">
        <v>0</v>
      </c>
      <c r="DL397" t="s">
        <v>3</v>
      </c>
      <c r="DM397">
        <v>0</v>
      </c>
      <c r="DN397" t="s">
        <v>3</v>
      </c>
      <c r="DO397">
        <v>0</v>
      </c>
    </row>
    <row r="398" spans="1:119" x14ac:dyDescent="0.2">
      <c r="A398">
        <f>ROW(Source!A162)</f>
        <v>162</v>
      </c>
      <c r="B398">
        <v>145033679</v>
      </c>
      <c r="C398">
        <v>145051781</v>
      </c>
      <c r="D398">
        <v>140771005</v>
      </c>
      <c r="E398">
        <v>1</v>
      </c>
      <c r="F398">
        <v>1</v>
      </c>
      <c r="G398">
        <v>1</v>
      </c>
      <c r="H398">
        <v>3</v>
      </c>
      <c r="I398" t="s">
        <v>786</v>
      </c>
      <c r="J398" t="s">
        <v>787</v>
      </c>
      <c r="K398" t="s">
        <v>788</v>
      </c>
      <c r="L398">
        <v>1339</v>
      </c>
      <c r="N398">
        <v>1007</v>
      </c>
      <c r="O398" t="s">
        <v>66</v>
      </c>
      <c r="P398" t="s">
        <v>66</v>
      </c>
      <c r="Q398">
        <v>1</v>
      </c>
      <c r="W398">
        <v>0</v>
      </c>
      <c r="X398">
        <v>-1761807714</v>
      </c>
      <c r="Y398">
        <f t="shared" ref="Y398:Y419" si="175">AT398</f>
        <v>2.6</v>
      </c>
      <c r="AA398">
        <v>54.18</v>
      </c>
      <c r="AB398">
        <v>0</v>
      </c>
      <c r="AC398">
        <v>0</v>
      </c>
      <c r="AD398">
        <v>0</v>
      </c>
      <c r="AE398">
        <v>6.22</v>
      </c>
      <c r="AF398">
        <v>0</v>
      </c>
      <c r="AG398">
        <v>0</v>
      </c>
      <c r="AH398">
        <v>0</v>
      </c>
      <c r="AI398">
        <v>8.7100000000000009</v>
      </c>
      <c r="AJ398">
        <v>1</v>
      </c>
      <c r="AK398">
        <v>1</v>
      </c>
      <c r="AL398">
        <v>1</v>
      </c>
      <c r="AM398">
        <v>4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2.6</v>
      </c>
      <c r="AU398" t="s">
        <v>3</v>
      </c>
      <c r="AV398">
        <v>0</v>
      </c>
      <c r="AW398">
        <v>2</v>
      </c>
      <c r="AX398">
        <v>145051791</v>
      </c>
      <c r="AY398">
        <v>1</v>
      </c>
      <c r="AZ398">
        <v>0</v>
      </c>
      <c r="BA398">
        <v>398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ROUND(Y398*Source!I162,9)</f>
        <v>6.6612</v>
      </c>
      <c r="CY398">
        <f t="shared" ref="CY398:CY410" si="176">AA398</f>
        <v>54.18</v>
      </c>
      <c r="CZ398">
        <f t="shared" ref="CZ398:CZ410" si="177">AE398</f>
        <v>6.22</v>
      </c>
      <c r="DA398">
        <f t="shared" ref="DA398:DA410" si="178">AI398</f>
        <v>8.7100000000000009</v>
      </c>
      <c r="DB398">
        <f t="shared" ref="DB398:DB419" si="179">ROUND(ROUND(AT398*CZ398,2),2)</f>
        <v>16.170000000000002</v>
      </c>
      <c r="DC398">
        <f t="shared" ref="DC398:DC419" si="180">ROUND(ROUND(AT398*AG398,2),2)</f>
        <v>0</v>
      </c>
      <c r="DD398" t="s">
        <v>3</v>
      </c>
      <c r="DE398" t="s">
        <v>3</v>
      </c>
      <c r="DF398">
        <f t="shared" ref="DF398:DF410" si="181">ROUND(ROUND(AE398*AI398,2)*CX398,2)</f>
        <v>360.9</v>
      </c>
      <c r="DG398">
        <f t="shared" ref="DG398:DG411" si="182">ROUND(ROUND(AF398,2)*CX398,2)</f>
        <v>0</v>
      </c>
      <c r="DH398">
        <f t="shared" ref="DH398:DH411" si="183">ROUND(ROUND(AG398,2)*CX398,2)</f>
        <v>0</v>
      </c>
      <c r="DI398">
        <f t="shared" si="169"/>
        <v>0</v>
      </c>
      <c r="DJ398">
        <f t="shared" ref="DJ398:DJ410" si="184">DF398</f>
        <v>360.9</v>
      </c>
      <c r="DK398">
        <v>0</v>
      </c>
      <c r="DL398" t="s">
        <v>3</v>
      </c>
      <c r="DM398">
        <v>0</v>
      </c>
      <c r="DN398" t="s">
        <v>3</v>
      </c>
      <c r="DO398">
        <v>0</v>
      </c>
    </row>
    <row r="399" spans="1:119" x14ac:dyDescent="0.2">
      <c r="A399">
        <f>ROW(Source!A162)</f>
        <v>162</v>
      </c>
      <c r="B399">
        <v>145033679</v>
      </c>
      <c r="C399">
        <v>145051781</v>
      </c>
      <c r="D399">
        <v>140771011</v>
      </c>
      <c r="E399">
        <v>1</v>
      </c>
      <c r="F399">
        <v>1</v>
      </c>
      <c r="G399">
        <v>1</v>
      </c>
      <c r="H399">
        <v>3</v>
      </c>
      <c r="I399" t="s">
        <v>789</v>
      </c>
      <c r="J399" t="s">
        <v>790</v>
      </c>
      <c r="K399" t="s">
        <v>791</v>
      </c>
      <c r="L399">
        <v>1346</v>
      </c>
      <c r="N399">
        <v>1009</v>
      </c>
      <c r="O399" t="s">
        <v>43</v>
      </c>
      <c r="P399" t="s">
        <v>43</v>
      </c>
      <c r="Q399">
        <v>1</v>
      </c>
      <c r="W399">
        <v>0</v>
      </c>
      <c r="X399">
        <v>-2118006079</v>
      </c>
      <c r="Y399">
        <f t="shared" si="175"/>
        <v>0.78</v>
      </c>
      <c r="AA399">
        <v>53.04</v>
      </c>
      <c r="AB399">
        <v>0</v>
      </c>
      <c r="AC399">
        <v>0</v>
      </c>
      <c r="AD399">
        <v>0</v>
      </c>
      <c r="AE399">
        <v>6.09</v>
      </c>
      <c r="AF399">
        <v>0</v>
      </c>
      <c r="AG399">
        <v>0</v>
      </c>
      <c r="AH399">
        <v>0</v>
      </c>
      <c r="AI399">
        <v>8.7100000000000009</v>
      </c>
      <c r="AJ399">
        <v>1</v>
      </c>
      <c r="AK399">
        <v>1</v>
      </c>
      <c r="AL399">
        <v>1</v>
      </c>
      <c r="AM399">
        <v>4</v>
      </c>
      <c r="AN399">
        <v>0</v>
      </c>
      <c r="AO399">
        <v>1</v>
      </c>
      <c r="AP399">
        <v>0</v>
      </c>
      <c r="AQ399">
        <v>0</v>
      </c>
      <c r="AR399">
        <v>0</v>
      </c>
      <c r="AS399" t="s">
        <v>3</v>
      </c>
      <c r="AT399">
        <v>0.78</v>
      </c>
      <c r="AU399" t="s">
        <v>3</v>
      </c>
      <c r="AV399">
        <v>0</v>
      </c>
      <c r="AW399">
        <v>2</v>
      </c>
      <c r="AX399">
        <v>145051792</v>
      </c>
      <c r="AY399">
        <v>1</v>
      </c>
      <c r="AZ399">
        <v>0</v>
      </c>
      <c r="BA399">
        <v>399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ROUND(Y399*Source!I162,9)</f>
        <v>1.9983599999999999</v>
      </c>
      <c r="CY399">
        <f t="shared" si="176"/>
        <v>53.04</v>
      </c>
      <c r="CZ399">
        <f t="shared" si="177"/>
        <v>6.09</v>
      </c>
      <c r="DA399">
        <f t="shared" si="178"/>
        <v>8.7100000000000009</v>
      </c>
      <c r="DB399">
        <f t="shared" si="179"/>
        <v>4.75</v>
      </c>
      <c r="DC399">
        <f t="shared" si="180"/>
        <v>0</v>
      </c>
      <c r="DD399" t="s">
        <v>3</v>
      </c>
      <c r="DE399" t="s">
        <v>3</v>
      </c>
      <c r="DF399">
        <f t="shared" si="181"/>
        <v>105.99</v>
      </c>
      <c r="DG399">
        <f t="shared" si="182"/>
        <v>0</v>
      </c>
      <c r="DH399">
        <f t="shared" si="183"/>
        <v>0</v>
      </c>
      <c r="DI399">
        <f t="shared" si="169"/>
        <v>0</v>
      </c>
      <c r="DJ399">
        <f t="shared" si="184"/>
        <v>105.99</v>
      </c>
      <c r="DK399">
        <v>0</v>
      </c>
      <c r="DL399" t="s">
        <v>3</v>
      </c>
      <c r="DM399">
        <v>0</v>
      </c>
      <c r="DN399" t="s">
        <v>3</v>
      </c>
      <c r="DO399">
        <v>0</v>
      </c>
    </row>
    <row r="400" spans="1:119" x14ac:dyDescent="0.2">
      <c r="A400">
        <f>ROW(Source!A162)</f>
        <v>162</v>
      </c>
      <c r="B400">
        <v>145033679</v>
      </c>
      <c r="C400">
        <v>145051781</v>
      </c>
      <c r="D400">
        <v>140773780</v>
      </c>
      <c r="E400">
        <v>1</v>
      </c>
      <c r="F400">
        <v>1</v>
      </c>
      <c r="G400">
        <v>1</v>
      </c>
      <c r="H400">
        <v>3</v>
      </c>
      <c r="I400" t="s">
        <v>974</v>
      </c>
      <c r="J400" t="s">
        <v>975</v>
      </c>
      <c r="K400" t="s">
        <v>976</v>
      </c>
      <c r="L400">
        <v>1346</v>
      </c>
      <c r="N400">
        <v>1009</v>
      </c>
      <c r="O400" t="s">
        <v>43</v>
      </c>
      <c r="P400" t="s">
        <v>43</v>
      </c>
      <c r="Q400">
        <v>1</v>
      </c>
      <c r="W400">
        <v>0</v>
      </c>
      <c r="X400">
        <v>149355137</v>
      </c>
      <c r="Y400">
        <f t="shared" si="175"/>
        <v>16</v>
      </c>
      <c r="AA400">
        <v>93.63</v>
      </c>
      <c r="AB400">
        <v>0</v>
      </c>
      <c r="AC400">
        <v>0</v>
      </c>
      <c r="AD400">
        <v>0</v>
      </c>
      <c r="AE400">
        <v>10.75</v>
      </c>
      <c r="AF400">
        <v>0</v>
      </c>
      <c r="AG400">
        <v>0</v>
      </c>
      <c r="AH400">
        <v>0</v>
      </c>
      <c r="AI400">
        <v>8.7100000000000009</v>
      </c>
      <c r="AJ400">
        <v>1</v>
      </c>
      <c r="AK400">
        <v>1</v>
      </c>
      <c r="AL400">
        <v>1</v>
      </c>
      <c r="AM400">
        <v>4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3</v>
      </c>
      <c r="AT400">
        <v>16</v>
      </c>
      <c r="AU400" t="s">
        <v>3</v>
      </c>
      <c r="AV400">
        <v>0</v>
      </c>
      <c r="AW400">
        <v>2</v>
      </c>
      <c r="AX400">
        <v>145051793</v>
      </c>
      <c r="AY400">
        <v>1</v>
      </c>
      <c r="AZ400">
        <v>0</v>
      </c>
      <c r="BA400">
        <v>400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ROUND(Y400*Source!I162,9)</f>
        <v>40.991999999999997</v>
      </c>
      <c r="CY400">
        <f t="shared" si="176"/>
        <v>93.63</v>
      </c>
      <c r="CZ400">
        <f t="shared" si="177"/>
        <v>10.75</v>
      </c>
      <c r="DA400">
        <f t="shared" si="178"/>
        <v>8.7100000000000009</v>
      </c>
      <c r="DB400">
        <f t="shared" si="179"/>
        <v>172</v>
      </c>
      <c r="DC400">
        <f t="shared" si="180"/>
        <v>0</v>
      </c>
      <c r="DD400" t="s">
        <v>3</v>
      </c>
      <c r="DE400" t="s">
        <v>3</v>
      </c>
      <c r="DF400">
        <f t="shared" si="181"/>
        <v>3838.08</v>
      </c>
      <c r="DG400">
        <f t="shared" si="182"/>
        <v>0</v>
      </c>
      <c r="DH400">
        <f t="shared" si="183"/>
        <v>0</v>
      </c>
      <c r="DI400">
        <f t="shared" si="169"/>
        <v>0</v>
      </c>
      <c r="DJ400">
        <f t="shared" si="184"/>
        <v>3838.08</v>
      </c>
      <c r="DK400">
        <v>0</v>
      </c>
      <c r="DL400" t="s">
        <v>3</v>
      </c>
      <c r="DM400">
        <v>0</v>
      </c>
      <c r="DN400" t="s">
        <v>3</v>
      </c>
      <c r="DO400">
        <v>0</v>
      </c>
    </row>
    <row r="401" spans="1:119" x14ac:dyDescent="0.2">
      <c r="A401">
        <f>ROW(Source!A162)</f>
        <v>162</v>
      </c>
      <c r="B401">
        <v>145033679</v>
      </c>
      <c r="C401">
        <v>145051781</v>
      </c>
      <c r="D401">
        <v>140775017</v>
      </c>
      <c r="E401">
        <v>1</v>
      </c>
      <c r="F401">
        <v>1</v>
      </c>
      <c r="G401">
        <v>1</v>
      </c>
      <c r="H401">
        <v>3</v>
      </c>
      <c r="I401" t="s">
        <v>977</v>
      </c>
      <c r="J401" t="s">
        <v>978</v>
      </c>
      <c r="K401" t="s">
        <v>979</v>
      </c>
      <c r="L401">
        <v>1346</v>
      </c>
      <c r="N401">
        <v>1009</v>
      </c>
      <c r="O401" t="s">
        <v>43</v>
      </c>
      <c r="P401" t="s">
        <v>43</v>
      </c>
      <c r="Q401">
        <v>1</v>
      </c>
      <c r="W401">
        <v>0</v>
      </c>
      <c r="X401">
        <v>-1864341761</v>
      </c>
      <c r="Y401">
        <f t="shared" si="175"/>
        <v>0</v>
      </c>
      <c r="AA401">
        <v>78.739999999999995</v>
      </c>
      <c r="AB401">
        <v>0</v>
      </c>
      <c r="AC401">
        <v>0</v>
      </c>
      <c r="AD401">
        <v>0</v>
      </c>
      <c r="AE401">
        <v>9.0399999999999991</v>
      </c>
      <c r="AF401">
        <v>0</v>
      </c>
      <c r="AG401">
        <v>0</v>
      </c>
      <c r="AH401">
        <v>0</v>
      </c>
      <c r="AI401">
        <v>8.7100000000000009</v>
      </c>
      <c r="AJ401">
        <v>1</v>
      </c>
      <c r="AK401">
        <v>1</v>
      </c>
      <c r="AL401">
        <v>1</v>
      </c>
      <c r="AM401">
        <v>4</v>
      </c>
      <c r="AN401">
        <v>1</v>
      </c>
      <c r="AO401">
        <v>0</v>
      </c>
      <c r="AP401">
        <v>0</v>
      </c>
      <c r="AQ401">
        <v>0</v>
      </c>
      <c r="AR401">
        <v>0</v>
      </c>
      <c r="AS401" t="s">
        <v>3</v>
      </c>
      <c r="AT401">
        <v>0</v>
      </c>
      <c r="AU401" t="s">
        <v>3</v>
      </c>
      <c r="AV401">
        <v>0</v>
      </c>
      <c r="AW401">
        <v>2</v>
      </c>
      <c r="AX401">
        <v>145051794</v>
      </c>
      <c r="AY401">
        <v>1</v>
      </c>
      <c r="AZ401">
        <v>0</v>
      </c>
      <c r="BA401">
        <v>401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ROUND(Y401*Source!I162,9)</f>
        <v>0</v>
      </c>
      <c r="CY401">
        <f t="shared" si="176"/>
        <v>78.739999999999995</v>
      </c>
      <c r="CZ401">
        <f t="shared" si="177"/>
        <v>9.0399999999999991</v>
      </c>
      <c r="DA401">
        <f t="shared" si="178"/>
        <v>8.7100000000000009</v>
      </c>
      <c r="DB401">
        <f t="shared" si="179"/>
        <v>0</v>
      </c>
      <c r="DC401">
        <f t="shared" si="180"/>
        <v>0</v>
      </c>
      <c r="DD401" t="s">
        <v>3</v>
      </c>
      <c r="DE401" t="s">
        <v>3</v>
      </c>
      <c r="DF401">
        <f t="shared" si="181"/>
        <v>0</v>
      </c>
      <c r="DG401">
        <f t="shared" si="182"/>
        <v>0</v>
      </c>
      <c r="DH401">
        <f t="shared" si="183"/>
        <v>0</v>
      </c>
      <c r="DI401">
        <f t="shared" si="169"/>
        <v>0</v>
      </c>
      <c r="DJ401">
        <f t="shared" si="184"/>
        <v>0</v>
      </c>
      <c r="DK401">
        <v>0</v>
      </c>
      <c r="DL401" t="s">
        <v>3</v>
      </c>
      <c r="DM401">
        <v>0</v>
      </c>
      <c r="DN401" t="s">
        <v>3</v>
      </c>
      <c r="DO401">
        <v>0</v>
      </c>
    </row>
    <row r="402" spans="1:119" x14ac:dyDescent="0.2">
      <c r="A402">
        <f>ROW(Source!A162)</f>
        <v>162</v>
      </c>
      <c r="B402">
        <v>145033679</v>
      </c>
      <c r="C402">
        <v>145051781</v>
      </c>
      <c r="D402">
        <v>140775118</v>
      </c>
      <c r="E402">
        <v>1</v>
      </c>
      <c r="F402">
        <v>1</v>
      </c>
      <c r="G402">
        <v>1</v>
      </c>
      <c r="H402">
        <v>3</v>
      </c>
      <c r="I402" t="s">
        <v>980</v>
      </c>
      <c r="J402" t="s">
        <v>981</v>
      </c>
      <c r="K402" t="s">
        <v>982</v>
      </c>
      <c r="L402">
        <v>1348</v>
      </c>
      <c r="N402">
        <v>1009</v>
      </c>
      <c r="O402" t="s">
        <v>105</v>
      </c>
      <c r="P402" t="s">
        <v>105</v>
      </c>
      <c r="Q402">
        <v>1000</v>
      </c>
      <c r="W402">
        <v>0</v>
      </c>
      <c r="X402">
        <v>-45966985</v>
      </c>
      <c r="Y402">
        <f t="shared" si="175"/>
        <v>1.0000000000000001E-5</v>
      </c>
      <c r="AA402">
        <v>104328.38</v>
      </c>
      <c r="AB402">
        <v>0</v>
      </c>
      <c r="AC402">
        <v>0</v>
      </c>
      <c r="AD402">
        <v>0</v>
      </c>
      <c r="AE402">
        <v>11978</v>
      </c>
      <c r="AF402">
        <v>0</v>
      </c>
      <c r="AG402">
        <v>0</v>
      </c>
      <c r="AH402">
        <v>0</v>
      </c>
      <c r="AI402">
        <v>8.7100000000000009</v>
      </c>
      <c r="AJ402">
        <v>1</v>
      </c>
      <c r="AK402">
        <v>1</v>
      </c>
      <c r="AL402">
        <v>1</v>
      </c>
      <c r="AM402">
        <v>4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3</v>
      </c>
      <c r="AT402">
        <v>1.0000000000000001E-5</v>
      </c>
      <c r="AU402" t="s">
        <v>3</v>
      </c>
      <c r="AV402">
        <v>0</v>
      </c>
      <c r="AW402">
        <v>2</v>
      </c>
      <c r="AX402">
        <v>145051795</v>
      </c>
      <c r="AY402">
        <v>1</v>
      </c>
      <c r="AZ402">
        <v>0</v>
      </c>
      <c r="BA402">
        <v>402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ROUND(Y402*Source!I162,9)</f>
        <v>2.5619999999999999E-5</v>
      </c>
      <c r="CY402">
        <f t="shared" si="176"/>
        <v>104328.38</v>
      </c>
      <c r="CZ402">
        <f t="shared" si="177"/>
        <v>11978</v>
      </c>
      <c r="DA402">
        <f t="shared" si="178"/>
        <v>8.7100000000000009</v>
      </c>
      <c r="DB402">
        <f t="shared" si="179"/>
        <v>0.12</v>
      </c>
      <c r="DC402">
        <f t="shared" si="180"/>
        <v>0</v>
      </c>
      <c r="DD402" t="s">
        <v>3</v>
      </c>
      <c r="DE402" t="s">
        <v>3</v>
      </c>
      <c r="DF402">
        <f t="shared" si="181"/>
        <v>2.67</v>
      </c>
      <c r="DG402">
        <f t="shared" si="182"/>
        <v>0</v>
      </c>
      <c r="DH402">
        <f t="shared" si="183"/>
        <v>0</v>
      </c>
      <c r="DI402">
        <f t="shared" si="169"/>
        <v>0</v>
      </c>
      <c r="DJ402">
        <f t="shared" si="184"/>
        <v>2.67</v>
      </c>
      <c r="DK402">
        <v>0</v>
      </c>
      <c r="DL402" t="s">
        <v>3</v>
      </c>
      <c r="DM402">
        <v>0</v>
      </c>
      <c r="DN402" t="s">
        <v>3</v>
      </c>
      <c r="DO402">
        <v>0</v>
      </c>
    </row>
    <row r="403" spans="1:119" x14ac:dyDescent="0.2">
      <c r="A403">
        <f>ROW(Source!A162)</f>
        <v>162</v>
      </c>
      <c r="B403">
        <v>145033679</v>
      </c>
      <c r="C403">
        <v>145051781</v>
      </c>
      <c r="D403">
        <v>140776229</v>
      </c>
      <c r="E403">
        <v>1</v>
      </c>
      <c r="F403">
        <v>1</v>
      </c>
      <c r="G403">
        <v>1</v>
      </c>
      <c r="H403">
        <v>3</v>
      </c>
      <c r="I403" t="s">
        <v>983</v>
      </c>
      <c r="J403" t="s">
        <v>984</v>
      </c>
      <c r="K403" t="s">
        <v>985</v>
      </c>
      <c r="L403">
        <v>1348</v>
      </c>
      <c r="N403">
        <v>1009</v>
      </c>
      <c r="O403" t="s">
        <v>105</v>
      </c>
      <c r="P403" t="s">
        <v>105</v>
      </c>
      <c r="Q403">
        <v>1000</v>
      </c>
      <c r="W403">
        <v>0</v>
      </c>
      <c r="X403">
        <v>-1671348935</v>
      </c>
      <c r="Y403">
        <f t="shared" si="175"/>
        <v>1E-4</v>
      </c>
      <c r="AA403">
        <v>330109</v>
      </c>
      <c r="AB403">
        <v>0</v>
      </c>
      <c r="AC403">
        <v>0</v>
      </c>
      <c r="AD403">
        <v>0</v>
      </c>
      <c r="AE403">
        <v>37900</v>
      </c>
      <c r="AF403">
        <v>0</v>
      </c>
      <c r="AG403">
        <v>0</v>
      </c>
      <c r="AH403">
        <v>0</v>
      </c>
      <c r="AI403">
        <v>8.7100000000000009</v>
      </c>
      <c r="AJ403">
        <v>1</v>
      </c>
      <c r="AK403">
        <v>1</v>
      </c>
      <c r="AL403">
        <v>1</v>
      </c>
      <c r="AM403">
        <v>4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3</v>
      </c>
      <c r="AT403">
        <v>1E-4</v>
      </c>
      <c r="AU403" t="s">
        <v>3</v>
      </c>
      <c r="AV403">
        <v>0</v>
      </c>
      <c r="AW403">
        <v>2</v>
      </c>
      <c r="AX403">
        <v>145051796</v>
      </c>
      <c r="AY403">
        <v>1</v>
      </c>
      <c r="AZ403">
        <v>0</v>
      </c>
      <c r="BA403">
        <v>403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ROUND(Y403*Source!I162,9)</f>
        <v>2.5619999999999999E-4</v>
      </c>
      <c r="CY403">
        <f t="shared" si="176"/>
        <v>330109</v>
      </c>
      <c r="CZ403">
        <f t="shared" si="177"/>
        <v>37900</v>
      </c>
      <c r="DA403">
        <f t="shared" si="178"/>
        <v>8.7100000000000009</v>
      </c>
      <c r="DB403">
        <f t="shared" si="179"/>
        <v>3.79</v>
      </c>
      <c r="DC403">
        <f t="shared" si="180"/>
        <v>0</v>
      </c>
      <c r="DD403" t="s">
        <v>3</v>
      </c>
      <c r="DE403" t="s">
        <v>3</v>
      </c>
      <c r="DF403">
        <f t="shared" si="181"/>
        <v>84.57</v>
      </c>
      <c r="DG403">
        <f t="shared" si="182"/>
        <v>0</v>
      </c>
      <c r="DH403">
        <f t="shared" si="183"/>
        <v>0</v>
      </c>
      <c r="DI403">
        <f t="shared" si="169"/>
        <v>0</v>
      </c>
      <c r="DJ403">
        <f t="shared" si="184"/>
        <v>84.57</v>
      </c>
      <c r="DK403">
        <v>0</v>
      </c>
      <c r="DL403" t="s">
        <v>3</v>
      </c>
      <c r="DM403">
        <v>0</v>
      </c>
      <c r="DN403" t="s">
        <v>3</v>
      </c>
      <c r="DO403">
        <v>0</v>
      </c>
    </row>
    <row r="404" spans="1:119" x14ac:dyDescent="0.2">
      <c r="A404">
        <f>ROW(Source!A162)</f>
        <v>162</v>
      </c>
      <c r="B404">
        <v>145033679</v>
      </c>
      <c r="C404">
        <v>145051781</v>
      </c>
      <c r="D404">
        <v>140761923</v>
      </c>
      <c r="E404">
        <v>70</v>
      </c>
      <c r="F404">
        <v>1</v>
      </c>
      <c r="G404">
        <v>1</v>
      </c>
      <c r="H404">
        <v>3</v>
      </c>
      <c r="I404" t="s">
        <v>1086</v>
      </c>
      <c r="J404" t="s">
        <v>3</v>
      </c>
      <c r="K404" t="s">
        <v>960</v>
      </c>
      <c r="L404">
        <v>1348</v>
      </c>
      <c r="N404">
        <v>1009</v>
      </c>
      <c r="O404" t="s">
        <v>105</v>
      </c>
      <c r="P404" t="s">
        <v>105</v>
      </c>
      <c r="Q404">
        <v>1000</v>
      </c>
      <c r="W404">
        <v>0</v>
      </c>
      <c r="X404">
        <v>2039399958</v>
      </c>
      <c r="Y404">
        <f t="shared" si="175"/>
        <v>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8.7100000000000009</v>
      </c>
      <c r="AJ404">
        <v>1</v>
      </c>
      <c r="AK404">
        <v>1</v>
      </c>
      <c r="AL404">
        <v>1</v>
      </c>
      <c r="AM404">
        <v>4</v>
      </c>
      <c r="AN404">
        <v>0</v>
      </c>
      <c r="AO404">
        <v>0</v>
      </c>
      <c r="AP404">
        <v>0</v>
      </c>
      <c r="AQ404">
        <v>0</v>
      </c>
      <c r="AR404">
        <v>0</v>
      </c>
      <c r="AS404" t="s">
        <v>3</v>
      </c>
      <c r="AT404">
        <v>1</v>
      </c>
      <c r="AU404" t="s">
        <v>3</v>
      </c>
      <c r="AV404">
        <v>0</v>
      </c>
      <c r="AW404">
        <v>2</v>
      </c>
      <c r="AX404">
        <v>145051797</v>
      </c>
      <c r="AY404">
        <v>1</v>
      </c>
      <c r="AZ404">
        <v>0</v>
      </c>
      <c r="BA404">
        <v>404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ROUND(Y404*Source!I162,9)</f>
        <v>2.5619999999999998</v>
      </c>
      <c r="CY404">
        <f t="shared" si="176"/>
        <v>0</v>
      </c>
      <c r="CZ404">
        <f t="shared" si="177"/>
        <v>0</v>
      </c>
      <c r="DA404">
        <f t="shared" si="178"/>
        <v>8.7100000000000009</v>
      </c>
      <c r="DB404">
        <f t="shared" si="179"/>
        <v>0</v>
      </c>
      <c r="DC404">
        <f t="shared" si="180"/>
        <v>0</v>
      </c>
      <c r="DD404" t="s">
        <v>3</v>
      </c>
      <c r="DE404" t="s">
        <v>3</v>
      </c>
      <c r="DF404">
        <f t="shared" si="181"/>
        <v>0</v>
      </c>
      <c r="DG404">
        <f t="shared" si="182"/>
        <v>0</v>
      </c>
      <c r="DH404">
        <f t="shared" si="183"/>
        <v>0</v>
      </c>
      <c r="DI404">
        <f t="shared" si="169"/>
        <v>0</v>
      </c>
      <c r="DJ404">
        <f t="shared" si="184"/>
        <v>0</v>
      </c>
      <c r="DK404">
        <v>0</v>
      </c>
      <c r="DL404" t="s">
        <v>3</v>
      </c>
      <c r="DM404">
        <v>0</v>
      </c>
      <c r="DN404" t="s">
        <v>3</v>
      </c>
      <c r="DO404">
        <v>0</v>
      </c>
    </row>
    <row r="405" spans="1:119" x14ac:dyDescent="0.2">
      <c r="A405">
        <f>ROW(Source!A162)</f>
        <v>162</v>
      </c>
      <c r="B405">
        <v>145033679</v>
      </c>
      <c r="C405">
        <v>145051781</v>
      </c>
      <c r="D405">
        <v>140789856</v>
      </c>
      <c r="E405">
        <v>1</v>
      </c>
      <c r="F405">
        <v>1</v>
      </c>
      <c r="G405">
        <v>1</v>
      </c>
      <c r="H405">
        <v>3</v>
      </c>
      <c r="I405" t="s">
        <v>986</v>
      </c>
      <c r="J405" t="s">
        <v>987</v>
      </c>
      <c r="K405" t="s">
        <v>988</v>
      </c>
      <c r="L405">
        <v>1348</v>
      </c>
      <c r="N405">
        <v>1009</v>
      </c>
      <c r="O405" t="s">
        <v>105</v>
      </c>
      <c r="P405" t="s">
        <v>105</v>
      </c>
      <c r="Q405">
        <v>1000</v>
      </c>
      <c r="W405">
        <v>0</v>
      </c>
      <c r="X405">
        <v>-1915778085</v>
      </c>
      <c r="Y405">
        <f t="shared" si="175"/>
        <v>1E-3</v>
      </c>
      <c r="AA405">
        <v>67171.520000000004</v>
      </c>
      <c r="AB405">
        <v>0</v>
      </c>
      <c r="AC405">
        <v>0</v>
      </c>
      <c r="AD405">
        <v>0</v>
      </c>
      <c r="AE405">
        <v>7712</v>
      </c>
      <c r="AF405">
        <v>0</v>
      </c>
      <c r="AG405">
        <v>0</v>
      </c>
      <c r="AH405">
        <v>0</v>
      </c>
      <c r="AI405">
        <v>8.7100000000000009</v>
      </c>
      <c r="AJ405">
        <v>1</v>
      </c>
      <c r="AK405">
        <v>1</v>
      </c>
      <c r="AL405">
        <v>1</v>
      </c>
      <c r="AM405">
        <v>4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1E-3</v>
      </c>
      <c r="AU405" t="s">
        <v>3</v>
      </c>
      <c r="AV405">
        <v>0</v>
      </c>
      <c r="AW405">
        <v>2</v>
      </c>
      <c r="AX405">
        <v>145051798</v>
      </c>
      <c r="AY405">
        <v>1</v>
      </c>
      <c r="AZ405">
        <v>0</v>
      </c>
      <c r="BA405">
        <v>405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ROUND(Y405*Source!I162,9)</f>
        <v>2.562E-3</v>
      </c>
      <c r="CY405">
        <f t="shared" si="176"/>
        <v>67171.520000000004</v>
      </c>
      <c r="CZ405">
        <f t="shared" si="177"/>
        <v>7712</v>
      </c>
      <c r="DA405">
        <f t="shared" si="178"/>
        <v>8.7100000000000009</v>
      </c>
      <c r="DB405">
        <f t="shared" si="179"/>
        <v>7.71</v>
      </c>
      <c r="DC405">
        <f t="shared" si="180"/>
        <v>0</v>
      </c>
      <c r="DD405" t="s">
        <v>3</v>
      </c>
      <c r="DE405" t="s">
        <v>3</v>
      </c>
      <c r="DF405">
        <f t="shared" si="181"/>
        <v>172.09</v>
      </c>
      <c r="DG405">
        <f t="shared" si="182"/>
        <v>0</v>
      </c>
      <c r="DH405">
        <f t="shared" si="183"/>
        <v>0</v>
      </c>
      <c r="DI405">
        <f t="shared" si="169"/>
        <v>0</v>
      </c>
      <c r="DJ405">
        <f t="shared" si="184"/>
        <v>172.09</v>
      </c>
      <c r="DK405">
        <v>0</v>
      </c>
      <c r="DL405" t="s">
        <v>3</v>
      </c>
      <c r="DM405">
        <v>0</v>
      </c>
      <c r="DN405" t="s">
        <v>3</v>
      </c>
      <c r="DO405">
        <v>0</v>
      </c>
    </row>
    <row r="406" spans="1:119" x14ac:dyDescent="0.2">
      <c r="A406">
        <f>ROW(Source!A162)</f>
        <v>162</v>
      </c>
      <c r="B406">
        <v>145033679</v>
      </c>
      <c r="C406">
        <v>145051781</v>
      </c>
      <c r="D406">
        <v>140791984</v>
      </c>
      <c r="E406">
        <v>1</v>
      </c>
      <c r="F406">
        <v>1</v>
      </c>
      <c r="G406">
        <v>1</v>
      </c>
      <c r="H406">
        <v>3</v>
      </c>
      <c r="I406" t="s">
        <v>989</v>
      </c>
      <c r="J406" t="s">
        <v>990</v>
      </c>
      <c r="K406" t="s">
        <v>991</v>
      </c>
      <c r="L406">
        <v>1302</v>
      </c>
      <c r="N406">
        <v>1003</v>
      </c>
      <c r="O406" t="s">
        <v>928</v>
      </c>
      <c r="P406" t="s">
        <v>928</v>
      </c>
      <c r="Q406">
        <v>10</v>
      </c>
      <c r="W406">
        <v>0</v>
      </c>
      <c r="X406">
        <v>581091037</v>
      </c>
      <c r="Y406">
        <f t="shared" si="175"/>
        <v>1.8700000000000001E-2</v>
      </c>
      <c r="AA406">
        <v>437.59</v>
      </c>
      <c r="AB406">
        <v>0</v>
      </c>
      <c r="AC406">
        <v>0</v>
      </c>
      <c r="AD406">
        <v>0</v>
      </c>
      <c r="AE406">
        <v>50.24</v>
      </c>
      <c r="AF406">
        <v>0</v>
      </c>
      <c r="AG406">
        <v>0</v>
      </c>
      <c r="AH406">
        <v>0</v>
      </c>
      <c r="AI406">
        <v>8.7100000000000009</v>
      </c>
      <c r="AJ406">
        <v>1</v>
      </c>
      <c r="AK406">
        <v>1</v>
      </c>
      <c r="AL406">
        <v>1</v>
      </c>
      <c r="AM406">
        <v>4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3</v>
      </c>
      <c r="AT406">
        <v>1.8700000000000001E-2</v>
      </c>
      <c r="AU406" t="s">
        <v>3</v>
      </c>
      <c r="AV406">
        <v>0</v>
      </c>
      <c r="AW406">
        <v>2</v>
      </c>
      <c r="AX406">
        <v>145051799</v>
      </c>
      <c r="AY406">
        <v>1</v>
      </c>
      <c r="AZ406">
        <v>0</v>
      </c>
      <c r="BA406">
        <v>406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ROUND(Y406*Source!I162,9)</f>
        <v>4.7909399999999998E-2</v>
      </c>
      <c r="CY406">
        <f t="shared" si="176"/>
        <v>437.59</v>
      </c>
      <c r="CZ406">
        <f t="shared" si="177"/>
        <v>50.24</v>
      </c>
      <c r="DA406">
        <f t="shared" si="178"/>
        <v>8.7100000000000009</v>
      </c>
      <c r="DB406">
        <f t="shared" si="179"/>
        <v>0.94</v>
      </c>
      <c r="DC406">
        <f t="shared" si="180"/>
        <v>0</v>
      </c>
      <c r="DD406" t="s">
        <v>3</v>
      </c>
      <c r="DE406" t="s">
        <v>3</v>
      </c>
      <c r="DF406">
        <f t="shared" si="181"/>
        <v>20.96</v>
      </c>
      <c r="DG406">
        <f t="shared" si="182"/>
        <v>0</v>
      </c>
      <c r="DH406">
        <f t="shared" si="183"/>
        <v>0</v>
      </c>
      <c r="DI406">
        <f t="shared" si="169"/>
        <v>0</v>
      </c>
      <c r="DJ406">
        <f t="shared" si="184"/>
        <v>20.96</v>
      </c>
      <c r="DK406">
        <v>0</v>
      </c>
      <c r="DL406" t="s">
        <v>3</v>
      </c>
      <c r="DM406">
        <v>0</v>
      </c>
      <c r="DN406" t="s">
        <v>3</v>
      </c>
      <c r="DO406">
        <v>0</v>
      </c>
    </row>
    <row r="407" spans="1:119" x14ac:dyDescent="0.2">
      <c r="A407">
        <f>ROW(Source!A162)</f>
        <v>162</v>
      </c>
      <c r="B407">
        <v>145033679</v>
      </c>
      <c r="C407">
        <v>145051781</v>
      </c>
      <c r="D407">
        <v>140792339</v>
      </c>
      <c r="E407">
        <v>1</v>
      </c>
      <c r="F407">
        <v>1</v>
      </c>
      <c r="G407">
        <v>1</v>
      </c>
      <c r="H407">
        <v>3</v>
      </c>
      <c r="I407" t="s">
        <v>832</v>
      </c>
      <c r="J407" t="s">
        <v>833</v>
      </c>
      <c r="K407" t="s">
        <v>834</v>
      </c>
      <c r="L407">
        <v>1348</v>
      </c>
      <c r="N407">
        <v>1009</v>
      </c>
      <c r="O407" t="s">
        <v>105</v>
      </c>
      <c r="P407" t="s">
        <v>105</v>
      </c>
      <c r="Q407">
        <v>1000</v>
      </c>
      <c r="W407">
        <v>0</v>
      </c>
      <c r="X407">
        <v>-120483918</v>
      </c>
      <c r="Y407">
        <f t="shared" si="175"/>
        <v>3.0000000000000001E-5</v>
      </c>
      <c r="AA407">
        <v>38804.79</v>
      </c>
      <c r="AB407">
        <v>0</v>
      </c>
      <c r="AC407">
        <v>0</v>
      </c>
      <c r="AD407">
        <v>0</v>
      </c>
      <c r="AE407">
        <v>4455.2</v>
      </c>
      <c r="AF407">
        <v>0</v>
      </c>
      <c r="AG407">
        <v>0</v>
      </c>
      <c r="AH407">
        <v>0</v>
      </c>
      <c r="AI407">
        <v>8.7100000000000009</v>
      </c>
      <c r="AJ407">
        <v>1</v>
      </c>
      <c r="AK407">
        <v>1</v>
      </c>
      <c r="AL407">
        <v>1</v>
      </c>
      <c r="AM407">
        <v>4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3.0000000000000001E-5</v>
      </c>
      <c r="AU407" t="s">
        <v>3</v>
      </c>
      <c r="AV407">
        <v>0</v>
      </c>
      <c r="AW407">
        <v>2</v>
      </c>
      <c r="AX407">
        <v>145051800</v>
      </c>
      <c r="AY407">
        <v>1</v>
      </c>
      <c r="AZ407">
        <v>0</v>
      </c>
      <c r="BA407">
        <v>407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ROUND(Y407*Source!I162,9)</f>
        <v>7.6860000000000006E-5</v>
      </c>
      <c r="CY407">
        <f t="shared" si="176"/>
        <v>38804.79</v>
      </c>
      <c r="CZ407">
        <f t="shared" si="177"/>
        <v>4455.2</v>
      </c>
      <c r="DA407">
        <f t="shared" si="178"/>
        <v>8.7100000000000009</v>
      </c>
      <c r="DB407">
        <f t="shared" si="179"/>
        <v>0.13</v>
      </c>
      <c r="DC407">
        <f t="shared" si="180"/>
        <v>0</v>
      </c>
      <c r="DD407" t="s">
        <v>3</v>
      </c>
      <c r="DE407" t="s">
        <v>3</v>
      </c>
      <c r="DF407">
        <f t="shared" si="181"/>
        <v>2.98</v>
      </c>
      <c r="DG407">
        <f t="shared" si="182"/>
        <v>0</v>
      </c>
      <c r="DH407">
        <f t="shared" si="183"/>
        <v>0</v>
      </c>
      <c r="DI407">
        <f t="shared" si="169"/>
        <v>0</v>
      </c>
      <c r="DJ407">
        <f t="shared" si="184"/>
        <v>2.98</v>
      </c>
      <c r="DK407">
        <v>0</v>
      </c>
      <c r="DL407" t="s">
        <v>3</v>
      </c>
      <c r="DM407">
        <v>0</v>
      </c>
      <c r="DN407" t="s">
        <v>3</v>
      </c>
      <c r="DO407">
        <v>0</v>
      </c>
    </row>
    <row r="408" spans="1:119" x14ac:dyDescent="0.2">
      <c r="A408">
        <f>ROW(Source!A162)</f>
        <v>162</v>
      </c>
      <c r="B408">
        <v>145033679</v>
      </c>
      <c r="C408">
        <v>145051781</v>
      </c>
      <c r="D408">
        <v>140793072</v>
      </c>
      <c r="E408">
        <v>1</v>
      </c>
      <c r="F408">
        <v>1</v>
      </c>
      <c r="G408">
        <v>1</v>
      </c>
      <c r="H408">
        <v>3</v>
      </c>
      <c r="I408" t="s">
        <v>992</v>
      </c>
      <c r="J408" t="s">
        <v>993</v>
      </c>
      <c r="K408" t="s">
        <v>994</v>
      </c>
      <c r="L408">
        <v>1348</v>
      </c>
      <c r="N408">
        <v>1009</v>
      </c>
      <c r="O408" t="s">
        <v>105</v>
      </c>
      <c r="P408" t="s">
        <v>105</v>
      </c>
      <c r="Q408">
        <v>1000</v>
      </c>
      <c r="W408">
        <v>0</v>
      </c>
      <c r="X408">
        <v>834877976</v>
      </c>
      <c r="Y408">
        <f t="shared" si="175"/>
        <v>1.9400000000000001E-3</v>
      </c>
      <c r="AA408">
        <v>42853.2</v>
      </c>
      <c r="AB408">
        <v>0</v>
      </c>
      <c r="AC408">
        <v>0</v>
      </c>
      <c r="AD408">
        <v>0</v>
      </c>
      <c r="AE408">
        <v>4920</v>
      </c>
      <c r="AF408">
        <v>0</v>
      </c>
      <c r="AG408">
        <v>0</v>
      </c>
      <c r="AH408">
        <v>0</v>
      </c>
      <c r="AI408">
        <v>8.7100000000000009</v>
      </c>
      <c r="AJ408">
        <v>1</v>
      </c>
      <c r="AK408">
        <v>1</v>
      </c>
      <c r="AL408">
        <v>1</v>
      </c>
      <c r="AM408">
        <v>4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3</v>
      </c>
      <c r="AT408">
        <v>1.9400000000000001E-3</v>
      </c>
      <c r="AU408" t="s">
        <v>3</v>
      </c>
      <c r="AV408">
        <v>0</v>
      </c>
      <c r="AW408">
        <v>2</v>
      </c>
      <c r="AX408">
        <v>145051801</v>
      </c>
      <c r="AY408">
        <v>1</v>
      </c>
      <c r="AZ408">
        <v>0</v>
      </c>
      <c r="BA408">
        <v>408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ROUND(Y408*Source!I162,9)</f>
        <v>4.9702799999999997E-3</v>
      </c>
      <c r="CY408">
        <f t="shared" si="176"/>
        <v>42853.2</v>
      </c>
      <c r="CZ408">
        <f t="shared" si="177"/>
        <v>4920</v>
      </c>
      <c r="DA408">
        <f t="shared" si="178"/>
        <v>8.7100000000000009</v>
      </c>
      <c r="DB408">
        <f t="shared" si="179"/>
        <v>9.5399999999999991</v>
      </c>
      <c r="DC408">
        <f t="shared" si="180"/>
        <v>0</v>
      </c>
      <c r="DD408" t="s">
        <v>3</v>
      </c>
      <c r="DE408" t="s">
        <v>3</v>
      </c>
      <c r="DF408">
        <f t="shared" si="181"/>
        <v>212.99</v>
      </c>
      <c r="DG408">
        <f t="shared" si="182"/>
        <v>0</v>
      </c>
      <c r="DH408">
        <f t="shared" si="183"/>
        <v>0</v>
      </c>
      <c r="DI408">
        <f t="shared" si="169"/>
        <v>0</v>
      </c>
      <c r="DJ408">
        <f t="shared" si="184"/>
        <v>212.99</v>
      </c>
      <c r="DK408">
        <v>0</v>
      </c>
      <c r="DL408" t="s">
        <v>3</v>
      </c>
      <c r="DM408">
        <v>0</v>
      </c>
      <c r="DN408" t="s">
        <v>3</v>
      </c>
      <c r="DO408">
        <v>0</v>
      </c>
    </row>
    <row r="409" spans="1:119" x14ac:dyDescent="0.2">
      <c r="A409">
        <f>ROW(Source!A162)</f>
        <v>162</v>
      </c>
      <c r="B409">
        <v>145033679</v>
      </c>
      <c r="C409">
        <v>145051781</v>
      </c>
      <c r="D409">
        <v>140804058</v>
      </c>
      <c r="E409">
        <v>1</v>
      </c>
      <c r="F409">
        <v>1</v>
      </c>
      <c r="G409">
        <v>1</v>
      </c>
      <c r="H409">
        <v>3</v>
      </c>
      <c r="I409" t="s">
        <v>998</v>
      </c>
      <c r="J409" t="s">
        <v>999</v>
      </c>
      <c r="K409" t="s">
        <v>1000</v>
      </c>
      <c r="L409">
        <v>1348</v>
      </c>
      <c r="N409">
        <v>1009</v>
      </c>
      <c r="O409" t="s">
        <v>105</v>
      </c>
      <c r="P409" t="s">
        <v>105</v>
      </c>
      <c r="Q409">
        <v>1000</v>
      </c>
      <c r="W409">
        <v>0</v>
      </c>
      <c r="X409">
        <v>264248573</v>
      </c>
      <c r="Y409">
        <f t="shared" si="175"/>
        <v>3.1E-4</v>
      </c>
      <c r="AA409">
        <v>136050.20000000001</v>
      </c>
      <c r="AB409">
        <v>0</v>
      </c>
      <c r="AC409">
        <v>0</v>
      </c>
      <c r="AD409">
        <v>0</v>
      </c>
      <c r="AE409">
        <v>15620</v>
      </c>
      <c r="AF409">
        <v>0</v>
      </c>
      <c r="AG409">
        <v>0</v>
      </c>
      <c r="AH409">
        <v>0</v>
      </c>
      <c r="AI409">
        <v>8.7100000000000009</v>
      </c>
      <c r="AJ409">
        <v>1</v>
      </c>
      <c r="AK409">
        <v>1</v>
      </c>
      <c r="AL409">
        <v>1</v>
      </c>
      <c r="AM409">
        <v>4</v>
      </c>
      <c r="AN409">
        <v>0</v>
      </c>
      <c r="AO409">
        <v>1</v>
      </c>
      <c r="AP409">
        <v>0</v>
      </c>
      <c r="AQ409">
        <v>0</v>
      </c>
      <c r="AR409">
        <v>0</v>
      </c>
      <c r="AS409" t="s">
        <v>3</v>
      </c>
      <c r="AT409">
        <v>3.1E-4</v>
      </c>
      <c r="AU409" t="s">
        <v>3</v>
      </c>
      <c r="AV409">
        <v>0</v>
      </c>
      <c r="AW409">
        <v>2</v>
      </c>
      <c r="AX409">
        <v>145051802</v>
      </c>
      <c r="AY409">
        <v>1</v>
      </c>
      <c r="AZ409">
        <v>0</v>
      </c>
      <c r="BA409">
        <v>409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ROUND(Y409*Source!I162,9)</f>
        <v>7.9422E-4</v>
      </c>
      <c r="CY409">
        <f t="shared" si="176"/>
        <v>136050.20000000001</v>
      </c>
      <c r="CZ409">
        <f t="shared" si="177"/>
        <v>15620</v>
      </c>
      <c r="DA409">
        <f t="shared" si="178"/>
        <v>8.7100000000000009</v>
      </c>
      <c r="DB409">
        <f t="shared" si="179"/>
        <v>4.84</v>
      </c>
      <c r="DC409">
        <f t="shared" si="180"/>
        <v>0</v>
      </c>
      <c r="DD409" t="s">
        <v>3</v>
      </c>
      <c r="DE409" t="s">
        <v>3</v>
      </c>
      <c r="DF409">
        <f t="shared" si="181"/>
        <v>108.05</v>
      </c>
      <c r="DG409">
        <f t="shared" si="182"/>
        <v>0</v>
      </c>
      <c r="DH409">
        <f t="shared" si="183"/>
        <v>0</v>
      </c>
      <c r="DI409">
        <f t="shared" si="169"/>
        <v>0</v>
      </c>
      <c r="DJ409">
        <f t="shared" si="184"/>
        <v>108.05</v>
      </c>
      <c r="DK409">
        <v>0</v>
      </c>
      <c r="DL409" t="s">
        <v>3</v>
      </c>
      <c r="DM409">
        <v>0</v>
      </c>
      <c r="DN409" t="s">
        <v>3</v>
      </c>
      <c r="DO409">
        <v>0</v>
      </c>
    </row>
    <row r="410" spans="1:119" x14ac:dyDescent="0.2">
      <c r="A410">
        <f>ROW(Source!A162)</f>
        <v>162</v>
      </c>
      <c r="B410">
        <v>145033679</v>
      </c>
      <c r="C410">
        <v>145051781</v>
      </c>
      <c r="D410">
        <v>140805182</v>
      </c>
      <c r="E410">
        <v>1</v>
      </c>
      <c r="F410">
        <v>1</v>
      </c>
      <c r="G410">
        <v>1</v>
      </c>
      <c r="H410">
        <v>3</v>
      </c>
      <c r="I410" t="s">
        <v>1001</v>
      </c>
      <c r="J410" t="s">
        <v>1002</v>
      </c>
      <c r="K410" t="s">
        <v>1003</v>
      </c>
      <c r="L410">
        <v>1346</v>
      </c>
      <c r="N410">
        <v>1009</v>
      </c>
      <c r="O410" t="s">
        <v>43</v>
      </c>
      <c r="P410" t="s">
        <v>43</v>
      </c>
      <c r="Q410">
        <v>1</v>
      </c>
      <c r="W410">
        <v>0</v>
      </c>
      <c r="X410">
        <v>-1449230318</v>
      </c>
      <c r="Y410">
        <f t="shared" si="175"/>
        <v>0.6</v>
      </c>
      <c r="AA410">
        <v>82.05</v>
      </c>
      <c r="AB410">
        <v>0</v>
      </c>
      <c r="AC410">
        <v>0</v>
      </c>
      <c r="AD410">
        <v>0</v>
      </c>
      <c r="AE410">
        <v>9.42</v>
      </c>
      <c r="AF410">
        <v>0</v>
      </c>
      <c r="AG410">
        <v>0</v>
      </c>
      <c r="AH410">
        <v>0</v>
      </c>
      <c r="AI410">
        <v>8.7100000000000009</v>
      </c>
      <c r="AJ410">
        <v>1</v>
      </c>
      <c r="AK410">
        <v>1</v>
      </c>
      <c r="AL410">
        <v>1</v>
      </c>
      <c r="AM410">
        <v>4</v>
      </c>
      <c r="AN410">
        <v>0</v>
      </c>
      <c r="AO410">
        <v>1</v>
      </c>
      <c r="AP410">
        <v>0</v>
      </c>
      <c r="AQ410">
        <v>0</v>
      </c>
      <c r="AR410">
        <v>0</v>
      </c>
      <c r="AS410" t="s">
        <v>3</v>
      </c>
      <c r="AT410">
        <v>0.6</v>
      </c>
      <c r="AU410" t="s">
        <v>3</v>
      </c>
      <c r="AV410">
        <v>0</v>
      </c>
      <c r="AW410">
        <v>2</v>
      </c>
      <c r="AX410">
        <v>145051803</v>
      </c>
      <c r="AY410">
        <v>1</v>
      </c>
      <c r="AZ410">
        <v>0</v>
      </c>
      <c r="BA410">
        <v>410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ROUND(Y410*Source!I162,9)</f>
        <v>1.5371999999999999</v>
      </c>
      <c r="CY410">
        <f t="shared" si="176"/>
        <v>82.05</v>
      </c>
      <c r="CZ410">
        <f t="shared" si="177"/>
        <v>9.42</v>
      </c>
      <c r="DA410">
        <f t="shared" si="178"/>
        <v>8.7100000000000009</v>
      </c>
      <c r="DB410">
        <f t="shared" si="179"/>
        <v>5.65</v>
      </c>
      <c r="DC410">
        <f t="shared" si="180"/>
        <v>0</v>
      </c>
      <c r="DD410" t="s">
        <v>3</v>
      </c>
      <c r="DE410" t="s">
        <v>3</v>
      </c>
      <c r="DF410">
        <f t="shared" si="181"/>
        <v>126.13</v>
      </c>
      <c r="DG410">
        <f t="shared" si="182"/>
        <v>0</v>
      </c>
      <c r="DH410">
        <f t="shared" si="183"/>
        <v>0</v>
      </c>
      <c r="DI410">
        <f t="shared" si="169"/>
        <v>0</v>
      </c>
      <c r="DJ410">
        <f t="shared" si="184"/>
        <v>126.13</v>
      </c>
      <c r="DK410">
        <v>0</v>
      </c>
      <c r="DL410" t="s">
        <v>3</v>
      </c>
      <c r="DM410">
        <v>0</v>
      </c>
      <c r="DN410" t="s">
        <v>3</v>
      </c>
      <c r="DO410">
        <v>0</v>
      </c>
    </row>
    <row r="411" spans="1:119" x14ac:dyDescent="0.2">
      <c r="A411">
        <f>ROW(Source!A164)</f>
        <v>164</v>
      </c>
      <c r="B411">
        <v>145033679</v>
      </c>
      <c r="C411">
        <v>145051893</v>
      </c>
      <c r="D411">
        <v>140755433</v>
      </c>
      <c r="E411">
        <v>70</v>
      </c>
      <c r="F411">
        <v>1</v>
      </c>
      <c r="G411">
        <v>1</v>
      </c>
      <c r="H411">
        <v>1</v>
      </c>
      <c r="I411" t="s">
        <v>745</v>
      </c>
      <c r="J411" t="s">
        <v>3</v>
      </c>
      <c r="K411" t="s">
        <v>746</v>
      </c>
      <c r="L411">
        <v>1191</v>
      </c>
      <c r="N411">
        <v>1013</v>
      </c>
      <c r="O411" t="s">
        <v>725</v>
      </c>
      <c r="P411" t="s">
        <v>725</v>
      </c>
      <c r="Q411">
        <v>1</v>
      </c>
      <c r="W411">
        <v>0</v>
      </c>
      <c r="X411">
        <v>1049124552</v>
      </c>
      <c r="Y411">
        <f t="shared" si="175"/>
        <v>7.0000000000000007E-2</v>
      </c>
      <c r="AA411">
        <v>0</v>
      </c>
      <c r="AB411">
        <v>0</v>
      </c>
      <c r="AC411">
        <v>0</v>
      </c>
      <c r="AD411">
        <v>260.51</v>
      </c>
      <c r="AE411">
        <v>0</v>
      </c>
      <c r="AF411">
        <v>0</v>
      </c>
      <c r="AG411">
        <v>0</v>
      </c>
      <c r="AH411">
        <v>8.5299999999999994</v>
      </c>
      <c r="AI411">
        <v>1</v>
      </c>
      <c r="AJ411">
        <v>1</v>
      </c>
      <c r="AK411">
        <v>1</v>
      </c>
      <c r="AL411">
        <v>30.54</v>
      </c>
      <c r="AM411">
        <v>4</v>
      </c>
      <c r="AN411">
        <v>0</v>
      </c>
      <c r="AO411">
        <v>1</v>
      </c>
      <c r="AP411">
        <v>1</v>
      </c>
      <c r="AQ411">
        <v>0</v>
      </c>
      <c r="AR411">
        <v>0</v>
      </c>
      <c r="AS411" t="s">
        <v>3</v>
      </c>
      <c r="AT411">
        <v>7.0000000000000007E-2</v>
      </c>
      <c r="AU411" t="s">
        <v>3</v>
      </c>
      <c r="AV411">
        <v>1</v>
      </c>
      <c r="AW411">
        <v>2</v>
      </c>
      <c r="AX411">
        <v>145051896</v>
      </c>
      <c r="AY411">
        <v>1</v>
      </c>
      <c r="AZ411">
        <v>0</v>
      </c>
      <c r="BA411">
        <v>411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ROUND(Y411*Source!I164,9)</f>
        <v>11.76</v>
      </c>
      <c r="CY411">
        <f>AD411</f>
        <v>260.51</v>
      </c>
      <c r="CZ411">
        <f>AH411</f>
        <v>8.5299999999999994</v>
      </c>
      <c r="DA411">
        <f>AL411</f>
        <v>30.54</v>
      </c>
      <c r="DB411">
        <f t="shared" si="179"/>
        <v>0.6</v>
      </c>
      <c r="DC411">
        <f t="shared" si="180"/>
        <v>0</v>
      </c>
      <c r="DD411" t="s">
        <v>3</v>
      </c>
      <c r="DE411" t="s">
        <v>3</v>
      </c>
      <c r="DF411">
        <f t="shared" ref="DF411:DF417" si="185">ROUND(ROUND(AE411,2)*CX411,2)</f>
        <v>0</v>
      </c>
      <c r="DG411">
        <f t="shared" si="182"/>
        <v>0</v>
      </c>
      <c r="DH411">
        <f t="shared" si="183"/>
        <v>0</v>
      </c>
      <c r="DI411">
        <f>ROUND(ROUND(AH411*AL411,2)*CX411,2)</f>
        <v>3063.6</v>
      </c>
      <c r="DJ411">
        <f>DI411</f>
        <v>3063.6</v>
      </c>
      <c r="DK411">
        <v>0</v>
      </c>
      <c r="DL411" t="s">
        <v>3</v>
      </c>
      <c r="DM411">
        <v>0</v>
      </c>
      <c r="DN411" t="s">
        <v>3</v>
      </c>
      <c r="DO411">
        <v>0</v>
      </c>
    </row>
    <row r="412" spans="1:119" x14ac:dyDescent="0.2">
      <c r="A412">
        <f>ROW(Source!A164)</f>
        <v>164</v>
      </c>
      <c r="B412">
        <v>145033679</v>
      </c>
      <c r="C412">
        <v>145051893</v>
      </c>
      <c r="D412">
        <v>140924755</v>
      </c>
      <c r="E412">
        <v>1</v>
      </c>
      <c r="F412">
        <v>1</v>
      </c>
      <c r="G412">
        <v>1</v>
      </c>
      <c r="H412">
        <v>2</v>
      </c>
      <c r="I412" t="s">
        <v>1066</v>
      </c>
      <c r="J412" t="s">
        <v>1067</v>
      </c>
      <c r="K412" t="s">
        <v>1068</v>
      </c>
      <c r="L412">
        <v>1367</v>
      </c>
      <c r="N412">
        <v>1011</v>
      </c>
      <c r="O412" t="s">
        <v>79</v>
      </c>
      <c r="P412" t="s">
        <v>79</v>
      </c>
      <c r="Q412">
        <v>1</v>
      </c>
      <c r="W412">
        <v>0</v>
      </c>
      <c r="X412">
        <v>893954064</v>
      </c>
      <c r="Y412">
        <f t="shared" si="175"/>
        <v>0.1</v>
      </c>
      <c r="AA412">
        <v>0</v>
      </c>
      <c r="AB412">
        <v>39.909999999999997</v>
      </c>
      <c r="AC412">
        <v>0</v>
      </c>
      <c r="AD412">
        <v>0</v>
      </c>
      <c r="AE412">
        <v>0</v>
      </c>
      <c r="AF412">
        <v>3.29</v>
      </c>
      <c r="AG412">
        <v>0</v>
      </c>
      <c r="AH412">
        <v>0</v>
      </c>
      <c r="AI412">
        <v>1</v>
      </c>
      <c r="AJ412">
        <v>12.13</v>
      </c>
      <c r="AK412">
        <v>30.54</v>
      </c>
      <c r="AL412">
        <v>1</v>
      </c>
      <c r="AM412">
        <v>4</v>
      </c>
      <c r="AN412">
        <v>0</v>
      </c>
      <c r="AO412">
        <v>1</v>
      </c>
      <c r="AP412">
        <v>1</v>
      </c>
      <c r="AQ412">
        <v>0</v>
      </c>
      <c r="AR412">
        <v>0</v>
      </c>
      <c r="AS412" t="s">
        <v>3</v>
      </c>
      <c r="AT412">
        <v>0.1</v>
      </c>
      <c r="AU412" t="s">
        <v>3</v>
      </c>
      <c r="AV412">
        <v>0</v>
      </c>
      <c r="AW412">
        <v>2</v>
      </c>
      <c r="AX412">
        <v>145051897</v>
      </c>
      <c r="AY412">
        <v>1</v>
      </c>
      <c r="AZ412">
        <v>0</v>
      </c>
      <c r="BA412">
        <v>412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ROUND(Y412*Source!I164,9)</f>
        <v>16.8</v>
      </c>
      <c r="CY412">
        <f>AB412</f>
        <v>39.909999999999997</v>
      </c>
      <c r="CZ412">
        <f>AF412</f>
        <v>3.29</v>
      </c>
      <c r="DA412">
        <f>AJ412</f>
        <v>12.13</v>
      </c>
      <c r="DB412">
        <f t="shared" si="179"/>
        <v>0.33</v>
      </c>
      <c r="DC412">
        <f t="shared" si="180"/>
        <v>0</v>
      </c>
      <c r="DD412" t="s">
        <v>3</v>
      </c>
      <c r="DE412" t="s">
        <v>3</v>
      </c>
      <c r="DF412">
        <f t="shared" si="185"/>
        <v>0</v>
      </c>
      <c r="DG412">
        <f>ROUND(ROUND(AF412*AJ412,2)*CX412,2)</f>
        <v>670.49</v>
      </c>
      <c r="DH412">
        <f>ROUND(ROUND(AG412*AK412,2)*CX412,2)</f>
        <v>0</v>
      </c>
      <c r="DI412">
        <f>ROUND(ROUND(AH412,2)*CX412,2)</f>
        <v>0</v>
      </c>
      <c r="DJ412">
        <f>DG412</f>
        <v>670.49</v>
      </c>
      <c r="DK412">
        <v>0</v>
      </c>
      <c r="DL412" t="s">
        <v>3</v>
      </c>
      <c r="DM412">
        <v>0</v>
      </c>
      <c r="DN412" t="s">
        <v>3</v>
      </c>
      <c r="DO412">
        <v>0</v>
      </c>
    </row>
    <row r="413" spans="1:119" x14ac:dyDescent="0.2">
      <c r="A413">
        <f>ROW(Source!A165)</f>
        <v>165</v>
      </c>
      <c r="B413">
        <v>145033679</v>
      </c>
      <c r="C413">
        <v>145051898</v>
      </c>
      <c r="D413">
        <v>140755435</v>
      </c>
      <c r="E413">
        <v>70</v>
      </c>
      <c r="F413">
        <v>1</v>
      </c>
      <c r="G413">
        <v>1</v>
      </c>
      <c r="H413">
        <v>1</v>
      </c>
      <c r="I413" t="s">
        <v>848</v>
      </c>
      <c r="J413" t="s">
        <v>3</v>
      </c>
      <c r="K413" t="s">
        <v>849</v>
      </c>
      <c r="L413">
        <v>1191</v>
      </c>
      <c r="N413">
        <v>1013</v>
      </c>
      <c r="O413" t="s">
        <v>725</v>
      </c>
      <c r="P413" t="s">
        <v>725</v>
      </c>
      <c r="Q413">
        <v>1</v>
      </c>
      <c r="W413">
        <v>0</v>
      </c>
      <c r="X413">
        <v>784619160</v>
      </c>
      <c r="Y413">
        <f t="shared" si="175"/>
        <v>9.08</v>
      </c>
      <c r="AA413">
        <v>0</v>
      </c>
      <c r="AB413">
        <v>0</v>
      </c>
      <c r="AC413">
        <v>0</v>
      </c>
      <c r="AD413">
        <v>266.92</v>
      </c>
      <c r="AE413">
        <v>0</v>
      </c>
      <c r="AF413">
        <v>0</v>
      </c>
      <c r="AG413">
        <v>0</v>
      </c>
      <c r="AH413">
        <v>8.74</v>
      </c>
      <c r="AI413">
        <v>1</v>
      </c>
      <c r="AJ413">
        <v>1</v>
      </c>
      <c r="AK413">
        <v>1</v>
      </c>
      <c r="AL413">
        <v>30.54</v>
      </c>
      <c r="AM413">
        <v>4</v>
      </c>
      <c r="AN413">
        <v>0</v>
      </c>
      <c r="AO413">
        <v>1</v>
      </c>
      <c r="AP413">
        <v>1</v>
      </c>
      <c r="AQ413">
        <v>0</v>
      </c>
      <c r="AR413">
        <v>0</v>
      </c>
      <c r="AS413" t="s">
        <v>3</v>
      </c>
      <c r="AT413">
        <v>9.08</v>
      </c>
      <c r="AU413" t="s">
        <v>3</v>
      </c>
      <c r="AV413">
        <v>1</v>
      </c>
      <c r="AW413">
        <v>2</v>
      </c>
      <c r="AX413">
        <v>145051906</v>
      </c>
      <c r="AY413">
        <v>1</v>
      </c>
      <c r="AZ413">
        <v>0</v>
      </c>
      <c r="BA413">
        <v>413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ROUND(Y413*Source!I165,9)</f>
        <v>15.2544</v>
      </c>
      <c r="CY413">
        <f>AD413</f>
        <v>266.92</v>
      </c>
      <c r="CZ413">
        <f>AH413</f>
        <v>8.74</v>
      </c>
      <c r="DA413">
        <f>AL413</f>
        <v>30.54</v>
      </c>
      <c r="DB413">
        <f t="shared" si="179"/>
        <v>79.36</v>
      </c>
      <c r="DC413">
        <f t="shared" si="180"/>
        <v>0</v>
      </c>
      <c r="DD413" t="s">
        <v>3</v>
      </c>
      <c r="DE413" t="s">
        <v>3</v>
      </c>
      <c r="DF413">
        <f t="shared" si="185"/>
        <v>0</v>
      </c>
      <c r="DG413">
        <f>ROUND(ROUND(AF413,2)*CX413,2)</f>
        <v>0</v>
      </c>
      <c r="DH413">
        <f>ROUND(ROUND(AG413,2)*CX413,2)</f>
        <v>0</v>
      </c>
      <c r="DI413">
        <f>ROUND(ROUND(AH413*AL413,2)*CX413,2)</f>
        <v>4071.7</v>
      </c>
      <c r="DJ413">
        <f>DI413</f>
        <v>4071.7</v>
      </c>
      <c r="DK413">
        <v>0</v>
      </c>
      <c r="DL413" t="s">
        <v>3</v>
      </c>
      <c r="DM413">
        <v>0</v>
      </c>
      <c r="DN413" t="s">
        <v>3</v>
      </c>
      <c r="DO413">
        <v>0</v>
      </c>
    </row>
    <row r="414" spans="1:119" x14ac:dyDescent="0.2">
      <c r="A414">
        <f>ROW(Source!A165)</f>
        <v>165</v>
      </c>
      <c r="B414">
        <v>145033679</v>
      </c>
      <c r="C414">
        <v>145051898</v>
      </c>
      <c r="D414">
        <v>140755491</v>
      </c>
      <c r="E414">
        <v>70</v>
      </c>
      <c r="F414">
        <v>1</v>
      </c>
      <c r="G414">
        <v>1</v>
      </c>
      <c r="H414">
        <v>1</v>
      </c>
      <c r="I414" t="s">
        <v>730</v>
      </c>
      <c r="J414" t="s">
        <v>3</v>
      </c>
      <c r="K414" t="s">
        <v>731</v>
      </c>
      <c r="L414">
        <v>1191</v>
      </c>
      <c r="N414">
        <v>1013</v>
      </c>
      <c r="O414" t="s">
        <v>725</v>
      </c>
      <c r="P414" t="s">
        <v>725</v>
      </c>
      <c r="Q414">
        <v>1</v>
      </c>
      <c r="W414">
        <v>0</v>
      </c>
      <c r="X414">
        <v>-1417349443</v>
      </c>
      <c r="Y414">
        <f t="shared" si="175"/>
        <v>0.03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1</v>
      </c>
      <c r="AJ414">
        <v>1</v>
      </c>
      <c r="AK414">
        <v>30.54</v>
      </c>
      <c r="AL414">
        <v>1</v>
      </c>
      <c r="AM414">
        <v>4</v>
      </c>
      <c r="AN414">
        <v>0</v>
      </c>
      <c r="AO414">
        <v>1</v>
      </c>
      <c r="AP414">
        <v>1</v>
      </c>
      <c r="AQ414">
        <v>0</v>
      </c>
      <c r="AR414">
        <v>0</v>
      </c>
      <c r="AS414" t="s">
        <v>3</v>
      </c>
      <c r="AT414">
        <v>0.03</v>
      </c>
      <c r="AU414" t="s">
        <v>3</v>
      </c>
      <c r="AV414">
        <v>2</v>
      </c>
      <c r="AW414">
        <v>2</v>
      </c>
      <c r="AX414">
        <v>145051907</v>
      </c>
      <c r="AY414">
        <v>1</v>
      </c>
      <c r="AZ414">
        <v>0</v>
      </c>
      <c r="BA414">
        <v>414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ROUND(Y414*Source!I165,9)</f>
        <v>5.04E-2</v>
      </c>
      <c r="CY414">
        <f>AD414</f>
        <v>0</v>
      </c>
      <c r="CZ414">
        <f>AH414</f>
        <v>0</v>
      </c>
      <c r="DA414">
        <f>AL414</f>
        <v>1</v>
      </c>
      <c r="DB414">
        <f t="shared" si="179"/>
        <v>0</v>
      </c>
      <c r="DC414">
        <f t="shared" si="180"/>
        <v>0</v>
      </c>
      <c r="DD414" t="s">
        <v>3</v>
      </c>
      <c r="DE414" t="s">
        <v>3</v>
      </c>
      <c r="DF414">
        <f t="shared" si="185"/>
        <v>0</v>
      </c>
      <c r="DG414">
        <f>ROUND(ROUND(AF414,2)*CX414,2)</f>
        <v>0</v>
      </c>
      <c r="DH414">
        <f>ROUND(ROUND(AG414*AK414,2)*CX414,2)</f>
        <v>0</v>
      </c>
      <c r="DI414">
        <f t="shared" ref="DI414:DI419" si="186">ROUND(ROUND(AH414,2)*CX414,2)</f>
        <v>0</v>
      </c>
      <c r="DJ414">
        <f>DI414</f>
        <v>0</v>
      </c>
      <c r="DK414">
        <v>0</v>
      </c>
      <c r="DL414" t="s">
        <v>3</v>
      </c>
      <c r="DM414">
        <v>0</v>
      </c>
      <c r="DN414" t="s">
        <v>3</v>
      </c>
      <c r="DO414">
        <v>0</v>
      </c>
    </row>
    <row r="415" spans="1:119" x14ac:dyDescent="0.2">
      <c r="A415">
        <f>ROW(Source!A165)</f>
        <v>165</v>
      </c>
      <c r="B415">
        <v>145033679</v>
      </c>
      <c r="C415">
        <v>145051898</v>
      </c>
      <c r="D415">
        <v>140923086</v>
      </c>
      <c r="E415">
        <v>1</v>
      </c>
      <c r="F415">
        <v>1</v>
      </c>
      <c r="G415">
        <v>1</v>
      </c>
      <c r="H415">
        <v>2</v>
      </c>
      <c r="I415" t="s">
        <v>953</v>
      </c>
      <c r="J415" t="s">
        <v>954</v>
      </c>
      <c r="K415" t="s">
        <v>955</v>
      </c>
      <c r="L415">
        <v>1367</v>
      </c>
      <c r="N415">
        <v>1011</v>
      </c>
      <c r="O415" t="s">
        <v>79</v>
      </c>
      <c r="P415" t="s">
        <v>79</v>
      </c>
      <c r="Q415">
        <v>1</v>
      </c>
      <c r="W415">
        <v>0</v>
      </c>
      <c r="X415">
        <v>208619310</v>
      </c>
      <c r="Y415">
        <f t="shared" si="175"/>
        <v>0.01</v>
      </c>
      <c r="AA415">
        <v>0</v>
      </c>
      <c r="AB415">
        <v>20.62</v>
      </c>
      <c r="AC415">
        <v>0</v>
      </c>
      <c r="AD415">
        <v>0</v>
      </c>
      <c r="AE415">
        <v>0</v>
      </c>
      <c r="AF415">
        <v>1.7</v>
      </c>
      <c r="AG415">
        <v>0</v>
      </c>
      <c r="AH415">
        <v>0</v>
      </c>
      <c r="AI415">
        <v>1</v>
      </c>
      <c r="AJ415">
        <v>12.13</v>
      </c>
      <c r="AK415">
        <v>30.54</v>
      </c>
      <c r="AL415">
        <v>1</v>
      </c>
      <c r="AM415">
        <v>4</v>
      </c>
      <c r="AN415">
        <v>0</v>
      </c>
      <c r="AO415">
        <v>1</v>
      </c>
      <c r="AP415">
        <v>1</v>
      </c>
      <c r="AQ415">
        <v>0</v>
      </c>
      <c r="AR415">
        <v>0</v>
      </c>
      <c r="AS415" t="s">
        <v>3</v>
      </c>
      <c r="AT415">
        <v>0.01</v>
      </c>
      <c r="AU415" t="s">
        <v>3</v>
      </c>
      <c r="AV415">
        <v>0</v>
      </c>
      <c r="AW415">
        <v>2</v>
      </c>
      <c r="AX415">
        <v>145051908</v>
      </c>
      <c r="AY415">
        <v>1</v>
      </c>
      <c r="AZ415">
        <v>0</v>
      </c>
      <c r="BA415">
        <v>415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ROUND(Y415*Source!I165,9)</f>
        <v>1.6799999999999999E-2</v>
      </c>
      <c r="CY415">
        <f>AB415</f>
        <v>20.62</v>
      </c>
      <c r="CZ415">
        <f>AF415</f>
        <v>1.7</v>
      </c>
      <c r="DA415">
        <f>AJ415</f>
        <v>12.13</v>
      </c>
      <c r="DB415">
        <f t="shared" si="179"/>
        <v>0.02</v>
      </c>
      <c r="DC415">
        <f t="shared" si="180"/>
        <v>0</v>
      </c>
      <c r="DD415" t="s">
        <v>3</v>
      </c>
      <c r="DE415" t="s">
        <v>3</v>
      </c>
      <c r="DF415">
        <f t="shared" si="185"/>
        <v>0</v>
      </c>
      <c r="DG415">
        <f>ROUND(ROUND(AF415*AJ415,2)*CX415,2)</f>
        <v>0.35</v>
      </c>
      <c r="DH415">
        <f>ROUND(ROUND(AG415*AK415,2)*CX415,2)</f>
        <v>0</v>
      </c>
      <c r="DI415">
        <f t="shared" si="186"/>
        <v>0</v>
      </c>
      <c r="DJ415">
        <f>DG415</f>
        <v>0.35</v>
      </c>
      <c r="DK415">
        <v>0</v>
      </c>
      <c r="DL415" t="s">
        <v>3</v>
      </c>
      <c r="DM415">
        <v>0</v>
      </c>
      <c r="DN415" t="s">
        <v>3</v>
      </c>
      <c r="DO415">
        <v>0</v>
      </c>
    </row>
    <row r="416" spans="1:119" x14ac:dyDescent="0.2">
      <c r="A416">
        <f>ROW(Source!A165)</f>
        <v>165</v>
      </c>
      <c r="B416">
        <v>145033679</v>
      </c>
      <c r="C416">
        <v>145051898</v>
      </c>
      <c r="D416">
        <v>140923105</v>
      </c>
      <c r="E416">
        <v>1</v>
      </c>
      <c r="F416">
        <v>1</v>
      </c>
      <c r="G416">
        <v>1</v>
      </c>
      <c r="H416">
        <v>2</v>
      </c>
      <c r="I416" t="s">
        <v>823</v>
      </c>
      <c r="J416" t="s">
        <v>824</v>
      </c>
      <c r="K416" t="s">
        <v>825</v>
      </c>
      <c r="L416">
        <v>1367</v>
      </c>
      <c r="N416">
        <v>1011</v>
      </c>
      <c r="O416" t="s">
        <v>79</v>
      </c>
      <c r="P416" t="s">
        <v>79</v>
      </c>
      <c r="Q416">
        <v>1</v>
      </c>
      <c r="W416">
        <v>0</v>
      </c>
      <c r="X416">
        <v>-896236776</v>
      </c>
      <c r="Y416">
        <f t="shared" si="175"/>
        <v>0.01</v>
      </c>
      <c r="AA416">
        <v>0</v>
      </c>
      <c r="AB416">
        <v>1091.58</v>
      </c>
      <c r="AC416">
        <v>307.23</v>
      </c>
      <c r="AD416">
        <v>0</v>
      </c>
      <c r="AE416">
        <v>0</v>
      </c>
      <c r="AF416">
        <v>89.99</v>
      </c>
      <c r="AG416">
        <v>10.06</v>
      </c>
      <c r="AH416">
        <v>0</v>
      </c>
      <c r="AI416">
        <v>1</v>
      </c>
      <c r="AJ416">
        <v>12.13</v>
      </c>
      <c r="AK416">
        <v>30.54</v>
      </c>
      <c r="AL416">
        <v>1</v>
      </c>
      <c r="AM416">
        <v>4</v>
      </c>
      <c r="AN416">
        <v>0</v>
      </c>
      <c r="AO416">
        <v>1</v>
      </c>
      <c r="AP416">
        <v>1</v>
      </c>
      <c r="AQ416">
        <v>0</v>
      </c>
      <c r="AR416">
        <v>0</v>
      </c>
      <c r="AS416" t="s">
        <v>3</v>
      </c>
      <c r="AT416">
        <v>0.01</v>
      </c>
      <c r="AU416" t="s">
        <v>3</v>
      </c>
      <c r="AV416">
        <v>0</v>
      </c>
      <c r="AW416">
        <v>2</v>
      </c>
      <c r="AX416">
        <v>145051909</v>
      </c>
      <c r="AY416">
        <v>1</v>
      </c>
      <c r="AZ416">
        <v>0</v>
      </c>
      <c r="BA416">
        <v>416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ROUND(Y416*Source!I165,9)</f>
        <v>1.6799999999999999E-2</v>
      </c>
      <c r="CY416">
        <f>AB416</f>
        <v>1091.58</v>
      </c>
      <c r="CZ416">
        <f>AF416</f>
        <v>89.99</v>
      </c>
      <c r="DA416">
        <f>AJ416</f>
        <v>12.13</v>
      </c>
      <c r="DB416">
        <f t="shared" si="179"/>
        <v>0.9</v>
      </c>
      <c r="DC416">
        <f t="shared" si="180"/>
        <v>0.1</v>
      </c>
      <c r="DD416" t="s">
        <v>3</v>
      </c>
      <c r="DE416" t="s">
        <v>3</v>
      </c>
      <c r="DF416">
        <f t="shared" si="185"/>
        <v>0</v>
      </c>
      <c r="DG416">
        <f>ROUND(ROUND(AF416*AJ416,2)*CX416,2)</f>
        <v>18.34</v>
      </c>
      <c r="DH416">
        <f>ROUND(ROUND(AG416*AK416,2)*CX416,2)</f>
        <v>5.16</v>
      </c>
      <c r="DI416">
        <f t="shared" si="186"/>
        <v>0</v>
      </c>
      <c r="DJ416">
        <f>DG416</f>
        <v>18.34</v>
      </c>
      <c r="DK416">
        <v>0</v>
      </c>
      <c r="DL416" t="s">
        <v>3</v>
      </c>
      <c r="DM416">
        <v>0</v>
      </c>
      <c r="DN416" t="s">
        <v>3</v>
      </c>
      <c r="DO416">
        <v>0</v>
      </c>
    </row>
    <row r="417" spans="1:119" x14ac:dyDescent="0.2">
      <c r="A417">
        <f>ROW(Source!A165)</f>
        <v>165</v>
      </c>
      <c r="B417">
        <v>145033679</v>
      </c>
      <c r="C417">
        <v>145051898</v>
      </c>
      <c r="D417">
        <v>140923885</v>
      </c>
      <c r="E417">
        <v>1</v>
      </c>
      <c r="F417">
        <v>1</v>
      </c>
      <c r="G417">
        <v>1</v>
      </c>
      <c r="H417">
        <v>2</v>
      </c>
      <c r="I417" t="s">
        <v>732</v>
      </c>
      <c r="J417" t="s">
        <v>733</v>
      </c>
      <c r="K417" t="s">
        <v>734</v>
      </c>
      <c r="L417">
        <v>1367</v>
      </c>
      <c r="N417">
        <v>1011</v>
      </c>
      <c r="O417" t="s">
        <v>79</v>
      </c>
      <c r="P417" t="s">
        <v>79</v>
      </c>
      <c r="Q417">
        <v>1</v>
      </c>
      <c r="W417">
        <v>0</v>
      </c>
      <c r="X417">
        <v>509054691</v>
      </c>
      <c r="Y417">
        <f t="shared" si="175"/>
        <v>0.02</v>
      </c>
      <c r="AA417">
        <v>0</v>
      </c>
      <c r="AB417">
        <v>797.06</v>
      </c>
      <c r="AC417">
        <v>354.26</v>
      </c>
      <c r="AD417">
        <v>0</v>
      </c>
      <c r="AE417">
        <v>0</v>
      </c>
      <c r="AF417">
        <v>65.709999999999994</v>
      </c>
      <c r="AG417">
        <v>11.6</v>
      </c>
      <c r="AH417">
        <v>0</v>
      </c>
      <c r="AI417">
        <v>1</v>
      </c>
      <c r="AJ417">
        <v>12.13</v>
      </c>
      <c r="AK417">
        <v>30.54</v>
      </c>
      <c r="AL417">
        <v>1</v>
      </c>
      <c r="AM417">
        <v>4</v>
      </c>
      <c r="AN417">
        <v>0</v>
      </c>
      <c r="AO417">
        <v>1</v>
      </c>
      <c r="AP417">
        <v>1</v>
      </c>
      <c r="AQ417">
        <v>0</v>
      </c>
      <c r="AR417">
        <v>0</v>
      </c>
      <c r="AS417" t="s">
        <v>3</v>
      </c>
      <c r="AT417">
        <v>0.02</v>
      </c>
      <c r="AU417" t="s">
        <v>3</v>
      </c>
      <c r="AV417">
        <v>0</v>
      </c>
      <c r="AW417">
        <v>2</v>
      </c>
      <c r="AX417">
        <v>145051910</v>
      </c>
      <c r="AY417">
        <v>1</v>
      </c>
      <c r="AZ417">
        <v>0</v>
      </c>
      <c r="BA417">
        <v>417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ROUND(Y417*Source!I165,9)</f>
        <v>3.3599999999999998E-2</v>
      </c>
      <c r="CY417">
        <f>AB417</f>
        <v>797.06</v>
      </c>
      <c r="CZ417">
        <f>AF417</f>
        <v>65.709999999999994</v>
      </c>
      <c r="DA417">
        <f>AJ417</f>
        <v>12.13</v>
      </c>
      <c r="DB417">
        <f t="shared" si="179"/>
        <v>1.31</v>
      </c>
      <c r="DC417">
        <f t="shared" si="180"/>
        <v>0.23</v>
      </c>
      <c r="DD417" t="s">
        <v>3</v>
      </c>
      <c r="DE417" t="s">
        <v>3</v>
      </c>
      <c r="DF417">
        <f t="shared" si="185"/>
        <v>0</v>
      </c>
      <c r="DG417">
        <f>ROUND(ROUND(AF417*AJ417,2)*CX417,2)</f>
        <v>26.78</v>
      </c>
      <c r="DH417">
        <f>ROUND(ROUND(AG417*AK417,2)*CX417,2)</f>
        <v>11.9</v>
      </c>
      <c r="DI417">
        <f t="shared" si="186"/>
        <v>0</v>
      </c>
      <c r="DJ417">
        <f>DG417</f>
        <v>26.78</v>
      </c>
      <c r="DK417">
        <v>0</v>
      </c>
      <c r="DL417" t="s">
        <v>3</v>
      </c>
      <c r="DM417">
        <v>0</v>
      </c>
      <c r="DN417" t="s">
        <v>3</v>
      </c>
      <c r="DO417">
        <v>0</v>
      </c>
    </row>
    <row r="418" spans="1:119" x14ac:dyDescent="0.2">
      <c r="A418">
        <f>ROW(Source!A165)</f>
        <v>165</v>
      </c>
      <c r="B418">
        <v>145033679</v>
      </c>
      <c r="C418">
        <v>145051898</v>
      </c>
      <c r="D418">
        <v>140776226</v>
      </c>
      <c r="E418">
        <v>1</v>
      </c>
      <c r="F418">
        <v>1</v>
      </c>
      <c r="G418">
        <v>1</v>
      </c>
      <c r="H418">
        <v>3</v>
      </c>
      <c r="I418" t="s">
        <v>818</v>
      </c>
      <c r="J418" t="s">
        <v>819</v>
      </c>
      <c r="K418" t="s">
        <v>820</v>
      </c>
      <c r="L418">
        <v>1346</v>
      </c>
      <c r="N418">
        <v>1009</v>
      </c>
      <c r="O418" t="s">
        <v>43</v>
      </c>
      <c r="P418" t="s">
        <v>43</v>
      </c>
      <c r="Q418">
        <v>1</v>
      </c>
      <c r="W418">
        <v>0</v>
      </c>
      <c r="X418">
        <v>1052716416</v>
      </c>
      <c r="Y418">
        <f t="shared" si="175"/>
        <v>5</v>
      </c>
      <c r="AA418">
        <v>15.85</v>
      </c>
      <c r="AB418">
        <v>0</v>
      </c>
      <c r="AC418">
        <v>0</v>
      </c>
      <c r="AD418">
        <v>0</v>
      </c>
      <c r="AE418">
        <v>1.82</v>
      </c>
      <c r="AF418">
        <v>0</v>
      </c>
      <c r="AG418">
        <v>0</v>
      </c>
      <c r="AH418">
        <v>0</v>
      </c>
      <c r="AI418">
        <v>8.7100000000000009</v>
      </c>
      <c r="AJ418">
        <v>1</v>
      </c>
      <c r="AK418">
        <v>1</v>
      </c>
      <c r="AL418">
        <v>1</v>
      </c>
      <c r="AM418">
        <v>4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3</v>
      </c>
      <c r="AT418">
        <v>5</v>
      </c>
      <c r="AU418" t="s">
        <v>3</v>
      </c>
      <c r="AV418">
        <v>0</v>
      </c>
      <c r="AW418">
        <v>2</v>
      </c>
      <c r="AX418">
        <v>145051911</v>
      </c>
      <c r="AY418">
        <v>1</v>
      </c>
      <c r="AZ418">
        <v>0</v>
      </c>
      <c r="BA418">
        <v>418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ROUND(Y418*Source!I165,9)</f>
        <v>8.4</v>
      </c>
      <c r="CY418">
        <f>AA418</f>
        <v>15.85</v>
      </c>
      <c r="CZ418">
        <f>AE418</f>
        <v>1.82</v>
      </c>
      <c r="DA418">
        <f>AI418</f>
        <v>8.7100000000000009</v>
      </c>
      <c r="DB418">
        <f t="shared" si="179"/>
        <v>9.1</v>
      </c>
      <c r="DC418">
        <f t="shared" si="180"/>
        <v>0</v>
      </c>
      <c r="DD418" t="s">
        <v>3</v>
      </c>
      <c r="DE418" t="s">
        <v>3</v>
      </c>
      <c r="DF418">
        <f>ROUND(ROUND(AE418*AI418,2)*CX418,2)</f>
        <v>133.13999999999999</v>
      </c>
      <c r="DG418">
        <f>ROUND(ROUND(AF418,2)*CX418,2)</f>
        <v>0</v>
      </c>
      <c r="DH418">
        <f>ROUND(ROUND(AG418,2)*CX418,2)</f>
        <v>0</v>
      </c>
      <c r="DI418">
        <f t="shared" si="186"/>
        <v>0</v>
      </c>
      <c r="DJ418">
        <f>DF418</f>
        <v>133.13999999999999</v>
      </c>
      <c r="DK418">
        <v>0</v>
      </c>
      <c r="DL418" t="s">
        <v>3</v>
      </c>
      <c r="DM418">
        <v>0</v>
      </c>
      <c r="DN418" t="s">
        <v>3</v>
      </c>
      <c r="DO418">
        <v>0</v>
      </c>
    </row>
    <row r="419" spans="1:119" x14ac:dyDescent="0.2">
      <c r="A419">
        <f>ROW(Source!A165)</f>
        <v>165</v>
      </c>
      <c r="B419">
        <v>145033679</v>
      </c>
      <c r="C419">
        <v>145051898</v>
      </c>
      <c r="D419">
        <v>140805221</v>
      </c>
      <c r="E419">
        <v>1</v>
      </c>
      <c r="F419">
        <v>1</v>
      </c>
      <c r="G419">
        <v>1</v>
      </c>
      <c r="H419">
        <v>3</v>
      </c>
      <c r="I419" t="s">
        <v>1069</v>
      </c>
      <c r="J419" t="s">
        <v>1070</v>
      </c>
      <c r="K419" t="s">
        <v>1071</v>
      </c>
      <c r="L419">
        <v>1346</v>
      </c>
      <c r="N419">
        <v>1009</v>
      </c>
      <c r="O419" t="s">
        <v>43</v>
      </c>
      <c r="P419" t="s">
        <v>43</v>
      </c>
      <c r="Q419">
        <v>1</v>
      </c>
      <c r="W419">
        <v>0</v>
      </c>
      <c r="X419">
        <v>58056778</v>
      </c>
      <c r="Y419">
        <f t="shared" si="175"/>
        <v>32</v>
      </c>
      <c r="AA419">
        <v>58.1</v>
      </c>
      <c r="AB419">
        <v>0</v>
      </c>
      <c r="AC419">
        <v>0</v>
      </c>
      <c r="AD419">
        <v>0</v>
      </c>
      <c r="AE419">
        <v>6.67</v>
      </c>
      <c r="AF419">
        <v>0</v>
      </c>
      <c r="AG419">
        <v>0</v>
      </c>
      <c r="AH419">
        <v>0</v>
      </c>
      <c r="AI419">
        <v>8.7100000000000009</v>
      </c>
      <c r="AJ419">
        <v>1</v>
      </c>
      <c r="AK419">
        <v>1</v>
      </c>
      <c r="AL419">
        <v>1</v>
      </c>
      <c r="AM419">
        <v>4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3</v>
      </c>
      <c r="AT419">
        <v>32</v>
      </c>
      <c r="AU419" t="s">
        <v>3</v>
      </c>
      <c r="AV419">
        <v>0</v>
      </c>
      <c r="AW419">
        <v>2</v>
      </c>
      <c r="AX419">
        <v>145051912</v>
      </c>
      <c r="AY419">
        <v>1</v>
      </c>
      <c r="AZ419">
        <v>0</v>
      </c>
      <c r="BA419">
        <v>419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ROUND(Y419*Source!I165,9)</f>
        <v>53.76</v>
      </c>
      <c r="CY419">
        <f>AA419</f>
        <v>58.1</v>
      </c>
      <c r="CZ419">
        <f>AE419</f>
        <v>6.67</v>
      </c>
      <c r="DA419">
        <f>AI419</f>
        <v>8.7100000000000009</v>
      </c>
      <c r="DB419">
        <f t="shared" si="179"/>
        <v>213.44</v>
      </c>
      <c r="DC419">
        <f t="shared" si="180"/>
        <v>0</v>
      </c>
      <c r="DD419" t="s">
        <v>3</v>
      </c>
      <c r="DE419" t="s">
        <v>3</v>
      </c>
      <c r="DF419">
        <f>ROUND(ROUND(AE419*AI419,2)*CX419,2)</f>
        <v>3123.46</v>
      </c>
      <c r="DG419">
        <f>ROUND(ROUND(AF419,2)*CX419,2)</f>
        <v>0</v>
      </c>
      <c r="DH419">
        <f>ROUND(ROUND(AG419,2)*CX419,2)</f>
        <v>0</v>
      </c>
      <c r="DI419">
        <f t="shared" si="186"/>
        <v>0</v>
      </c>
      <c r="DJ419">
        <f>DF419</f>
        <v>3123.46</v>
      </c>
      <c r="DK419">
        <v>0</v>
      </c>
      <c r="DL419" t="s">
        <v>3</v>
      </c>
      <c r="DM419">
        <v>0</v>
      </c>
      <c r="DN419" t="s">
        <v>3</v>
      </c>
      <c r="DO419">
        <v>0</v>
      </c>
    </row>
    <row r="420" spans="1:119" x14ac:dyDescent="0.2">
      <c r="A420">
        <f>ROW(Source!A166)</f>
        <v>166</v>
      </c>
      <c r="B420">
        <v>145033679</v>
      </c>
      <c r="C420">
        <v>145051913</v>
      </c>
      <c r="D420">
        <v>140755438</v>
      </c>
      <c r="E420">
        <v>70</v>
      </c>
      <c r="F420">
        <v>1</v>
      </c>
      <c r="G420">
        <v>1</v>
      </c>
      <c r="H420">
        <v>1</v>
      </c>
      <c r="I420" t="s">
        <v>867</v>
      </c>
      <c r="J420" t="s">
        <v>3</v>
      </c>
      <c r="K420" t="s">
        <v>868</v>
      </c>
      <c r="L420">
        <v>1191</v>
      </c>
      <c r="N420">
        <v>1013</v>
      </c>
      <c r="O420" t="s">
        <v>725</v>
      </c>
      <c r="P420" t="s">
        <v>725</v>
      </c>
      <c r="Q420">
        <v>1</v>
      </c>
      <c r="W420">
        <v>0</v>
      </c>
      <c r="X420">
        <v>1893946532</v>
      </c>
      <c r="Y420">
        <f t="shared" ref="Y420:Y427" si="187">(AT420*3)</f>
        <v>6.39</v>
      </c>
      <c r="AA420">
        <v>0</v>
      </c>
      <c r="AB420">
        <v>0</v>
      </c>
      <c r="AC420">
        <v>0</v>
      </c>
      <c r="AD420">
        <v>277</v>
      </c>
      <c r="AE420">
        <v>0</v>
      </c>
      <c r="AF420">
        <v>0</v>
      </c>
      <c r="AG420">
        <v>0</v>
      </c>
      <c r="AH420">
        <v>9.07</v>
      </c>
      <c r="AI420">
        <v>1</v>
      </c>
      <c r="AJ420">
        <v>1</v>
      </c>
      <c r="AK420">
        <v>1</v>
      </c>
      <c r="AL420">
        <v>30.54</v>
      </c>
      <c r="AM420">
        <v>4</v>
      </c>
      <c r="AN420">
        <v>0</v>
      </c>
      <c r="AO420">
        <v>1</v>
      </c>
      <c r="AP420">
        <v>1</v>
      </c>
      <c r="AQ420">
        <v>0</v>
      </c>
      <c r="AR420">
        <v>0</v>
      </c>
      <c r="AS420" t="s">
        <v>3</v>
      </c>
      <c r="AT420">
        <v>2.13</v>
      </c>
      <c r="AU420" t="s">
        <v>531</v>
      </c>
      <c r="AV420">
        <v>1</v>
      </c>
      <c r="AW420">
        <v>2</v>
      </c>
      <c r="AX420">
        <v>145051922</v>
      </c>
      <c r="AY420">
        <v>1</v>
      </c>
      <c r="AZ420">
        <v>0</v>
      </c>
      <c r="BA420">
        <v>420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ROUND(Y420*Source!I166,9)</f>
        <v>10.735200000000001</v>
      </c>
      <c r="CY420">
        <f>AD420</f>
        <v>277</v>
      </c>
      <c r="CZ420">
        <f>AH420</f>
        <v>9.07</v>
      </c>
      <c r="DA420">
        <f>AL420</f>
        <v>30.54</v>
      </c>
      <c r="DB420">
        <f t="shared" ref="DB420:DB427" si="188">ROUND((ROUND(AT420*CZ420,2)*3),2)</f>
        <v>57.96</v>
      </c>
      <c r="DC420">
        <f t="shared" ref="DC420:DC427" si="189">ROUND((ROUND(AT420*AG420,2)*3),2)</f>
        <v>0</v>
      </c>
      <c r="DD420" t="s">
        <v>3</v>
      </c>
      <c r="DE420" t="s">
        <v>3</v>
      </c>
      <c r="DF420">
        <f t="shared" ref="DF420:DF425" si="190">ROUND(ROUND(AE420,2)*CX420,2)</f>
        <v>0</v>
      </c>
      <c r="DG420">
        <f>ROUND(ROUND(AF420,2)*CX420,2)</f>
        <v>0</v>
      </c>
      <c r="DH420">
        <f>ROUND(ROUND(AG420,2)*CX420,2)</f>
        <v>0</v>
      </c>
      <c r="DI420">
        <f>ROUND(ROUND(AH420*AL420,2)*CX420,2)</f>
        <v>2973.65</v>
      </c>
      <c r="DJ420">
        <f>DI420</f>
        <v>2973.65</v>
      </c>
      <c r="DK420">
        <v>0</v>
      </c>
      <c r="DL420" t="s">
        <v>3</v>
      </c>
      <c r="DM420">
        <v>0</v>
      </c>
      <c r="DN420" t="s">
        <v>3</v>
      </c>
      <c r="DO420">
        <v>0</v>
      </c>
    </row>
    <row r="421" spans="1:119" x14ac:dyDescent="0.2">
      <c r="A421">
        <f>ROW(Source!A166)</f>
        <v>166</v>
      </c>
      <c r="B421">
        <v>145033679</v>
      </c>
      <c r="C421">
        <v>145051913</v>
      </c>
      <c r="D421">
        <v>140755491</v>
      </c>
      <c r="E421">
        <v>70</v>
      </c>
      <c r="F421">
        <v>1</v>
      </c>
      <c r="G421">
        <v>1</v>
      </c>
      <c r="H421">
        <v>1</v>
      </c>
      <c r="I421" t="s">
        <v>730</v>
      </c>
      <c r="J421" t="s">
        <v>3</v>
      </c>
      <c r="K421" t="s">
        <v>731</v>
      </c>
      <c r="L421">
        <v>1191</v>
      </c>
      <c r="N421">
        <v>1013</v>
      </c>
      <c r="O421" t="s">
        <v>725</v>
      </c>
      <c r="P421" t="s">
        <v>725</v>
      </c>
      <c r="Q421">
        <v>1</v>
      </c>
      <c r="W421">
        <v>0</v>
      </c>
      <c r="X421">
        <v>-1417349443</v>
      </c>
      <c r="Y421">
        <f t="shared" si="187"/>
        <v>0.06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1</v>
      </c>
      <c r="AJ421">
        <v>1</v>
      </c>
      <c r="AK421">
        <v>30.54</v>
      </c>
      <c r="AL421">
        <v>1</v>
      </c>
      <c r="AM421">
        <v>4</v>
      </c>
      <c r="AN421">
        <v>0</v>
      </c>
      <c r="AO421">
        <v>1</v>
      </c>
      <c r="AP421">
        <v>1</v>
      </c>
      <c r="AQ421">
        <v>0</v>
      </c>
      <c r="AR421">
        <v>0</v>
      </c>
      <c r="AS421" t="s">
        <v>3</v>
      </c>
      <c r="AT421">
        <v>0.02</v>
      </c>
      <c r="AU421" t="s">
        <v>531</v>
      </c>
      <c r="AV421">
        <v>2</v>
      </c>
      <c r="AW421">
        <v>2</v>
      </c>
      <c r="AX421">
        <v>145051923</v>
      </c>
      <c r="AY421">
        <v>1</v>
      </c>
      <c r="AZ421">
        <v>0</v>
      </c>
      <c r="BA421">
        <v>421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ROUND(Y421*Source!I166,9)</f>
        <v>0.1008</v>
      </c>
      <c r="CY421">
        <f>AD421</f>
        <v>0</v>
      </c>
      <c r="CZ421">
        <f>AH421</f>
        <v>0</v>
      </c>
      <c r="DA421">
        <f>AL421</f>
        <v>1</v>
      </c>
      <c r="DB421">
        <f t="shared" si="188"/>
        <v>0</v>
      </c>
      <c r="DC421">
        <f t="shared" si="189"/>
        <v>0</v>
      </c>
      <c r="DD421" t="s">
        <v>3</v>
      </c>
      <c r="DE421" t="s">
        <v>3</v>
      </c>
      <c r="DF421">
        <f t="shared" si="190"/>
        <v>0</v>
      </c>
      <c r="DG421">
        <f>ROUND(ROUND(AF421,2)*CX421,2)</f>
        <v>0</v>
      </c>
      <c r="DH421">
        <f>ROUND(ROUND(AG421*AK421,2)*CX421,2)</f>
        <v>0</v>
      </c>
      <c r="DI421">
        <f t="shared" ref="DI421:DI427" si="191">ROUND(ROUND(AH421,2)*CX421,2)</f>
        <v>0</v>
      </c>
      <c r="DJ421">
        <f>DI421</f>
        <v>0</v>
      </c>
      <c r="DK421">
        <v>0</v>
      </c>
      <c r="DL421" t="s">
        <v>3</v>
      </c>
      <c r="DM421">
        <v>0</v>
      </c>
      <c r="DN421" t="s">
        <v>3</v>
      </c>
      <c r="DO421">
        <v>0</v>
      </c>
    </row>
    <row r="422" spans="1:119" x14ac:dyDescent="0.2">
      <c r="A422">
        <f>ROW(Source!A166)</f>
        <v>166</v>
      </c>
      <c r="B422">
        <v>145033679</v>
      </c>
      <c r="C422">
        <v>145051913</v>
      </c>
      <c r="D422">
        <v>140923086</v>
      </c>
      <c r="E422">
        <v>1</v>
      </c>
      <c r="F422">
        <v>1</v>
      </c>
      <c r="G422">
        <v>1</v>
      </c>
      <c r="H422">
        <v>2</v>
      </c>
      <c r="I422" t="s">
        <v>953</v>
      </c>
      <c r="J422" t="s">
        <v>954</v>
      </c>
      <c r="K422" t="s">
        <v>955</v>
      </c>
      <c r="L422">
        <v>1367</v>
      </c>
      <c r="N422">
        <v>1011</v>
      </c>
      <c r="O422" t="s">
        <v>79</v>
      </c>
      <c r="P422" t="s">
        <v>79</v>
      </c>
      <c r="Q422">
        <v>1</v>
      </c>
      <c r="W422">
        <v>0</v>
      </c>
      <c r="X422">
        <v>208619310</v>
      </c>
      <c r="Y422">
        <f t="shared" si="187"/>
        <v>0.03</v>
      </c>
      <c r="AA422">
        <v>0</v>
      </c>
      <c r="AB422">
        <v>20.62</v>
      </c>
      <c r="AC422">
        <v>0</v>
      </c>
      <c r="AD422">
        <v>0</v>
      </c>
      <c r="AE422">
        <v>0</v>
      </c>
      <c r="AF422">
        <v>1.7</v>
      </c>
      <c r="AG422">
        <v>0</v>
      </c>
      <c r="AH422">
        <v>0</v>
      </c>
      <c r="AI422">
        <v>1</v>
      </c>
      <c r="AJ422">
        <v>12.13</v>
      </c>
      <c r="AK422">
        <v>30.54</v>
      </c>
      <c r="AL422">
        <v>1</v>
      </c>
      <c r="AM422">
        <v>4</v>
      </c>
      <c r="AN422">
        <v>0</v>
      </c>
      <c r="AO422">
        <v>1</v>
      </c>
      <c r="AP422">
        <v>1</v>
      </c>
      <c r="AQ422">
        <v>0</v>
      </c>
      <c r="AR422">
        <v>0</v>
      </c>
      <c r="AS422" t="s">
        <v>3</v>
      </c>
      <c r="AT422">
        <v>0.01</v>
      </c>
      <c r="AU422" t="s">
        <v>531</v>
      </c>
      <c r="AV422">
        <v>0</v>
      </c>
      <c r="AW422">
        <v>2</v>
      </c>
      <c r="AX422">
        <v>145051924</v>
      </c>
      <c r="AY422">
        <v>1</v>
      </c>
      <c r="AZ422">
        <v>0</v>
      </c>
      <c r="BA422">
        <v>422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ROUND(Y422*Source!I166,9)</f>
        <v>5.04E-2</v>
      </c>
      <c r="CY422">
        <f>AB422</f>
        <v>20.62</v>
      </c>
      <c r="CZ422">
        <f>AF422</f>
        <v>1.7</v>
      </c>
      <c r="DA422">
        <f>AJ422</f>
        <v>12.13</v>
      </c>
      <c r="DB422">
        <f t="shared" si="188"/>
        <v>0.06</v>
      </c>
      <c r="DC422">
        <f t="shared" si="189"/>
        <v>0</v>
      </c>
      <c r="DD422" t="s">
        <v>3</v>
      </c>
      <c r="DE422" t="s">
        <v>3</v>
      </c>
      <c r="DF422">
        <f t="shared" si="190"/>
        <v>0</v>
      </c>
      <c r="DG422">
        <f>ROUND(ROUND(AF422*AJ422,2)*CX422,2)</f>
        <v>1.04</v>
      </c>
      <c r="DH422">
        <f>ROUND(ROUND(AG422*AK422,2)*CX422,2)</f>
        <v>0</v>
      </c>
      <c r="DI422">
        <f t="shared" si="191"/>
        <v>0</v>
      </c>
      <c r="DJ422">
        <f>DG422</f>
        <v>1.04</v>
      </c>
      <c r="DK422">
        <v>0</v>
      </c>
      <c r="DL422" t="s">
        <v>3</v>
      </c>
      <c r="DM422">
        <v>0</v>
      </c>
      <c r="DN422" t="s">
        <v>3</v>
      </c>
      <c r="DO422">
        <v>0</v>
      </c>
    </row>
    <row r="423" spans="1:119" x14ac:dyDescent="0.2">
      <c r="A423">
        <f>ROW(Source!A166)</f>
        <v>166</v>
      </c>
      <c r="B423">
        <v>145033679</v>
      </c>
      <c r="C423">
        <v>145051913</v>
      </c>
      <c r="D423">
        <v>140923105</v>
      </c>
      <c r="E423">
        <v>1</v>
      </c>
      <c r="F423">
        <v>1</v>
      </c>
      <c r="G423">
        <v>1</v>
      </c>
      <c r="H423">
        <v>2</v>
      </c>
      <c r="I423" t="s">
        <v>823</v>
      </c>
      <c r="J423" t="s">
        <v>824</v>
      </c>
      <c r="K423" t="s">
        <v>825</v>
      </c>
      <c r="L423">
        <v>1367</v>
      </c>
      <c r="N423">
        <v>1011</v>
      </c>
      <c r="O423" t="s">
        <v>79</v>
      </c>
      <c r="P423" t="s">
        <v>79</v>
      </c>
      <c r="Q423">
        <v>1</v>
      </c>
      <c r="W423">
        <v>0</v>
      </c>
      <c r="X423">
        <v>-896236776</v>
      </c>
      <c r="Y423">
        <f t="shared" si="187"/>
        <v>0.03</v>
      </c>
      <c r="AA423">
        <v>0</v>
      </c>
      <c r="AB423">
        <v>1091.58</v>
      </c>
      <c r="AC423">
        <v>307.23</v>
      </c>
      <c r="AD423">
        <v>0</v>
      </c>
      <c r="AE423">
        <v>0</v>
      </c>
      <c r="AF423">
        <v>89.99</v>
      </c>
      <c r="AG423">
        <v>10.06</v>
      </c>
      <c r="AH423">
        <v>0</v>
      </c>
      <c r="AI423">
        <v>1</v>
      </c>
      <c r="AJ423">
        <v>12.13</v>
      </c>
      <c r="AK423">
        <v>30.54</v>
      </c>
      <c r="AL423">
        <v>1</v>
      </c>
      <c r="AM423">
        <v>4</v>
      </c>
      <c r="AN423">
        <v>0</v>
      </c>
      <c r="AO423">
        <v>1</v>
      </c>
      <c r="AP423">
        <v>1</v>
      </c>
      <c r="AQ423">
        <v>0</v>
      </c>
      <c r="AR423">
        <v>0</v>
      </c>
      <c r="AS423" t="s">
        <v>3</v>
      </c>
      <c r="AT423">
        <v>0.01</v>
      </c>
      <c r="AU423" t="s">
        <v>531</v>
      </c>
      <c r="AV423">
        <v>0</v>
      </c>
      <c r="AW423">
        <v>2</v>
      </c>
      <c r="AX423">
        <v>145051925</v>
      </c>
      <c r="AY423">
        <v>1</v>
      </c>
      <c r="AZ423">
        <v>0</v>
      </c>
      <c r="BA423">
        <v>423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ROUND(Y423*Source!I166,9)</f>
        <v>5.04E-2</v>
      </c>
      <c r="CY423">
        <f>AB423</f>
        <v>1091.58</v>
      </c>
      <c r="CZ423">
        <f>AF423</f>
        <v>89.99</v>
      </c>
      <c r="DA423">
        <f>AJ423</f>
        <v>12.13</v>
      </c>
      <c r="DB423">
        <f t="shared" si="188"/>
        <v>2.7</v>
      </c>
      <c r="DC423">
        <f t="shared" si="189"/>
        <v>0.3</v>
      </c>
      <c r="DD423" t="s">
        <v>3</v>
      </c>
      <c r="DE423" t="s">
        <v>3</v>
      </c>
      <c r="DF423">
        <f t="shared" si="190"/>
        <v>0</v>
      </c>
      <c r="DG423">
        <f>ROUND(ROUND(AF423*AJ423,2)*CX423,2)</f>
        <v>55.02</v>
      </c>
      <c r="DH423">
        <f>ROUND(ROUND(AG423*AK423,2)*CX423,2)</f>
        <v>15.48</v>
      </c>
      <c r="DI423">
        <f t="shared" si="191"/>
        <v>0</v>
      </c>
      <c r="DJ423">
        <f>DG423</f>
        <v>55.02</v>
      </c>
      <c r="DK423">
        <v>0</v>
      </c>
      <c r="DL423" t="s">
        <v>3</v>
      </c>
      <c r="DM423">
        <v>0</v>
      </c>
      <c r="DN423" t="s">
        <v>3</v>
      </c>
      <c r="DO423">
        <v>0</v>
      </c>
    </row>
    <row r="424" spans="1:119" x14ac:dyDescent="0.2">
      <c r="A424">
        <f>ROW(Source!A166)</f>
        <v>166</v>
      </c>
      <c r="B424">
        <v>145033679</v>
      </c>
      <c r="C424">
        <v>145051913</v>
      </c>
      <c r="D424">
        <v>140923885</v>
      </c>
      <c r="E424">
        <v>1</v>
      </c>
      <c r="F424">
        <v>1</v>
      </c>
      <c r="G424">
        <v>1</v>
      </c>
      <c r="H424">
        <v>2</v>
      </c>
      <c r="I424" t="s">
        <v>732</v>
      </c>
      <c r="J424" t="s">
        <v>733</v>
      </c>
      <c r="K424" t="s">
        <v>734</v>
      </c>
      <c r="L424">
        <v>1367</v>
      </c>
      <c r="N424">
        <v>1011</v>
      </c>
      <c r="O424" t="s">
        <v>79</v>
      </c>
      <c r="P424" t="s">
        <v>79</v>
      </c>
      <c r="Q424">
        <v>1</v>
      </c>
      <c r="W424">
        <v>0</v>
      </c>
      <c r="X424">
        <v>509054691</v>
      </c>
      <c r="Y424">
        <f t="shared" si="187"/>
        <v>0.03</v>
      </c>
      <c r="AA424">
        <v>0</v>
      </c>
      <c r="AB424">
        <v>797.06</v>
      </c>
      <c r="AC424">
        <v>354.26</v>
      </c>
      <c r="AD424">
        <v>0</v>
      </c>
      <c r="AE424">
        <v>0</v>
      </c>
      <c r="AF424">
        <v>65.709999999999994</v>
      </c>
      <c r="AG424">
        <v>11.6</v>
      </c>
      <c r="AH424">
        <v>0</v>
      </c>
      <c r="AI424">
        <v>1</v>
      </c>
      <c r="AJ424">
        <v>12.13</v>
      </c>
      <c r="AK424">
        <v>30.54</v>
      </c>
      <c r="AL424">
        <v>1</v>
      </c>
      <c r="AM424">
        <v>4</v>
      </c>
      <c r="AN424">
        <v>0</v>
      </c>
      <c r="AO424">
        <v>1</v>
      </c>
      <c r="AP424">
        <v>1</v>
      </c>
      <c r="AQ424">
        <v>0</v>
      </c>
      <c r="AR424">
        <v>0</v>
      </c>
      <c r="AS424" t="s">
        <v>3</v>
      </c>
      <c r="AT424">
        <v>0.01</v>
      </c>
      <c r="AU424" t="s">
        <v>531</v>
      </c>
      <c r="AV424">
        <v>0</v>
      </c>
      <c r="AW424">
        <v>2</v>
      </c>
      <c r="AX424">
        <v>145051926</v>
      </c>
      <c r="AY424">
        <v>1</v>
      </c>
      <c r="AZ424">
        <v>0</v>
      </c>
      <c r="BA424">
        <v>424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ROUND(Y424*Source!I166,9)</f>
        <v>5.04E-2</v>
      </c>
      <c r="CY424">
        <f>AB424</f>
        <v>797.06</v>
      </c>
      <c r="CZ424">
        <f>AF424</f>
        <v>65.709999999999994</v>
      </c>
      <c r="DA424">
        <f>AJ424</f>
        <v>12.13</v>
      </c>
      <c r="DB424">
        <f t="shared" si="188"/>
        <v>1.98</v>
      </c>
      <c r="DC424">
        <f t="shared" si="189"/>
        <v>0.36</v>
      </c>
      <c r="DD424" t="s">
        <v>3</v>
      </c>
      <c r="DE424" t="s">
        <v>3</v>
      </c>
      <c r="DF424">
        <f t="shared" si="190"/>
        <v>0</v>
      </c>
      <c r="DG424">
        <f>ROUND(ROUND(AF424*AJ424,2)*CX424,2)</f>
        <v>40.17</v>
      </c>
      <c r="DH424">
        <f>ROUND(ROUND(AG424*AK424,2)*CX424,2)</f>
        <v>17.850000000000001</v>
      </c>
      <c r="DI424">
        <f t="shared" si="191"/>
        <v>0</v>
      </c>
      <c r="DJ424">
        <f>DG424</f>
        <v>40.17</v>
      </c>
      <c r="DK424">
        <v>0</v>
      </c>
      <c r="DL424" t="s">
        <v>3</v>
      </c>
      <c r="DM424">
        <v>0</v>
      </c>
      <c r="DN424" t="s">
        <v>3</v>
      </c>
      <c r="DO424">
        <v>0</v>
      </c>
    </row>
    <row r="425" spans="1:119" x14ac:dyDescent="0.2">
      <c r="A425">
        <f>ROW(Source!A166)</f>
        <v>166</v>
      </c>
      <c r="B425">
        <v>145033679</v>
      </c>
      <c r="C425">
        <v>145051913</v>
      </c>
      <c r="D425">
        <v>140924526</v>
      </c>
      <c r="E425">
        <v>1</v>
      </c>
      <c r="F425">
        <v>1</v>
      </c>
      <c r="G425">
        <v>1</v>
      </c>
      <c r="H425">
        <v>2</v>
      </c>
      <c r="I425" t="s">
        <v>815</v>
      </c>
      <c r="J425" t="s">
        <v>816</v>
      </c>
      <c r="K425" t="s">
        <v>817</v>
      </c>
      <c r="L425">
        <v>1367</v>
      </c>
      <c r="N425">
        <v>1011</v>
      </c>
      <c r="O425" t="s">
        <v>79</v>
      </c>
      <c r="P425" t="s">
        <v>79</v>
      </c>
      <c r="Q425">
        <v>1</v>
      </c>
      <c r="W425">
        <v>0</v>
      </c>
      <c r="X425">
        <v>-1745017968</v>
      </c>
      <c r="Y425">
        <f t="shared" si="187"/>
        <v>1.9500000000000002</v>
      </c>
      <c r="AA425">
        <v>0</v>
      </c>
      <c r="AB425">
        <v>82.73</v>
      </c>
      <c r="AC425">
        <v>0</v>
      </c>
      <c r="AD425">
        <v>0</v>
      </c>
      <c r="AE425">
        <v>0</v>
      </c>
      <c r="AF425">
        <v>6.82</v>
      </c>
      <c r="AG425">
        <v>0</v>
      </c>
      <c r="AH425">
        <v>0</v>
      </c>
      <c r="AI425">
        <v>1</v>
      </c>
      <c r="AJ425">
        <v>12.13</v>
      </c>
      <c r="AK425">
        <v>30.54</v>
      </c>
      <c r="AL425">
        <v>1</v>
      </c>
      <c r="AM425">
        <v>4</v>
      </c>
      <c r="AN425">
        <v>0</v>
      </c>
      <c r="AO425">
        <v>1</v>
      </c>
      <c r="AP425">
        <v>1</v>
      </c>
      <c r="AQ425">
        <v>0</v>
      </c>
      <c r="AR425">
        <v>0</v>
      </c>
      <c r="AS425" t="s">
        <v>3</v>
      </c>
      <c r="AT425">
        <v>0.65</v>
      </c>
      <c r="AU425" t="s">
        <v>531</v>
      </c>
      <c r="AV425">
        <v>0</v>
      </c>
      <c r="AW425">
        <v>2</v>
      </c>
      <c r="AX425">
        <v>145051927</v>
      </c>
      <c r="AY425">
        <v>1</v>
      </c>
      <c r="AZ425">
        <v>0</v>
      </c>
      <c r="BA425">
        <v>425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ROUND(Y425*Source!I166,9)</f>
        <v>3.2759999999999998</v>
      </c>
      <c r="CY425">
        <f>AB425</f>
        <v>82.73</v>
      </c>
      <c r="CZ425">
        <f>AF425</f>
        <v>6.82</v>
      </c>
      <c r="DA425">
        <f>AJ425</f>
        <v>12.13</v>
      </c>
      <c r="DB425">
        <f t="shared" si="188"/>
        <v>13.29</v>
      </c>
      <c r="DC425">
        <f t="shared" si="189"/>
        <v>0</v>
      </c>
      <c r="DD425" t="s">
        <v>3</v>
      </c>
      <c r="DE425" t="s">
        <v>3</v>
      </c>
      <c r="DF425">
        <f t="shared" si="190"/>
        <v>0</v>
      </c>
      <c r="DG425">
        <f>ROUND(ROUND(AF425*AJ425,2)*CX425,2)</f>
        <v>271.02</v>
      </c>
      <c r="DH425">
        <f>ROUND(ROUND(AG425*AK425,2)*CX425,2)</f>
        <v>0</v>
      </c>
      <c r="DI425">
        <f t="shared" si="191"/>
        <v>0</v>
      </c>
      <c r="DJ425">
        <f>DG425</f>
        <v>271.02</v>
      </c>
      <c r="DK425">
        <v>0</v>
      </c>
      <c r="DL425" t="s">
        <v>3</v>
      </c>
      <c r="DM425">
        <v>0</v>
      </c>
      <c r="DN425" t="s">
        <v>3</v>
      </c>
      <c r="DO425">
        <v>0</v>
      </c>
    </row>
    <row r="426" spans="1:119" x14ac:dyDescent="0.2">
      <c r="A426">
        <f>ROW(Source!A166)</f>
        <v>166</v>
      </c>
      <c r="B426">
        <v>145033679</v>
      </c>
      <c r="C426">
        <v>145051913</v>
      </c>
      <c r="D426">
        <v>140804609</v>
      </c>
      <c r="E426">
        <v>1</v>
      </c>
      <c r="F426">
        <v>1</v>
      </c>
      <c r="G426">
        <v>1</v>
      </c>
      <c r="H426">
        <v>3</v>
      </c>
      <c r="I426" t="s">
        <v>535</v>
      </c>
      <c r="J426" t="s">
        <v>537</v>
      </c>
      <c r="K426" t="s">
        <v>536</v>
      </c>
      <c r="L426">
        <v>1348</v>
      </c>
      <c r="N426">
        <v>1009</v>
      </c>
      <c r="O426" t="s">
        <v>105</v>
      </c>
      <c r="P426" t="s">
        <v>105</v>
      </c>
      <c r="Q426">
        <v>1000</v>
      </c>
      <c r="W426">
        <v>1</v>
      </c>
      <c r="X426">
        <v>499358224</v>
      </c>
      <c r="Y426">
        <f t="shared" si="187"/>
        <v>-2.6999999999999996E-2</v>
      </c>
      <c r="AA426">
        <v>124665.1</v>
      </c>
      <c r="AB426">
        <v>0</v>
      </c>
      <c r="AC426">
        <v>0</v>
      </c>
      <c r="AD426">
        <v>0</v>
      </c>
      <c r="AE426">
        <v>14312.87</v>
      </c>
      <c r="AF426">
        <v>0</v>
      </c>
      <c r="AG426">
        <v>0</v>
      </c>
      <c r="AH426">
        <v>0</v>
      </c>
      <c r="AI426">
        <v>8.7100000000000009</v>
      </c>
      <c r="AJ426">
        <v>1</v>
      </c>
      <c r="AK426">
        <v>1</v>
      </c>
      <c r="AL426">
        <v>1</v>
      </c>
      <c r="AM426">
        <v>4</v>
      </c>
      <c r="AN426">
        <v>0</v>
      </c>
      <c r="AO426">
        <v>1</v>
      </c>
      <c r="AP426">
        <v>1</v>
      </c>
      <c r="AQ426">
        <v>0</v>
      </c>
      <c r="AR426">
        <v>0</v>
      </c>
      <c r="AS426" t="s">
        <v>3</v>
      </c>
      <c r="AT426">
        <v>-8.9999999999999993E-3</v>
      </c>
      <c r="AU426" t="s">
        <v>531</v>
      </c>
      <c r="AV426">
        <v>0</v>
      </c>
      <c r="AW426">
        <v>2</v>
      </c>
      <c r="AX426">
        <v>145051928</v>
      </c>
      <c r="AY426">
        <v>1</v>
      </c>
      <c r="AZ426">
        <v>6144</v>
      </c>
      <c r="BA426">
        <v>426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ROUND(Y426*Source!I166,9)</f>
        <v>-4.5359999999999998E-2</v>
      </c>
      <c r="CY426">
        <f>AA426</f>
        <v>124665.1</v>
      </c>
      <c r="CZ426">
        <f>AE426</f>
        <v>14312.87</v>
      </c>
      <c r="DA426">
        <f>AI426</f>
        <v>8.7100000000000009</v>
      </c>
      <c r="DB426">
        <f t="shared" si="188"/>
        <v>-386.46</v>
      </c>
      <c r="DC426">
        <f t="shared" si="189"/>
        <v>0</v>
      </c>
      <c r="DD426" t="s">
        <v>3</v>
      </c>
      <c r="DE426" t="s">
        <v>3</v>
      </c>
      <c r="DF426">
        <f>ROUND(ROUND(AE426*AI426,2)*CX426,2)</f>
        <v>-5654.81</v>
      </c>
      <c r="DG426">
        <f>ROUND(ROUND(AF426,2)*CX426,2)</f>
        <v>0</v>
      </c>
      <c r="DH426">
        <f>ROUND(ROUND(AG426,2)*CX426,2)</f>
        <v>0</v>
      </c>
      <c r="DI426">
        <f t="shared" si="191"/>
        <v>0</v>
      </c>
      <c r="DJ426">
        <f>DF426</f>
        <v>-5654.81</v>
      </c>
      <c r="DK426">
        <v>0</v>
      </c>
      <c r="DL426" t="s">
        <v>3</v>
      </c>
      <c r="DM426">
        <v>0</v>
      </c>
      <c r="DN426" t="s">
        <v>3</v>
      </c>
      <c r="DO426">
        <v>0</v>
      </c>
    </row>
    <row r="427" spans="1:119" x14ac:dyDescent="0.2">
      <c r="A427">
        <f>ROW(Source!A166)</f>
        <v>166</v>
      </c>
      <c r="B427">
        <v>145033679</v>
      </c>
      <c r="C427">
        <v>145051913</v>
      </c>
      <c r="D427">
        <v>140805221</v>
      </c>
      <c r="E427">
        <v>1</v>
      </c>
      <c r="F427">
        <v>1</v>
      </c>
      <c r="G427">
        <v>1</v>
      </c>
      <c r="H427">
        <v>3</v>
      </c>
      <c r="I427" t="s">
        <v>1069</v>
      </c>
      <c r="J427" t="s">
        <v>1070</v>
      </c>
      <c r="K427" t="s">
        <v>1071</v>
      </c>
      <c r="L427">
        <v>1346</v>
      </c>
      <c r="N427">
        <v>1009</v>
      </c>
      <c r="O427" t="s">
        <v>43</v>
      </c>
      <c r="P427" t="s">
        <v>43</v>
      </c>
      <c r="Q427">
        <v>1</v>
      </c>
      <c r="W427">
        <v>0</v>
      </c>
      <c r="X427">
        <v>58056778</v>
      </c>
      <c r="Y427">
        <f t="shared" si="187"/>
        <v>4.1999999999999993</v>
      </c>
      <c r="AA427">
        <v>58.1</v>
      </c>
      <c r="AB427">
        <v>0</v>
      </c>
      <c r="AC427">
        <v>0</v>
      </c>
      <c r="AD427">
        <v>0</v>
      </c>
      <c r="AE427">
        <v>6.67</v>
      </c>
      <c r="AF427">
        <v>0</v>
      </c>
      <c r="AG427">
        <v>0</v>
      </c>
      <c r="AH427">
        <v>0</v>
      </c>
      <c r="AI427">
        <v>8.7100000000000009</v>
      </c>
      <c r="AJ427">
        <v>1</v>
      </c>
      <c r="AK427">
        <v>1</v>
      </c>
      <c r="AL427">
        <v>1</v>
      </c>
      <c r="AM427">
        <v>4</v>
      </c>
      <c r="AN427">
        <v>0</v>
      </c>
      <c r="AO427">
        <v>1</v>
      </c>
      <c r="AP427">
        <v>1</v>
      </c>
      <c r="AQ427">
        <v>0</v>
      </c>
      <c r="AR427">
        <v>0</v>
      </c>
      <c r="AS427" t="s">
        <v>3</v>
      </c>
      <c r="AT427">
        <v>1.4</v>
      </c>
      <c r="AU427" t="s">
        <v>531</v>
      </c>
      <c r="AV427">
        <v>0</v>
      </c>
      <c r="AW427">
        <v>2</v>
      </c>
      <c r="AX427">
        <v>145051929</v>
      </c>
      <c r="AY427">
        <v>1</v>
      </c>
      <c r="AZ427">
        <v>0</v>
      </c>
      <c r="BA427">
        <v>427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ROUND(Y427*Source!I166,9)</f>
        <v>7.056</v>
      </c>
      <c r="CY427">
        <f>AA427</f>
        <v>58.1</v>
      </c>
      <c r="CZ427">
        <f>AE427</f>
        <v>6.67</v>
      </c>
      <c r="DA427">
        <f>AI427</f>
        <v>8.7100000000000009</v>
      </c>
      <c r="DB427">
        <f t="shared" si="188"/>
        <v>28.02</v>
      </c>
      <c r="DC427">
        <f t="shared" si="189"/>
        <v>0</v>
      </c>
      <c r="DD427" t="s">
        <v>3</v>
      </c>
      <c r="DE427" t="s">
        <v>3</v>
      </c>
      <c r="DF427">
        <f>ROUND(ROUND(AE427*AI427,2)*CX427,2)</f>
        <v>409.95</v>
      </c>
      <c r="DG427">
        <f>ROUND(ROUND(AF427,2)*CX427,2)</f>
        <v>0</v>
      </c>
      <c r="DH427">
        <f>ROUND(ROUND(AG427,2)*CX427,2)</f>
        <v>0</v>
      </c>
      <c r="DI427">
        <f t="shared" si="191"/>
        <v>0</v>
      </c>
      <c r="DJ427">
        <f>DF427</f>
        <v>409.95</v>
      </c>
      <c r="DK427">
        <v>0</v>
      </c>
      <c r="DL427" t="s">
        <v>3</v>
      </c>
      <c r="DM427">
        <v>0</v>
      </c>
      <c r="DN427" t="s">
        <v>3</v>
      </c>
      <c r="DO427">
        <v>0</v>
      </c>
    </row>
    <row r="428" spans="1:119" x14ac:dyDescent="0.2">
      <c r="A428">
        <f>ROW(Source!A169)</f>
        <v>169</v>
      </c>
      <c r="B428">
        <v>145033679</v>
      </c>
      <c r="C428">
        <v>145051934</v>
      </c>
      <c r="D428">
        <v>140760001</v>
      </c>
      <c r="E428">
        <v>70</v>
      </c>
      <c r="F428">
        <v>1</v>
      </c>
      <c r="G428">
        <v>1</v>
      </c>
      <c r="H428">
        <v>1</v>
      </c>
      <c r="I428" t="s">
        <v>867</v>
      </c>
      <c r="J428" t="s">
        <v>3</v>
      </c>
      <c r="K428" t="s">
        <v>868</v>
      </c>
      <c r="L428">
        <v>1191</v>
      </c>
      <c r="N428">
        <v>1013</v>
      </c>
      <c r="O428" t="s">
        <v>725</v>
      </c>
      <c r="P428" t="s">
        <v>725</v>
      </c>
      <c r="Q428">
        <v>1</v>
      </c>
      <c r="W428">
        <v>0</v>
      </c>
      <c r="X428">
        <v>1893946532</v>
      </c>
      <c r="Y428">
        <f>((AT428*1.15)*1.15)</f>
        <v>124.31499999999998</v>
      </c>
      <c r="AA428">
        <v>0</v>
      </c>
      <c r="AB428">
        <v>0</v>
      </c>
      <c r="AC428">
        <v>0</v>
      </c>
      <c r="AD428">
        <v>277</v>
      </c>
      <c r="AE428">
        <v>0</v>
      </c>
      <c r="AF428">
        <v>0</v>
      </c>
      <c r="AG428">
        <v>0</v>
      </c>
      <c r="AH428">
        <v>9.07</v>
      </c>
      <c r="AI428">
        <v>1</v>
      </c>
      <c r="AJ428">
        <v>1</v>
      </c>
      <c r="AK428">
        <v>1</v>
      </c>
      <c r="AL428">
        <v>30.54</v>
      </c>
      <c r="AM428">
        <v>4</v>
      </c>
      <c r="AN428">
        <v>0</v>
      </c>
      <c r="AO428">
        <v>1</v>
      </c>
      <c r="AP428">
        <v>1</v>
      </c>
      <c r="AQ428">
        <v>0</v>
      </c>
      <c r="AR428">
        <v>0</v>
      </c>
      <c r="AS428" t="s">
        <v>3</v>
      </c>
      <c r="AT428">
        <v>94</v>
      </c>
      <c r="AU428" t="s">
        <v>91</v>
      </c>
      <c r="AV428">
        <v>1</v>
      </c>
      <c r="AW428">
        <v>2</v>
      </c>
      <c r="AX428">
        <v>145051935</v>
      </c>
      <c r="AY428">
        <v>1</v>
      </c>
      <c r="AZ428">
        <v>0</v>
      </c>
      <c r="BA428">
        <v>428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ROUND(Y428*Source!I169,9)</f>
        <v>497.50862999999998</v>
      </c>
      <c r="CY428">
        <f>AD428</f>
        <v>277</v>
      </c>
      <c r="CZ428">
        <f>AH428</f>
        <v>9.07</v>
      </c>
      <c r="DA428">
        <f>AL428</f>
        <v>30.54</v>
      </c>
      <c r="DB428">
        <f>ROUND(((ROUND(AT428*CZ428,2)*1.15)*1.15),2)</f>
        <v>1127.54</v>
      </c>
      <c r="DC428">
        <f>ROUND(((ROUND(AT428*AG428,2)*1.15)*1.15),2)</f>
        <v>0</v>
      </c>
      <c r="DD428" t="s">
        <v>3</v>
      </c>
      <c r="DE428" t="s">
        <v>3</v>
      </c>
      <c r="DF428">
        <f t="shared" ref="DF428:DF438" si="192">ROUND(ROUND(AE428,2)*CX428,2)</f>
        <v>0</v>
      </c>
      <c r="DG428">
        <f>ROUND(ROUND(AF428,2)*CX428,2)</f>
        <v>0</v>
      </c>
      <c r="DH428">
        <f>ROUND(ROUND(AG428,2)*CX428,2)</f>
        <v>0</v>
      </c>
      <c r="DI428">
        <f>ROUND(ROUND(AH428*AL428,2)*CX428,2)</f>
        <v>137809.89000000001</v>
      </c>
      <c r="DJ428">
        <f>DI428</f>
        <v>137809.89000000001</v>
      </c>
      <c r="DK428">
        <v>0</v>
      </c>
      <c r="DL428" t="s">
        <v>3</v>
      </c>
      <c r="DM428">
        <v>0</v>
      </c>
      <c r="DN428" t="s">
        <v>3</v>
      </c>
      <c r="DO428">
        <v>0</v>
      </c>
    </row>
    <row r="429" spans="1:119" x14ac:dyDescent="0.2">
      <c r="A429">
        <f>ROW(Source!A169)</f>
        <v>169</v>
      </c>
      <c r="B429">
        <v>145033679</v>
      </c>
      <c r="C429">
        <v>145051934</v>
      </c>
      <c r="D429">
        <v>140760225</v>
      </c>
      <c r="E429">
        <v>70</v>
      </c>
      <c r="F429">
        <v>1</v>
      </c>
      <c r="G429">
        <v>1</v>
      </c>
      <c r="H429">
        <v>1</v>
      </c>
      <c r="I429" t="s">
        <v>730</v>
      </c>
      <c r="J429" t="s">
        <v>3</v>
      </c>
      <c r="K429" t="s">
        <v>731</v>
      </c>
      <c r="L429">
        <v>1191</v>
      </c>
      <c r="N429">
        <v>1013</v>
      </c>
      <c r="O429" t="s">
        <v>725</v>
      </c>
      <c r="P429" t="s">
        <v>725</v>
      </c>
      <c r="Q429">
        <v>1</v>
      </c>
      <c r="W429">
        <v>0</v>
      </c>
      <c r="X429">
        <v>-1417349443</v>
      </c>
      <c r="Y429">
        <f t="shared" ref="Y429:Y438" si="193">((AT429*1.25)*1.15)</f>
        <v>24.293749999999999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1</v>
      </c>
      <c r="AJ429">
        <v>1</v>
      </c>
      <c r="AK429">
        <v>30.54</v>
      </c>
      <c r="AL429">
        <v>1</v>
      </c>
      <c r="AM429">
        <v>4</v>
      </c>
      <c r="AN429">
        <v>0</v>
      </c>
      <c r="AO429">
        <v>1</v>
      </c>
      <c r="AP429">
        <v>1</v>
      </c>
      <c r="AQ429">
        <v>0</v>
      </c>
      <c r="AR429">
        <v>0</v>
      </c>
      <c r="AS429" t="s">
        <v>3</v>
      </c>
      <c r="AT429">
        <v>16.899999999999999</v>
      </c>
      <c r="AU429" t="s">
        <v>90</v>
      </c>
      <c r="AV429">
        <v>2</v>
      </c>
      <c r="AW429">
        <v>2</v>
      </c>
      <c r="AX429">
        <v>145051936</v>
      </c>
      <c r="AY429">
        <v>1</v>
      </c>
      <c r="AZ429">
        <v>0</v>
      </c>
      <c r="BA429">
        <v>429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ROUND(Y429*Source!I169,9)</f>
        <v>97.223587499999994</v>
      </c>
      <c r="CY429">
        <f>AD429</f>
        <v>0</v>
      </c>
      <c r="CZ429">
        <f>AH429</f>
        <v>0</v>
      </c>
      <c r="DA429">
        <f>AL429</f>
        <v>1</v>
      </c>
      <c r="DB429">
        <f t="shared" ref="DB429:DB438" si="194">ROUND(((ROUND(AT429*CZ429,2)*1.25)*1.15),2)</f>
        <v>0</v>
      </c>
      <c r="DC429">
        <f t="shared" ref="DC429:DC438" si="195">ROUND(((ROUND(AT429*AG429,2)*1.25)*1.15),2)</f>
        <v>0</v>
      </c>
      <c r="DD429" t="s">
        <v>3</v>
      </c>
      <c r="DE429" t="s">
        <v>3</v>
      </c>
      <c r="DF429">
        <f t="shared" si="192"/>
        <v>0</v>
      </c>
      <c r="DG429">
        <f>ROUND(ROUND(AF429,2)*CX429,2)</f>
        <v>0</v>
      </c>
      <c r="DH429">
        <f t="shared" ref="DH429:DH438" si="196">ROUND(ROUND(AG429*AK429,2)*CX429,2)</f>
        <v>0</v>
      </c>
      <c r="DI429">
        <f t="shared" ref="DI429:DI454" si="197">ROUND(ROUND(AH429,2)*CX429,2)</f>
        <v>0</v>
      </c>
      <c r="DJ429">
        <f>DI429</f>
        <v>0</v>
      </c>
      <c r="DK429">
        <v>0</v>
      </c>
      <c r="DL429" t="s">
        <v>3</v>
      </c>
      <c r="DM429">
        <v>0</v>
      </c>
      <c r="DN429" t="s">
        <v>3</v>
      </c>
      <c r="DO429">
        <v>0</v>
      </c>
    </row>
    <row r="430" spans="1:119" x14ac:dyDescent="0.2">
      <c r="A430">
        <f>ROW(Source!A169)</f>
        <v>169</v>
      </c>
      <c r="B430">
        <v>145033679</v>
      </c>
      <c r="C430">
        <v>145051934</v>
      </c>
      <c r="D430">
        <v>140922906</v>
      </c>
      <c r="E430">
        <v>1</v>
      </c>
      <c r="F430">
        <v>1</v>
      </c>
      <c r="G430">
        <v>1</v>
      </c>
      <c r="H430">
        <v>2</v>
      </c>
      <c r="I430" t="s">
        <v>962</v>
      </c>
      <c r="J430" t="s">
        <v>963</v>
      </c>
      <c r="K430" t="s">
        <v>964</v>
      </c>
      <c r="L430">
        <v>1367</v>
      </c>
      <c r="N430">
        <v>1011</v>
      </c>
      <c r="O430" t="s">
        <v>79</v>
      </c>
      <c r="P430" t="s">
        <v>79</v>
      </c>
      <c r="Q430">
        <v>1</v>
      </c>
      <c r="W430">
        <v>0</v>
      </c>
      <c r="X430">
        <v>-163180553</v>
      </c>
      <c r="Y430">
        <f t="shared" si="193"/>
        <v>1.2793749999999999</v>
      </c>
      <c r="AA430">
        <v>0</v>
      </c>
      <c r="AB430">
        <v>1458.51</v>
      </c>
      <c r="AC430">
        <v>470.93</v>
      </c>
      <c r="AD430">
        <v>0</v>
      </c>
      <c r="AE430">
        <v>0</v>
      </c>
      <c r="AF430">
        <v>120.24</v>
      </c>
      <c r="AG430">
        <v>15.42</v>
      </c>
      <c r="AH430">
        <v>0</v>
      </c>
      <c r="AI430">
        <v>1</v>
      </c>
      <c r="AJ430">
        <v>12.13</v>
      </c>
      <c r="AK430">
        <v>30.54</v>
      </c>
      <c r="AL430">
        <v>1</v>
      </c>
      <c r="AM430">
        <v>4</v>
      </c>
      <c r="AN430">
        <v>0</v>
      </c>
      <c r="AO430">
        <v>1</v>
      </c>
      <c r="AP430">
        <v>1</v>
      </c>
      <c r="AQ430">
        <v>0</v>
      </c>
      <c r="AR430">
        <v>0</v>
      </c>
      <c r="AS430" t="s">
        <v>3</v>
      </c>
      <c r="AT430">
        <v>0.89</v>
      </c>
      <c r="AU430" t="s">
        <v>90</v>
      </c>
      <c r="AV430">
        <v>0</v>
      </c>
      <c r="AW430">
        <v>2</v>
      </c>
      <c r="AX430">
        <v>145051937</v>
      </c>
      <c r="AY430">
        <v>1</v>
      </c>
      <c r="AZ430">
        <v>0</v>
      </c>
      <c r="BA430">
        <v>430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ROUND(Y430*Source!I169,9)</f>
        <v>5.1200587500000001</v>
      </c>
      <c r="CY430">
        <f t="shared" ref="CY430:CY438" si="198">AB430</f>
        <v>1458.51</v>
      </c>
      <c r="CZ430">
        <f t="shared" ref="CZ430:CZ438" si="199">AF430</f>
        <v>120.24</v>
      </c>
      <c r="DA430">
        <f t="shared" ref="DA430:DA438" si="200">AJ430</f>
        <v>12.13</v>
      </c>
      <c r="DB430">
        <f t="shared" si="194"/>
        <v>153.83000000000001</v>
      </c>
      <c r="DC430">
        <f t="shared" si="195"/>
        <v>19.72</v>
      </c>
      <c r="DD430" t="s">
        <v>3</v>
      </c>
      <c r="DE430" t="s">
        <v>3</v>
      </c>
      <c r="DF430">
        <f t="shared" si="192"/>
        <v>0</v>
      </c>
      <c r="DG430">
        <f t="shared" ref="DG430:DG438" si="201">ROUND(ROUND(AF430*AJ430,2)*CX430,2)</f>
        <v>7467.66</v>
      </c>
      <c r="DH430">
        <f t="shared" si="196"/>
        <v>2411.19</v>
      </c>
      <c r="DI430">
        <f t="shared" si="197"/>
        <v>0</v>
      </c>
      <c r="DJ430">
        <f t="shared" ref="DJ430:DJ438" si="202">DG430</f>
        <v>7467.66</v>
      </c>
      <c r="DK430">
        <v>0</v>
      </c>
      <c r="DL430" t="s">
        <v>3</v>
      </c>
      <c r="DM430">
        <v>0</v>
      </c>
      <c r="DN430" t="s">
        <v>3</v>
      </c>
      <c r="DO430">
        <v>0</v>
      </c>
    </row>
    <row r="431" spans="1:119" x14ac:dyDescent="0.2">
      <c r="A431">
        <f>ROW(Source!A169)</f>
        <v>169</v>
      </c>
      <c r="B431">
        <v>145033679</v>
      </c>
      <c r="C431">
        <v>145051934</v>
      </c>
      <c r="D431">
        <v>140922951</v>
      </c>
      <c r="E431">
        <v>1</v>
      </c>
      <c r="F431">
        <v>1</v>
      </c>
      <c r="G431">
        <v>1</v>
      </c>
      <c r="H431">
        <v>2</v>
      </c>
      <c r="I431" t="s">
        <v>752</v>
      </c>
      <c r="J431" t="s">
        <v>753</v>
      </c>
      <c r="K431" t="s">
        <v>754</v>
      </c>
      <c r="L431">
        <v>1367</v>
      </c>
      <c r="N431">
        <v>1011</v>
      </c>
      <c r="O431" t="s">
        <v>79</v>
      </c>
      <c r="P431" t="s">
        <v>79</v>
      </c>
      <c r="Q431">
        <v>1</v>
      </c>
      <c r="W431">
        <v>0</v>
      </c>
      <c r="X431">
        <v>-430484415</v>
      </c>
      <c r="Y431">
        <f t="shared" si="193"/>
        <v>0.48875000000000002</v>
      </c>
      <c r="AA431">
        <v>0</v>
      </c>
      <c r="AB431">
        <v>1399.8</v>
      </c>
      <c r="AC431">
        <v>412.29</v>
      </c>
      <c r="AD431">
        <v>0</v>
      </c>
      <c r="AE431">
        <v>0</v>
      </c>
      <c r="AF431">
        <v>115.4</v>
      </c>
      <c r="AG431">
        <v>13.5</v>
      </c>
      <c r="AH431">
        <v>0</v>
      </c>
      <c r="AI431">
        <v>1</v>
      </c>
      <c r="AJ431">
        <v>12.13</v>
      </c>
      <c r="AK431">
        <v>30.54</v>
      </c>
      <c r="AL431">
        <v>1</v>
      </c>
      <c r="AM431">
        <v>4</v>
      </c>
      <c r="AN431">
        <v>0</v>
      </c>
      <c r="AO431">
        <v>1</v>
      </c>
      <c r="AP431">
        <v>1</v>
      </c>
      <c r="AQ431">
        <v>0</v>
      </c>
      <c r="AR431">
        <v>0</v>
      </c>
      <c r="AS431" t="s">
        <v>3</v>
      </c>
      <c r="AT431">
        <v>0.34</v>
      </c>
      <c r="AU431" t="s">
        <v>90</v>
      </c>
      <c r="AV431">
        <v>0</v>
      </c>
      <c r="AW431">
        <v>2</v>
      </c>
      <c r="AX431">
        <v>145051938</v>
      </c>
      <c r="AY431">
        <v>1</v>
      </c>
      <c r="AZ431">
        <v>0</v>
      </c>
      <c r="BA431">
        <v>431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ROUND(Y431*Source!I169,9)</f>
        <v>1.9559774999999999</v>
      </c>
      <c r="CY431">
        <f t="shared" si="198"/>
        <v>1399.8</v>
      </c>
      <c r="CZ431">
        <f t="shared" si="199"/>
        <v>115.4</v>
      </c>
      <c r="DA431">
        <f t="shared" si="200"/>
        <v>12.13</v>
      </c>
      <c r="DB431">
        <f t="shared" si="194"/>
        <v>56.41</v>
      </c>
      <c r="DC431">
        <f t="shared" si="195"/>
        <v>6.6</v>
      </c>
      <c r="DD431" t="s">
        <v>3</v>
      </c>
      <c r="DE431" t="s">
        <v>3</v>
      </c>
      <c r="DF431">
        <f t="shared" si="192"/>
        <v>0</v>
      </c>
      <c r="DG431">
        <f t="shared" si="201"/>
        <v>2737.98</v>
      </c>
      <c r="DH431">
        <f t="shared" si="196"/>
        <v>806.43</v>
      </c>
      <c r="DI431">
        <f t="shared" si="197"/>
        <v>0</v>
      </c>
      <c r="DJ431">
        <f t="shared" si="202"/>
        <v>2737.98</v>
      </c>
      <c r="DK431">
        <v>0</v>
      </c>
      <c r="DL431" t="s">
        <v>3</v>
      </c>
      <c r="DM431">
        <v>0</v>
      </c>
      <c r="DN431" t="s">
        <v>3</v>
      </c>
      <c r="DO431">
        <v>0</v>
      </c>
    </row>
    <row r="432" spans="1:119" x14ac:dyDescent="0.2">
      <c r="A432">
        <f>ROW(Source!A169)</f>
        <v>169</v>
      </c>
      <c r="B432">
        <v>145033679</v>
      </c>
      <c r="C432">
        <v>145051934</v>
      </c>
      <c r="D432">
        <v>140922957</v>
      </c>
      <c r="E432">
        <v>1</v>
      </c>
      <c r="F432">
        <v>1</v>
      </c>
      <c r="G432">
        <v>1</v>
      </c>
      <c r="H432">
        <v>2</v>
      </c>
      <c r="I432" t="s">
        <v>965</v>
      </c>
      <c r="J432" t="s">
        <v>966</v>
      </c>
      <c r="K432" t="s">
        <v>967</v>
      </c>
      <c r="L432">
        <v>1367</v>
      </c>
      <c r="N432">
        <v>1011</v>
      </c>
      <c r="O432" t="s">
        <v>79</v>
      </c>
      <c r="P432" t="s">
        <v>79</v>
      </c>
      <c r="Q432">
        <v>1</v>
      </c>
      <c r="W432">
        <v>0</v>
      </c>
      <c r="X432">
        <v>-1189221606</v>
      </c>
      <c r="Y432">
        <f t="shared" si="193"/>
        <v>8.3374999999999986</v>
      </c>
      <c r="AA432">
        <v>0</v>
      </c>
      <c r="AB432">
        <v>1456.09</v>
      </c>
      <c r="AC432">
        <v>412.29</v>
      </c>
      <c r="AD432">
        <v>0</v>
      </c>
      <c r="AE432">
        <v>0</v>
      </c>
      <c r="AF432">
        <v>120.04</v>
      </c>
      <c r="AG432">
        <v>13.5</v>
      </c>
      <c r="AH432">
        <v>0</v>
      </c>
      <c r="AI432">
        <v>1</v>
      </c>
      <c r="AJ432">
        <v>12.13</v>
      </c>
      <c r="AK432">
        <v>30.54</v>
      </c>
      <c r="AL432">
        <v>1</v>
      </c>
      <c r="AM432">
        <v>4</v>
      </c>
      <c r="AN432">
        <v>0</v>
      </c>
      <c r="AO432">
        <v>1</v>
      </c>
      <c r="AP432">
        <v>1</v>
      </c>
      <c r="AQ432">
        <v>0</v>
      </c>
      <c r="AR432">
        <v>0</v>
      </c>
      <c r="AS432" t="s">
        <v>3</v>
      </c>
      <c r="AT432">
        <v>5.8</v>
      </c>
      <c r="AU432" t="s">
        <v>90</v>
      </c>
      <c r="AV432">
        <v>0</v>
      </c>
      <c r="AW432">
        <v>2</v>
      </c>
      <c r="AX432">
        <v>145051939</v>
      </c>
      <c r="AY432">
        <v>1</v>
      </c>
      <c r="AZ432">
        <v>0</v>
      </c>
      <c r="BA432">
        <v>432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ROUND(Y432*Source!I169,9)</f>
        <v>33.366675000000001</v>
      </c>
      <c r="CY432">
        <f t="shared" si="198"/>
        <v>1456.09</v>
      </c>
      <c r="CZ432">
        <f t="shared" si="199"/>
        <v>120.04</v>
      </c>
      <c r="DA432">
        <f t="shared" si="200"/>
        <v>12.13</v>
      </c>
      <c r="DB432">
        <f t="shared" si="194"/>
        <v>1000.83</v>
      </c>
      <c r="DC432">
        <f t="shared" si="195"/>
        <v>112.56</v>
      </c>
      <c r="DD432" t="s">
        <v>3</v>
      </c>
      <c r="DE432" t="s">
        <v>3</v>
      </c>
      <c r="DF432">
        <f t="shared" si="192"/>
        <v>0</v>
      </c>
      <c r="DG432">
        <f t="shared" si="201"/>
        <v>48584.88</v>
      </c>
      <c r="DH432">
        <f t="shared" si="196"/>
        <v>13756.75</v>
      </c>
      <c r="DI432">
        <f t="shared" si="197"/>
        <v>0</v>
      </c>
      <c r="DJ432">
        <f t="shared" si="202"/>
        <v>48584.88</v>
      </c>
      <c r="DK432">
        <v>0</v>
      </c>
      <c r="DL432" t="s">
        <v>3</v>
      </c>
      <c r="DM432">
        <v>0</v>
      </c>
      <c r="DN432" t="s">
        <v>3</v>
      </c>
      <c r="DO432">
        <v>0</v>
      </c>
    </row>
    <row r="433" spans="1:119" x14ac:dyDescent="0.2">
      <c r="A433">
        <f>ROW(Source!A169)</f>
        <v>169</v>
      </c>
      <c r="B433">
        <v>145033679</v>
      </c>
      <c r="C433">
        <v>145051934</v>
      </c>
      <c r="D433">
        <v>140922958</v>
      </c>
      <c r="E433">
        <v>1</v>
      </c>
      <c r="F433">
        <v>1</v>
      </c>
      <c r="G433">
        <v>1</v>
      </c>
      <c r="H433">
        <v>2</v>
      </c>
      <c r="I433" t="s">
        <v>1087</v>
      </c>
      <c r="J433" t="s">
        <v>1088</v>
      </c>
      <c r="K433" t="s">
        <v>1089</v>
      </c>
      <c r="L433">
        <v>1367</v>
      </c>
      <c r="N433">
        <v>1011</v>
      </c>
      <c r="O433" t="s">
        <v>79</v>
      </c>
      <c r="P433" t="s">
        <v>79</v>
      </c>
      <c r="Q433">
        <v>1</v>
      </c>
      <c r="W433">
        <v>0</v>
      </c>
      <c r="X433">
        <v>-1731906086</v>
      </c>
      <c r="Y433">
        <f t="shared" si="193"/>
        <v>7.029374999999999</v>
      </c>
      <c r="AA433">
        <v>0</v>
      </c>
      <c r="AB433">
        <v>2129.54</v>
      </c>
      <c r="AC433">
        <v>439.78</v>
      </c>
      <c r="AD433">
        <v>0</v>
      </c>
      <c r="AE433">
        <v>0</v>
      </c>
      <c r="AF433">
        <v>175.56</v>
      </c>
      <c r="AG433">
        <v>14.4</v>
      </c>
      <c r="AH433">
        <v>0</v>
      </c>
      <c r="AI433">
        <v>1</v>
      </c>
      <c r="AJ433">
        <v>12.13</v>
      </c>
      <c r="AK433">
        <v>30.54</v>
      </c>
      <c r="AL433">
        <v>1</v>
      </c>
      <c r="AM433">
        <v>4</v>
      </c>
      <c r="AN433">
        <v>0</v>
      </c>
      <c r="AO433">
        <v>1</v>
      </c>
      <c r="AP433">
        <v>1</v>
      </c>
      <c r="AQ433">
        <v>0</v>
      </c>
      <c r="AR433">
        <v>0</v>
      </c>
      <c r="AS433" t="s">
        <v>3</v>
      </c>
      <c r="AT433">
        <v>4.8899999999999997</v>
      </c>
      <c r="AU433" t="s">
        <v>90</v>
      </c>
      <c r="AV433">
        <v>0</v>
      </c>
      <c r="AW433">
        <v>2</v>
      </c>
      <c r="AX433">
        <v>145051940</v>
      </c>
      <c r="AY433">
        <v>1</v>
      </c>
      <c r="AZ433">
        <v>0</v>
      </c>
      <c r="BA433">
        <v>433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ROUND(Y433*Source!I169,9)</f>
        <v>28.13155875</v>
      </c>
      <c r="CY433">
        <f t="shared" si="198"/>
        <v>2129.54</v>
      </c>
      <c r="CZ433">
        <f t="shared" si="199"/>
        <v>175.56</v>
      </c>
      <c r="DA433">
        <f t="shared" si="200"/>
        <v>12.13</v>
      </c>
      <c r="DB433">
        <f t="shared" si="194"/>
        <v>1234.08</v>
      </c>
      <c r="DC433">
        <f t="shared" si="195"/>
        <v>101.23</v>
      </c>
      <c r="DD433" t="s">
        <v>3</v>
      </c>
      <c r="DE433" t="s">
        <v>3</v>
      </c>
      <c r="DF433">
        <f t="shared" si="192"/>
        <v>0</v>
      </c>
      <c r="DG433">
        <f t="shared" si="201"/>
        <v>59907.28</v>
      </c>
      <c r="DH433">
        <f t="shared" si="196"/>
        <v>12371.7</v>
      </c>
      <c r="DI433">
        <f t="shared" si="197"/>
        <v>0</v>
      </c>
      <c r="DJ433">
        <f t="shared" si="202"/>
        <v>59907.28</v>
      </c>
      <c r="DK433">
        <v>0</v>
      </c>
      <c r="DL433" t="s">
        <v>3</v>
      </c>
      <c r="DM433">
        <v>0</v>
      </c>
      <c r="DN433" t="s">
        <v>3</v>
      </c>
      <c r="DO433">
        <v>0</v>
      </c>
    </row>
    <row r="434" spans="1:119" x14ac:dyDescent="0.2">
      <c r="A434">
        <f>ROW(Source!A169)</f>
        <v>169</v>
      </c>
      <c r="B434">
        <v>145033679</v>
      </c>
      <c r="C434">
        <v>145051934</v>
      </c>
      <c r="D434">
        <v>140922959</v>
      </c>
      <c r="E434">
        <v>1</v>
      </c>
      <c r="F434">
        <v>1</v>
      </c>
      <c r="G434">
        <v>1</v>
      </c>
      <c r="H434">
        <v>2</v>
      </c>
      <c r="I434" t="s">
        <v>1090</v>
      </c>
      <c r="J434" t="s">
        <v>1091</v>
      </c>
      <c r="K434" t="s">
        <v>1092</v>
      </c>
      <c r="L434">
        <v>1367</v>
      </c>
      <c r="N434">
        <v>1011</v>
      </c>
      <c r="O434" t="s">
        <v>79</v>
      </c>
      <c r="P434" t="s">
        <v>79</v>
      </c>
      <c r="Q434">
        <v>1</v>
      </c>
      <c r="W434">
        <v>0</v>
      </c>
      <c r="X434">
        <v>-1161184353</v>
      </c>
      <c r="Y434">
        <f t="shared" si="193"/>
        <v>3.22</v>
      </c>
      <c r="AA434">
        <v>0</v>
      </c>
      <c r="AB434">
        <v>3517.82</v>
      </c>
      <c r="AC434">
        <v>766.55</v>
      </c>
      <c r="AD434">
        <v>0</v>
      </c>
      <c r="AE434">
        <v>0</v>
      </c>
      <c r="AF434">
        <v>290.01</v>
      </c>
      <c r="AG434">
        <v>25.1</v>
      </c>
      <c r="AH434">
        <v>0</v>
      </c>
      <c r="AI434">
        <v>1</v>
      </c>
      <c r="AJ434">
        <v>12.13</v>
      </c>
      <c r="AK434">
        <v>30.54</v>
      </c>
      <c r="AL434">
        <v>1</v>
      </c>
      <c r="AM434">
        <v>4</v>
      </c>
      <c r="AN434">
        <v>0</v>
      </c>
      <c r="AO434">
        <v>1</v>
      </c>
      <c r="AP434">
        <v>1</v>
      </c>
      <c r="AQ434">
        <v>0</v>
      </c>
      <c r="AR434">
        <v>0</v>
      </c>
      <c r="AS434" t="s">
        <v>3</v>
      </c>
      <c r="AT434">
        <v>2.2400000000000002</v>
      </c>
      <c r="AU434" t="s">
        <v>90</v>
      </c>
      <c r="AV434">
        <v>0</v>
      </c>
      <c r="AW434">
        <v>2</v>
      </c>
      <c r="AX434">
        <v>145051941</v>
      </c>
      <c r="AY434">
        <v>1</v>
      </c>
      <c r="AZ434">
        <v>0</v>
      </c>
      <c r="BA434">
        <v>434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ROUND(Y434*Source!I169,9)</f>
        <v>12.88644</v>
      </c>
      <c r="CY434">
        <f t="shared" si="198"/>
        <v>3517.82</v>
      </c>
      <c r="CZ434">
        <f t="shared" si="199"/>
        <v>290.01</v>
      </c>
      <c r="DA434">
        <f t="shared" si="200"/>
        <v>12.13</v>
      </c>
      <c r="DB434">
        <f t="shared" si="194"/>
        <v>933.83</v>
      </c>
      <c r="DC434">
        <f t="shared" si="195"/>
        <v>80.819999999999993</v>
      </c>
      <c r="DD434" t="s">
        <v>3</v>
      </c>
      <c r="DE434" t="s">
        <v>3</v>
      </c>
      <c r="DF434">
        <f t="shared" si="192"/>
        <v>0</v>
      </c>
      <c r="DG434">
        <f t="shared" si="201"/>
        <v>45332.18</v>
      </c>
      <c r="DH434">
        <f t="shared" si="196"/>
        <v>9878.1</v>
      </c>
      <c r="DI434">
        <f t="shared" si="197"/>
        <v>0</v>
      </c>
      <c r="DJ434">
        <f t="shared" si="202"/>
        <v>45332.18</v>
      </c>
      <c r="DK434">
        <v>0</v>
      </c>
      <c r="DL434" t="s">
        <v>3</v>
      </c>
      <c r="DM434">
        <v>0</v>
      </c>
      <c r="DN434" t="s">
        <v>3</v>
      </c>
      <c r="DO434">
        <v>0</v>
      </c>
    </row>
    <row r="435" spans="1:119" x14ac:dyDescent="0.2">
      <c r="A435">
        <f>ROW(Source!A169)</f>
        <v>169</v>
      </c>
      <c r="B435">
        <v>145033679</v>
      </c>
      <c r="C435">
        <v>145051934</v>
      </c>
      <c r="D435">
        <v>140923032</v>
      </c>
      <c r="E435">
        <v>1</v>
      </c>
      <c r="F435">
        <v>1</v>
      </c>
      <c r="G435">
        <v>1</v>
      </c>
      <c r="H435">
        <v>2</v>
      </c>
      <c r="I435" t="s">
        <v>968</v>
      </c>
      <c r="J435" t="s">
        <v>969</v>
      </c>
      <c r="K435" t="s">
        <v>970</v>
      </c>
      <c r="L435">
        <v>1367</v>
      </c>
      <c r="N435">
        <v>1011</v>
      </c>
      <c r="O435" t="s">
        <v>79</v>
      </c>
      <c r="P435" t="s">
        <v>79</v>
      </c>
      <c r="Q435">
        <v>1</v>
      </c>
      <c r="W435">
        <v>0</v>
      </c>
      <c r="X435">
        <v>321316643</v>
      </c>
      <c r="Y435">
        <f t="shared" si="193"/>
        <v>1.423125</v>
      </c>
      <c r="AA435">
        <v>0</v>
      </c>
      <c r="AB435">
        <v>10.92</v>
      </c>
      <c r="AC435">
        <v>0</v>
      </c>
      <c r="AD435">
        <v>0</v>
      </c>
      <c r="AE435">
        <v>0</v>
      </c>
      <c r="AF435">
        <v>0.9</v>
      </c>
      <c r="AG435">
        <v>0</v>
      </c>
      <c r="AH435">
        <v>0</v>
      </c>
      <c r="AI435">
        <v>1</v>
      </c>
      <c r="AJ435">
        <v>12.13</v>
      </c>
      <c r="AK435">
        <v>30.54</v>
      </c>
      <c r="AL435">
        <v>1</v>
      </c>
      <c r="AM435">
        <v>4</v>
      </c>
      <c r="AN435">
        <v>0</v>
      </c>
      <c r="AO435">
        <v>1</v>
      </c>
      <c r="AP435">
        <v>1</v>
      </c>
      <c r="AQ435">
        <v>0</v>
      </c>
      <c r="AR435">
        <v>0</v>
      </c>
      <c r="AS435" t="s">
        <v>3</v>
      </c>
      <c r="AT435">
        <v>0.99</v>
      </c>
      <c r="AU435" t="s">
        <v>90</v>
      </c>
      <c r="AV435">
        <v>0</v>
      </c>
      <c r="AW435">
        <v>2</v>
      </c>
      <c r="AX435">
        <v>145051942</v>
      </c>
      <c r="AY435">
        <v>1</v>
      </c>
      <c r="AZ435">
        <v>0</v>
      </c>
      <c r="BA435">
        <v>435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ROUND(Y435*Source!I169,9)</f>
        <v>5.6953462500000001</v>
      </c>
      <c r="CY435">
        <f t="shared" si="198"/>
        <v>10.92</v>
      </c>
      <c r="CZ435">
        <f t="shared" si="199"/>
        <v>0.9</v>
      </c>
      <c r="DA435">
        <f t="shared" si="200"/>
        <v>12.13</v>
      </c>
      <c r="DB435">
        <f t="shared" si="194"/>
        <v>1.28</v>
      </c>
      <c r="DC435">
        <f t="shared" si="195"/>
        <v>0</v>
      </c>
      <c r="DD435" t="s">
        <v>3</v>
      </c>
      <c r="DE435" t="s">
        <v>3</v>
      </c>
      <c r="DF435">
        <f t="shared" si="192"/>
        <v>0</v>
      </c>
      <c r="DG435">
        <f t="shared" si="201"/>
        <v>62.19</v>
      </c>
      <c r="DH435">
        <f t="shared" si="196"/>
        <v>0</v>
      </c>
      <c r="DI435">
        <f t="shared" si="197"/>
        <v>0</v>
      </c>
      <c r="DJ435">
        <f t="shared" si="202"/>
        <v>62.19</v>
      </c>
      <c r="DK435">
        <v>0</v>
      </c>
      <c r="DL435" t="s">
        <v>3</v>
      </c>
      <c r="DM435">
        <v>0</v>
      </c>
      <c r="DN435" t="s">
        <v>3</v>
      </c>
      <c r="DO435">
        <v>0</v>
      </c>
    </row>
    <row r="436" spans="1:119" x14ac:dyDescent="0.2">
      <c r="A436">
        <f>ROW(Source!A169)</f>
        <v>169</v>
      </c>
      <c r="B436">
        <v>145033679</v>
      </c>
      <c r="C436">
        <v>145051934</v>
      </c>
      <c r="D436">
        <v>140923885</v>
      </c>
      <c r="E436">
        <v>1</v>
      </c>
      <c r="F436">
        <v>1</v>
      </c>
      <c r="G436">
        <v>1</v>
      </c>
      <c r="H436">
        <v>2</v>
      </c>
      <c r="I436" t="s">
        <v>732</v>
      </c>
      <c r="J436" t="s">
        <v>733</v>
      </c>
      <c r="K436" t="s">
        <v>734</v>
      </c>
      <c r="L436">
        <v>1367</v>
      </c>
      <c r="N436">
        <v>1011</v>
      </c>
      <c r="O436" t="s">
        <v>79</v>
      </c>
      <c r="P436" t="s">
        <v>79</v>
      </c>
      <c r="Q436">
        <v>1</v>
      </c>
      <c r="W436">
        <v>0</v>
      </c>
      <c r="X436">
        <v>509054691</v>
      </c>
      <c r="Y436">
        <f t="shared" si="193"/>
        <v>0.71875</v>
      </c>
      <c r="AA436">
        <v>0</v>
      </c>
      <c r="AB436">
        <v>797.06</v>
      </c>
      <c r="AC436">
        <v>354.26</v>
      </c>
      <c r="AD436">
        <v>0</v>
      </c>
      <c r="AE436">
        <v>0</v>
      </c>
      <c r="AF436">
        <v>65.709999999999994</v>
      </c>
      <c r="AG436">
        <v>11.6</v>
      </c>
      <c r="AH436">
        <v>0</v>
      </c>
      <c r="AI436">
        <v>1</v>
      </c>
      <c r="AJ436">
        <v>12.13</v>
      </c>
      <c r="AK436">
        <v>30.54</v>
      </c>
      <c r="AL436">
        <v>1</v>
      </c>
      <c r="AM436">
        <v>4</v>
      </c>
      <c r="AN436">
        <v>0</v>
      </c>
      <c r="AO436">
        <v>1</v>
      </c>
      <c r="AP436">
        <v>1</v>
      </c>
      <c r="AQ436">
        <v>0</v>
      </c>
      <c r="AR436">
        <v>0</v>
      </c>
      <c r="AS436" t="s">
        <v>3</v>
      </c>
      <c r="AT436">
        <v>0.5</v>
      </c>
      <c r="AU436" t="s">
        <v>90</v>
      </c>
      <c r="AV436">
        <v>0</v>
      </c>
      <c r="AW436">
        <v>2</v>
      </c>
      <c r="AX436">
        <v>145051943</v>
      </c>
      <c r="AY436">
        <v>1</v>
      </c>
      <c r="AZ436">
        <v>0</v>
      </c>
      <c r="BA436">
        <v>436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ROUND(Y436*Source!I169,9)</f>
        <v>2.8764375000000002</v>
      </c>
      <c r="CY436">
        <f t="shared" si="198"/>
        <v>797.06</v>
      </c>
      <c r="CZ436">
        <f t="shared" si="199"/>
        <v>65.709999999999994</v>
      </c>
      <c r="DA436">
        <f t="shared" si="200"/>
        <v>12.13</v>
      </c>
      <c r="DB436">
        <f t="shared" si="194"/>
        <v>47.24</v>
      </c>
      <c r="DC436">
        <f t="shared" si="195"/>
        <v>8.34</v>
      </c>
      <c r="DD436" t="s">
        <v>3</v>
      </c>
      <c r="DE436" t="s">
        <v>3</v>
      </c>
      <c r="DF436">
        <f t="shared" si="192"/>
        <v>0</v>
      </c>
      <c r="DG436">
        <f t="shared" si="201"/>
        <v>2292.69</v>
      </c>
      <c r="DH436">
        <f t="shared" si="196"/>
        <v>1019.01</v>
      </c>
      <c r="DI436">
        <f t="shared" si="197"/>
        <v>0</v>
      </c>
      <c r="DJ436">
        <f t="shared" si="202"/>
        <v>2292.69</v>
      </c>
      <c r="DK436">
        <v>0</v>
      </c>
      <c r="DL436" t="s">
        <v>3</v>
      </c>
      <c r="DM436">
        <v>0</v>
      </c>
      <c r="DN436" t="s">
        <v>3</v>
      </c>
      <c r="DO436">
        <v>0</v>
      </c>
    </row>
    <row r="437" spans="1:119" x14ac:dyDescent="0.2">
      <c r="A437">
        <f>ROW(Source!A169)</f>
        <v>169</v>
      </c>
      <c r="B437">
        <v>145033679</v>
      </c>
      <c r="C437">
        <v>145051934</v>
      </c>
      <c r="D437">
        <v>140924041</v>
      </c>
      <c r="E437">
        <v>1</v>
      </c>
      <c r="F437">
        <v>1</v>
      </c>
      <c r="G437">
        <v>1</v>
      </c>
      <c r="H437">
        <v>2</v>
      </c>
      <c r="I437" t="s">
        <v>777</v>
      </c>
      <c r="J437" t="s">
        <v>778</v>
      </c>
      <c r="K437" t="s">
        <v>779</v>
      </c>
      <c r="L437">
        <v>1367</v>
      </c>
      <c r="N437">
        <v>1011</v>
      </c>
      <c r="O437" t="s">
        <v>79</v>
      </c>
      <c r="P437" t="s">
        <v>79</v>
      </c>
      <c r="Q437">
        <v>1</v>
      </c>
      <c r="W437">
        <v>0</v>
      </c>
      <c r="X437">
        <v>2077867240</v>
      </c>
      <c r="Y437">
        <f t="shared" si="193"/>
        <v>4.83</v>
      </c>
      <c r="AA437">
        <v>0</v>
      </c>
      <c r="AB437">
        <v>14.56</v>
      </c>
      <c r="AC437">
        <v>0</v>
      </c>
      <c r="AD437">
        <v>0</v>
      </c>
      <c r="AE437">
        <v>0</v>
      </c>
      <c r="AF437">
        <v>1.2</v>
      </c>
      <c r="AG437">
        <v>0</v>
      </c>
      <c r="AH437">
        <v>0</v>
      </c>
      <c r="AI437">
        <v>1</v>
      </c>
      <c r="AJ437">
        <v>12.13</v>
      </c>
      <c r="AK437">
        <v>30.54</v>
      </c>
      <c r="AL437">
        <v>1</v>
      </c>
      <c r="AM437">
        <v>4</v>
      </c>
      <c r="AN437">
        <v>0</v>
      </c>
      <c r="AO437">
        <v>1</v>
      </c>
      <c r="AP437">
        <v>1</v>
      </c>
      <c r="AQ437">
        <v>0</v>
      </c>
      <c r="AR437">
        <v>0</v>
      </c>
      <c r="AS437" t="s">
        <v>3</v>
      </c>
      <c r="AT437">
        <v>3.36</v>
      </c>
      <c r="AU437" t="s">
        <v>90</v>
      </c>
      <c r="AV437">
        <v>0</v>
      </c>
      <c r="AW437">
        <v>2</v>
      </c>
      <c r="AX437">
        <v>145051944</v>
      </c>
      <c r="AY437">
        <v>1</v>
      </c>
      <c r="AZ437">
        <v>0</v>
      </c>
      <c r="BA437">
        <v>437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ROUND(Y437*Source!I169,9)</f>
        <v>19.329660000000001</v>
      </c>
      <c r="CY437">
        <f t="shared" si="198"/>
        <v>14.56</v>
      </c>
      <c r="CZ437">
        <f t="shared" si="199"/>
        <v>1.2</v>
      </c>
      <c r="DA437">
        <f t="shared" si="200"/>
        <v>12.13</v>
      </c>
      <c r="DB437">
        <f t="shared" si="194"/>
        <v>5.79</v>
      </c>
      <c r="DC437">
        <f t="shared" si="195"/>
        <v>0</v>
      </c>
      <c r="DD437" t="s">
        <v>3</v>
      </c>
      <c r="DE437" t="s">
        <v>3</v>
      </c>
      <c r="DF437">
        <f t="shared" si="192"/>
        <v>0</v>
      </c>
      <c r="DG437">
        <f t="shared" si="201"/>
        <v>281.44</v>
      </c>
      <c r="DH437">
        <f t="shared" si="196"/>
        <v>0</v>
      </c>
      <c r="DI437">
        <f t="shared" si="197"/>
        <v>0</v>
      </c>
      <c r="DJ437">
        <f t="shared" si="202"/>
        <v>281.44</v>
      </c>
      <c r="DK437">
        <v>0</v>
      </c>
      <c r="DL437" t="s">
        <v>3</v>
      </c>
      <c r="DM437">
        <v>0</v>
      </c>
      <c r="DN437" t="s">
        <v>3</v>
      </c>
      <c r="DO437">
        <v>0</v>
      </c>
    </row>
    <row r="438" spans="1:119" x14ac:dyDescent="0.2">
      <c r="A438">
        <f>ROW(Source!A169)</f>
        <v>169</v>
      </c>
      <c r="B438">
        <v>145033679</v>
      </c>
      <c r="C438">
        <v>145051934</v>
      </c>
      <c r="D438">
        <v>140924084</v>
      </c>
      <c r="E438">
        <v>1</v>
      </c>
      <c r="F438">
        <v>1</v>
      </c>
      <c r="G438">
        <v>1</v>
      </c>
      <c r="H438">
        <v>2</v>
      </c>
      <c r="I438" t="s">
        <v>971</v>
      </c>
      <c r="J438" t="s">
        <v>972</v>
      </c>
      <c r="K438" t="s">
        <v>973</v>
      </c>
      <c r="L438">
        <v>1367</v>
      </c>
      <c r="N438">
        <v>1011</v>
      </c>
      <c r="O438" t="s">
        <v>79</v>
      </c>
      <c r="P438" t="s">
        <v>79</v>
      </c>
      <c r="Q438">
        <v>1</v>
      </c>
      <c r="W438">
        <v>0</v>
      </c>
      <c r="X438">
        <v>-1866313122</v>
      </c>
      <c r="Y438">
        <f t="shared" si="193"/>
        <v>0.25874999999999998</v>
      </c>
      <c r="AA438">
        <v>0</v>
      </c>
      <c r="AB438">
        <v>149.32</v>
      </c>
      <c r="AC438">
        <v>0</v>
      </c>
      <c r="AD438">
        <v>0</v>
      </c>
      <c r="AE438">
        <v>0</v>
      </c>
      <c r="AF438">
        <v>12.31</v>
      </c>
      <c r="AG438">
        <v>0</v>
      </c>
      <c r="AH438">
        <v>0</v>
      </c>
      <c r="AI438">
        <v>1</v>
      </c>
      <c r="AJ438">
        <v>12.13</v>
      </c>
      <c r="AK438">
        <v>30.54</v>
      </c>
      <c r="AL438">
        <v>1</v>
      </c>
      <c r="AM438">
        <v>4</v>
      </c>
      <c r="AN438">
        <v>0</v>
      </c>
      <c r="AO438">
        <v>1</v>
      </c>
      <c r="AP438">
        <v>1</v>
      </c>
      <c r="AQ438">
        <v>0</v>
      </c>
      <c r="AR438">
        <v>0</v>
      </c>
      <c r="AS438" t="s">
        <v>3</v>
      </c>
      <c r="AT438">
        <v>0.18</v>
      </c>
      <c r="AU438" t="s">
        <v>90</v>
      </c>
      <c r="AV438">
        <v>0</v>
      </c>
      <c r="AW438">
        <v>2</v>
      </c>
      <c r="AX438">
        <v>145051945</v>
      </c>
      <c r="AY438">
        <v>1</v>
      </c>
      <c r="AZ438">
        <v>0</v>
      </c>
      <c r="BA438">
        <v>438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ROUND(Y438*Source!I169,9)</f>
        <v>1.0355175000000001</v>
      </c>
      <c r="CY438">
        <f t="shared" si="198"/>
        <v>149.32</v>
      </c>
      <c r="CZ438">
        <f t="shared" si="199"/>
        <v>12.31</v>
      </c>
      <c r="DA438">
        <f t="shared" si="200"/>
        <v>12.13</v>
      </c>
      <c r="DB438">
        <f t="shared" si="194"/>
        <v>3.19</v>
      </c>
      <c r="DC438">
        <f t="shared" si="195"/>
        <v>0</v>
      </c>
      <c r="DD438" t="s">
        <v>3</v>
      </c>
      <c r="DE438" t="s">
        <v>3</v>
      </c>
      <c r="DF438">
        <f t="shared" si="192"/>
        <v>0</v>
      </c>
      <c r="DG438">
        <f t="shared" si="201"/>
        <v>154.62</v>
      </c>
      <c r="DH438">
        <f t="shared" si="196"/>
        <v>0</v>
      </c>
      <c r="DI438">
        <f t="shared" si="197"/>
        <v>0</v>
      </c>
      <c r="DJ438">
        <f t="shared" si="202"/>
        <v>154.62</v>
      </c>
      <c r="DK438">
        <v>0</v>
      </c>
      <c r="DL438" t="s">
        <v>3</v>
      </c>
      <c r="DM438">
        <v>0</v>
      </c>
      <c r="DN438" t="s">
        <v>3</v>
      </c>
      <c r="DO438">
        <v>0</v>
      </c>
    </row>
    <row r="439" spans="1:119" x14ac:dyDescent="0.2">
      <c r="A439">
        <f>ROW(Source!A169)</f>
        <v>169</v>
      </c>
      <c r="B439">
        <v>145033679</v>
      </c>
      <c r="C439">
        <v>145051934</v>
      </c>
      <c r="D439">
        <v>140771005</v>
      </c>
      <c r="E439">
        <v>1</v>
      </c>
      <c r="F439">
        <v>1</v>
      </c>
      <c r="G439">
        <v>1</v>
      </c>
      <c r="H439">
        <v>3</v>
      </c>
      <c r="I439" t="s">
        <v>786</v>
      </c>
      <c r="J439" t="s">
        <v>787</v>
      </c>
      <c r="K439" t="s">
        <v>788</v>
      </c>
      <c r="L439">
        <v>1339</v>
      </c>
      <c r="N439">
        <v>1007</v>
      </c>
      <c r="O439" t="s">
        <v>66</v>
      </c>
      <c r="P439" t="s">
        <v>66</v>
      </c>
      <c r="Q439">
        <v>1</v>
      </c>
      <c r="W439">
        <v>0</v>
      </c>
      <c r="X439">
        <v>-1761807714</v>
      </c>
      <c r="Y439">
        <f t="shared" ref="Y439:Y454" si="203">AT439</f>
        <v>2.98</v>
      </c>
      <c r="AA439">
        <v>54.18</v>
      </c>
      <c r="AB439">
        <v>0</v>
      </c>
      <c r="AC439">
        <v>0</v>
      </c>
      <c r="AD439">
        <v>0</v>
      </c>
      <c r="AE439">
        <v>6.22</v>
      </c>
      <c r="AF439">
        <v>0</v>
      </c>
      <c r="AG439">
        <v>0</v>
      </c>
      <c r="AH439">
        <v>0</v>
      </c>
      <c r="AI439">
        <v>8.7100000000000009</v>
      </c>
      <c r="AJ439">
        <v>1</v>
      </c>
      <c r="AK439">
        <v>1</v>
      </c>
      <c r="AL439">
        <v>1</v>
      </c>
      <c r="AM439">
        <v>4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2.98</v>
      </c>
      <c r="AU439" t="s">
        <v>3</v>
      </c>
      <c r="AV439">
        <v>0</v>
      </c>
      <c r="AW439">
        <v>2</v>
      </c>
      <c r="AX439">
        <v>145051946</v>
      </c>
      <c r="AY439">
        <v>1</v>
      </c>
      <c r="AZ439">
        <v>0</v>
      </c>
      <c r="BA439">
        <v>439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ROUND(Y439*Source!I169,9)</f>
        <v>11.92596</v>
      </c>
      <c r="CY439">
        <f t="shared" ref="CY439:CY454" si="204">AA439</f>
        <v>54.18</v>
      </c>
      <c r="CZ439">
        <f t="shared" ref="CZ439:CZ454" si="205">AE439</f>
        <v>6.22</v>
      </c>
      <c r="DA439">
        <f t="shared" ref="DA439:DA454" si="206">AI439</f>
        <v>8.7100000000000009</v>
      </c>
      <c r="DB439">
        <f t="shared" ref="DB439:DB454" si="207">ROUND(ROUND(AT439*CZ439,2),2)</f>
        <v>18.54</v>
      </c>
      <c r="DC439">
        <f t="shared" ref="DC439:DC454" si="208">ROUND(ROUND(AT439*AG439,2),2)</f>
        <v>0</v>
      </c>
      <c r="DD439" t="s">
        <v>3</v>
      </c>
      <c r="DE439" t="s">
        <v>3</v>
      </c>
      <c r="DF439">
        <f t="shared" ref="DF439:DF454" si="209">ROUND(ROUND(AE439*AI439,2)*CX439,2)</f>
        <v>646.15</v>
      </c>
      <c r="DG439">
        <f t="shared" ref="DG439:DG454" si="210">ROUND(ROUND(AF439,2)*CX439,2)</f>
        <v>0</v>
      </c>
      <c r="DH439">
        <f t="shared" ref="DH439:DH454" si="211">ROUND(ROUND(AG439,2)*CX439,2)</f>
        <v>0</v>
      </c>
      <c r="DI439">
        <f t="shared" si="197"/>
        <v>0</v>
      </c>
      <c r="DJ439">
        <f t="shared" ref="DJ439:DJ454" si="212">DF439</f>
        <v>646.15</v>
      </c>
      <c r="DK439">
        <v>0</v>
      </c>
      <c r="DL439" t="s">
        <v>3</v>
      </c>
      <c r="DM439">
        <v>0</v>
      </c>
      <c r="DN439" t="s">
        <v>3</v>
      </c>
      <c r="DO439">
        <v>0</v>
      </c>
    </row>
    <row r="440" spans="1:119" x14ac:dyDescent="0.2">
      <c r="A440">
        <f>ROW(Source!A169)</f>
        <v>169</v>
      </c>
      <c r="B440">
        <v>145033679</v>
      </c>
      <c r="C440">
        <v>145051934</v>
      </c>
      <c r="D440">
        <v>140771011</v>
      </c>
      <c r="E440">
        <v>1</v>
      </c>
      <c r="F440">
        <v>1</v>
      </c>
      <c r="G440">
        <v>1</v>
      </c>
      <c r="H440">
        <v>3</v>
      </c>
      <c r="I440" t="s">
        <v>789</v>
      </c>
      <c r="J440" t="s">
        <v>790</v>
      </c>
      <c r="K440" t="s">
        <v>791</v>
      </c>
      <c r="L440">
        <v>1346</v>
      </c>
      <c r="N440">
        <v>1009</v>
      </c>
      <c r="O440" t="s">
        <v>43</v>
      </c>
      <c r="P440" t="s">
        <v>43</v>
      </c>
      <c r="Q440">
        <v>1</v>
      </c>
      <c r="W440">
        <v>0</v>
      </c>
      <c r="X440">
        <v>-2118006079</v>
      </c>
      <c r="Y440">
        <f t="shared" si="203"/>
        <v>0.90300000000000002</v>
      </c>
      <c r="AA440">
        <v>53.04</v>
      </c>
      <c r="AB440">
        <v>0</v>
      </c>
      <c r="AC440">
        <v>0</v>
      </c>
      <c r="AD440">
        <v>0</v>
      </c>
      <c r="AE440">
        <v>6.09</v>
      </c>
      <c r="AF440">
        <v>0</v>
      </c>
      <c r="AG440">
        <v>0</v>
      </c>
      <c r="AH440">
        <v>0</v>
      </c>
      <c r="AI440">
        <v>8.7100000000000009</v>
      </c>
      <c r="AJ440">
        <v>1</v>
      </c>
      <c r="AK440">
        <v>1</v>
      </c>
      <c r="AL440">
        <v>1</v>
      </c>
      <c r="AM440">
        <v>4</v>
      </c>
      <c r="AN440">
        <v>0</v>
      </c>
      <c r="AO440">
        <v>1</v>
      </c>
      <c r="AP440">
        <v>0</v>
      </c>
      <c r="AQ440">
        <v>0</v>
      </c>
      <c r="AR440">
        <v>0</v>
      </c>
      <c r="AS440" t="s">
        <v>3</v>
      </c>
      <c r="AT440">
        <v>0.90300000000000002</v>
      </c>
      <c r="AU440" t="s">
        <v>3</v>
      </c>
      <c r="AV440">
        <v>0</v>
      </c>
      <c r="AW440">
        <v>2</v>
      </c>
      <c r="AX440">
        <v>145051947</v>
      </c>
      <c r="AY440">
        <v>1</v>
      </c>
      <c r="AZ440">
        <v>0</v>
      </c>
      <c r="BA440">
        <v>440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ROUND(Y440*Source!I169,9)</f>
        <v>3.6138059999999999</v>
      </c>
      <c r="CY440">
        <f t="shared" si="204"/>
        <v>53.04</v>
      </c>
      <c r="CZ440">
        <f t="shared" si="205"/>
        <v>6.09</v>
      </c>
      <c r="DA440">
        <f t="shared" si="206"/>
        <v>8.7100000000000009</v>
      </c>
      <c r="DB440">
        <f t="shared" si="207"/>
        <v>5.5</v>
      </c>
      <c r="DC440">
        <f t="shared" si="208"/>
        <v>0</v>
      </c>
      <c r="DD440" t="s">
        <v>3</v>
      </c>
      <c r="DE440" t="s">
        <v>3</v>
      </c>
      <c r="DF440">
        <f t="shared" si="209"/>
        <v>191.68</v>
      </c>
      <c r="DG440">
        <f t="shared" si="210"/>
        <v>0</v>
      </c>
      <c r="DH440">
        <f t="shared" si="211"/>
        <v>0</v>
      </c>
      <c r="DI440">
        <f t="shared" si="197"/>
        <v>0</v>
      </c>
      <c r="DJ440">
        <f t="shared" si="212"/>
        <v>191.68</v>
      </c>
      <c r="DK440">
        <v>0</v>
      </c>
      <c r="DL440" t="s">
        <v>3</v>
      </c>
      <c r="DM440">
        <v>0</v>
      </c>
      <c r="DN440" t="s">
        <v>3</v>
      </c>
      <c r="DO440">
        <v>0</v>
      </c>
    </row>
    <row r="441" spans="1:119" x14ac:dyDescent="0.2">
      <c r="A441">
        <f>ROW(Source!A169)</f>
        <v>169</v>
      </c>
      <c r="B441">
        <v>145033679</v>
      </c>
      <c r="C441">
        <v>145051934</v>
      </c>
      <c r="D441">
        <v>140773776</v>
      </c>
      <c r="E441">
        <v>1</v>
      </c>
      <c r="F441">
        <v>1</v>
      </c>
      <c r="G441">
        <v>1</v>
      </c>
      <c r="H441">
        <v>3</v>
      </c>
      <c r="I441" t="s">
        <v>1093</v>
      </c>
      <c r="J441" t="s">
        <v>1094</v>
      </c>
      <c r="K441" t="s">
        <v>1095</v>
      </c>
      <c r="L441">
        <v>1348</v>
      </c>
      <c r="N441">
        <v>1009</v>
      </c>
      <c r="O441" t="s">
        <v>105</v>
      </c>
      <c r="P441" t="s">
        <v>105</v>
      </c>
      <c r="Q441">
        <v>1000</v>
      </c>
      <c r="W441">
        <v>0</v>
      </c>
      <c r="X441">
        <v>1163323608</v>
      </c>
      <c r="Y441">
        <f t="shared" si="203"/>
        <v>3.3999999999999998E-3</v>
      </c>
      <c r="AA441">
        <v>89843.74</v>
      </c>
      <c r="AB441">
        <v>0</v>
      </c>
      <c r="AC441">
        <v>0</v>
      </c>
      <c r="AD441">
        <v>0</v>
      </c>
      <c r="AE441">
        <v>10315.01</v>
      </c>
      <c r="AF441">
        <v>0</v>
      </c>
      <c r="AG441">
        <v>0</v>
      </c>
      <c r="AH441">
        <v>0</v>
      </c>
      <c r="AI441">
        <v>8.7100000000000009</v>
      </c>
      <c r="AJ441">
        <v>1</v>
      </c>
      <c r="AK441">
        <v>1</v>
      </c>
      <c r="AL441">
        <v>1</v>
      </c>
      <c r="AM441">
        <v>4</v>
      </c>
      <c r="AN441">
        <v>0</v>
      </c>
      <c r="AO441">
        <v>1</v>
      </c>
      <c r="AP441">
        <v>0</v>
      </c>
      <c r="AQ441">
        <v>0</v>
      </c>
      <c r="AR441">
        <v>0</v>
      </c>
      <c r="AS441" t="s">
        <v>3</v>
      </c>
      <c r="AT441">
        <v>3.3999999999999998E-3</v>
      </c>
      <c r="AU441" t="s">
        <v>3</v>
      </c>
      <c r="AV441">
        <v>0</v>
      </c>
      <c r="AW441">
        <v>2</v>
      </c>
      <c r="AX441">
        <v>145051948</v>
      </c>
      <c r="AY441">
        <v>1</v>
      </c>
      <c r="AZ441">
        <v>0</v>
      </c>
      <c r="BA441">
        <v>441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ROUND(Y441*Source!I169,9)</f>
        <v>1.36068E-2</v>
      </c>
      <c r="CY441">
        <f t="shared" si="204"/>
        <v>89843.74</v>
      </c>
      <c r="CZ441">
        <f t="shared" si="205"/>
        <v>10315.01</v>
      </c>
      <c r="DA441">
        <f t="shared" si="206"/>
        <v>8.7100000000000009</v>
      </c>
      <c r="DB441">
        <f t="shared" si="207"/>
        <v>35.07</v>
      </c>
      <c r="DC441">
        <f t="shared" si="208"/>
        <v>0</v>
      </c>
      <c r="DD441" t="s">
        <v>3</v>
      </c>
      <c r="DE441" t="s">
        <v>3</v>
      </c>
      <c r="DF441">
        <f t="shared" si="209"/>
        <v>1222.49</v>
      </c>
      <c r="DG441">
        <f t="shared" si="210"/>
        <v>0</v>
      </c>
      <c r="DH441">
        <f t="shared" si="211"/>
        <v>0</v>
      </c>
      <c r="DI441">
        <f t="shared" si="197"/>
        <v>0</v>
      </c>
      <c r="DJ441">
        <f t="shared" si="212"/>
        <v>1222.49</v>
      </c>
      <c r="DK441">
        <v>0</v>
      </c>
      <c r="DL441" t="s">
        <v>3</v>
      </c>
      <c r="DM441">
        <v>0</v>
      </c>
      <c r="DN441" t="s">
        <v>3</v>
      </c>
      <c r="DO441">
        <v>0</v>
      </c>
    </row>
    <row r="442" spans="1:119" x14ac:dyDescent="0.2">
      <c r="A442">
        <f>ROW(Source!A169)</f>
        <v>169</v>
      </c>
      <c r="B442">
        <v>145033679</v>
      </c>
      <c r="C442">
        <v>145051934</v>
      </c>
      <c r="D442">
        <v>140775017</v>
      </c>
      <c r="E442">
        <v>1</v>
      </c>
      <c r="F442">
        <v>1</v>
      </c>
      <c r="G442">
        <v>1</v>
      </c>
      <c r="H442">
        <v>3</v>
      </c>
      <c r="I442" t="s">
        <v>977</v>
      </c>
      <c r="J442" t="s">
        <v>978</v>
      </c>
      <c r="K442" t="s">
        <v>979</v>
      </c>
      <c r="L442">
        <v>1346</v>
      </c>
      <c r="N442">
        <v>1009</v>
      </c>
      <c r="O442" t="s">
        <v>43</v>
      </c>
      <c r="P442" t="s">
        <v>43</v>
      </c>
      <c r="Q442">
        <v>1</v>
      </c>
      <c r="W442">
        <v>0</v>
      </c>
      <c r="X442">
        <v>-1864341761</v>
      </c>
      <c r="Y442">
        <f t="shared" si="203"/>
        <v>7</v>
      </c>
      <c r="AA442">
        <v>78.739999999999995</v>
      </c>
      <c r="AB442">
        <v>0</v>
      </c>
      <c r="AC442">
        <v>0</v>
      </c>
      <c r="AD442">
        <v>0</v>
      </c>
      <c r="AE442">
        <v>9.0399999999999991</v>
      </c>
      <c r="AF442">
        <v>0</v>
      </c>
      <c r="AG442">
        <v>0</v>
      </c>
      <c r="AH442">
        <v>0</v>
      </c>
      <c r="AI442">
        <v>8.7100000000000009</v>
      </c>
      <c r="AJ442">
        <v>1</v>
      </c>
      <c r="AK442">
        <v>1</v>
      </c>
      <c r="AL442">
        <v>1</v>
      </c>
      <c r="AM442">
        <v>4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3</v>
      </c>
      <c r="AT442">
        <v>7</v>
      </c>
      <c r="AU442" t="s">
        <v>3</v>
      </c>
      <c r="AV442">
        <v>0</v>
      </c>
      <c r="AW442">
        <v>2</v>
      </c>
      <c r="AX442">
        <v>145051949</v>
      </c>
      <c r="AY442">
        <v>1</v>
      </c>
      <c r="AZ442">
        <v>0</v>
      </c>
      <c r="BA442">
        <v>442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ROUND(Y442*Source!I169,9)</f>
        <v>28.013999999999999</v>
      </c>
      <c r="CY442">
        <f t="shared" si="204"/>
        <v>78.739999999999995</v>
      </c>
      <c r="CZ442">
        <f t="shared" si="205"/>
        <v>9.0399999999999991</v>
      </c>
      <c r="DA442">
        <f t="shared" si="206"/>
        <v>8.7100000000000009</v>
      </c>
      <c r="DB442">
        <f t="shared" si="207"/>
        <v>63.28</v>
      </c>
      <c r="DC442">
        <f t="shared" si="208"/>
        <v>0</v>
      </c>
      <c r="DD442" t="s">
        <v>3</v>
      </c>
      <c r="DE442" t="s">
        <v>3</v>
      </c>
      <c r="DF442">
        <f t="shared" si="209"/>
        <v>2205.8200000000002</v>
      </c>
      <c r="DG442">
        <f t="shared" si="210"/>
        <v>0</v>
      </c>
      <c r="DH442">
        <f t="shared" si="211"/>
        <v>0</v>
      </c>
      <c r="DI442">
        <f t="shared" si="197"/>
        <v>0</v>
      </c>
      <c r="DJ442">
        <f t="shared" si="212"/>
        <v>2205.8200000000002</v>
      </c>
      <c r="DK442">
        <v>0</v>
      </c>
      <c r="DL442" t="s">
        <v>3</v>
      </c>
      <c r="DM442">
        <v>0</v>
      </c>
      <c r="DN442" t="s">
        <v>3</v>
      </c>
      <c r="DO442">
        <v>0</v>
      </c>
    </row>
    <row r="443" spans="1:119" x14ac:dyDescent="0.2">
      <c r="A443">
        <f>ROW(Source!A169)</f>
        <v>169</v>
      </c>
      <c r="B443">
        <v>145033679</v>
      </c>
      <c r="C443">
        <v>145051934</v>
      </c>
      <c r="D443">
        <v>140775118</v>
      </c>
      <c r="E443">
        <v>1</v>
      </c>
      <c r="F443">
        <v>1</v>
      </c>
      <c r="G443">
        <v>1</v>
      </c>
      <c r="H443">
        <v>3</v>
      </c>
      <c r="I443" t="s">
        <v>980</v>
      </c>
      <c r="J443" t="s">
        <v>981</v>
      </c>
      <c r="K443" t="s">
        <v>982</v>
      </c>
      <c r="L443">
        <v>1348</v>
      </c>
      <c r="N443">
        <v>1009</v>
      </c>
      <c r="O443" t="s">
        <v>105</v>
      </c>
      <c r="P443" t="s">
        <v>105</v>
      </c>
      <c r="Q443">
        <v>1000</v>
      </c>
      <c r="W443">
        <v>0</v>
      </c>
      <c r="X443">
        <v>-45966985</v>
      </c>
      <c r="Y443">
        <f t="shared" si="203"/>
        <v>2.0000000000000002E-5</v>
      </c>
      <c r="AA443">
        <v>104328.38</v>
      </c>
      <c r="AB443">
        <v>0</v>
      </c>
      <c r="AC443">
        <v>0</v>
      </c>
      <c r="AD443">
        <v>0</v>
      </c>
      <c r="AE443">
        <v>11978</v>
      </c>
      <c r="AF443">
        <v>0</v>
      </c>
      <c r="AG443">
        <v>0</v>
      </c>
      <c r="AH443">
        <v>0</v>
      </c>
      <c r="AI443">
        <v>8.7100000000000009</v>
      </c>
      <c r="AJ443">
        <v>1</v>
      </c>
      <c r="AK443">
        <v>1</v>
      </c>
      <c r="AL443">
        <v>1</v>
      </c>
      <c r="AM443">
        <v>4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3</v>
      </c>
      <c r="AT443">
        <v>2.0000000000000002E-5</v>
      </c>
      <c r="AU443" t="s">
        <v>3</v>
      </c>
      <c r="AV443">
        <v>0</v>
      </c>
      <c r="AW443">
        <v>2</v>
      </c>
      <c r="AX443">
        <v>145051950</v>
      </c>
      <c r="AY443">
        <v>1</v>
      </c>
      <c r="AZ443">
        <v>0</v>
      </c>
      <c r="BA443">
        <v>443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ROUND(Y443*Source!I169,9)</f>
        <v>8.0039999999999999E-5</v>
      </c>
      <c r="CY443">
        <f t="shared" si="204"/>
        <v>104328.38</v>
      </c>
      <c r="CZ443">
        <f t="shared" si="205"/>
        <v>11978</v>
      </c>
      <c r="DA443">
        <f t="shared" si="206"/>
        <v>8.7100000000000009</v>
      </c>
      <c r="DB443">
        <f t="shared" si="207"/>
        <v>0.24</v>
      </c>
      <c r="DC443">
        <f t="shared" si="208"/>
        <v>0</v>
      </c>
      <c r="DD443" t="s">
        <v>3</v>
      </c>
      <c r="DE443" t="s">
        <v>3</v>
      </c>
      <c r="DF443">
        <f t="shared" si="209"/>
        <v>8.35</v>
      </c>
      <c r="DG443">
        <f t="shared" si="210"/>
        <v>0</v>
      </c>
      <c r="DH443">
        <f t="shared" si="211"/>
        <v>0</v>
      </c>
      <c r="DI443">
        <f t="shared" si="197"/>
        <v>0</v>
      </c>
      <c r="DJ443">
        <f t="shared" si="212"/>
        <v>8.35</v>
      </c>
      <c r="DK443">
        <v>0</v>
      </c>
      <c r="DL443" t="s">
        <v>3</v>
      </c>
      <c r="DM443">
        <v>0</v>
      </c>
      <c r="DN443" t="s">
        <v>3</v>
      </c>
      <c r="DO443">
        <v>0</v>
      </c>
    </row>
    <row r="444" spans="1:119" x14ac:dyDescent="0.2">
      <c r="A444">
        <f>ROW(Source!A169)</f>
        <v>169</v>
      </c>
      <c r="B444">
        <v>145033679</v>
      </c>
      <c r="C444">
        <v>145051934</v>
      </c>
      <c r="D444">
        <v>140776229</v>
      </c>
      <c r="E444">
        <v>1</v>
      </c>
      <c r="F444">
        <v>1</v>
      </c>
      <c r="G444">
        <v>1</v>
      </c>
      <c r="H444">
        <v>3</v>
      </c>
      <c r="I444" t="s">
        <v>983</v>
      </c>
      <c r="J444" t="s">
        <v>984</v>
      </c>
      <c r="K444" t="s">
        <v>985</v>
      </c>
      <c r="L444">
        <v>1348</v>
      </c>
      <c r="N444">
        <v>1009</v>
      </c>
      <c r="O444" t="s">
        <v>105</v>
      </c>
      <c r="P444" t="s">
        <v>105</v>
      </c>
      <c r="Q444">
        <v>1000</v>
      </c>
      <c r="W444">
        <v>0</v>
      </c>
      <c r="X444">
        <v>-1671348935</v>
      </c>
      <c r="Y444">
        <f t="shared" si="203"/>
        <v>1.4999999999999999E-4</v>
      </c>
      <c r="AA444">
        <v>330109</v>
      </c>
      <c r="AB444">
        <v>0</v>
      </c>
      <c r="AC444">
        <v>0</v>
      </c>
      <c r="AD444">
        <v>0</v>
      </c>
      <c r="AE444">
        <v>37900</v>
      </c>
      <c r="AF444">
        <v>0</v>
      </c>
      <c r="AG444">
        <v>0</v>
      </c>
      <c r="AH444">
        <v>0</v>
      </c>
      <c r="AI444">
        <v>8.7100000000000009</v>
      </c>
      <c r="AJ444">
        <v>1</v>
      </c>
      <c r="AK444">
        <v>1</v>
      </c>
      <c r="AL444">
        <v>1</v>
      </c>
      <c r="AM444">
        <v>4</v>
      </c>
      <c r="AN444">
        <v>0</v>
      </c>
      <c r="AO444">
        <v>1</v>
      </c>
      <c r="AP444">
        <v>0</v>
      </c>
      <c r="AQ444">
        <v>0</v>
      </c>
      <c r="AR444">
        <v>0</v>
      </c>
      <c r="AS444" t="s">
        <v>3</v>
      </c>
      <c r="AT444">
        <v>1.4999999999999999E-4</v>
      </c>
      <c r="AU444" t="s">
        <v>3</v>
      </c>
      <c r="AV444">
        <v>0</v>
      </c>
      <c r="AW444">
        <v>2</v>
      </c>
      <c r="AX444">
        <v>145051951</v>
      </c>
      <c r="AY444">
        <v>1</v>
      </c>
      <c r="AZ444">
        <v>0</v>
      </c>
      <c r="BA444">
        <v>444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ROUND(Y444*Source!I169,9)</f>
        <v>6.0030000000000001E-4</v>
      </c>
      <c r="CY444">
        <f t="shared" si="204"/>
        <v>330109</v>
      </c>
      <c r="CZ444">
        <f t="shared" si="205"/>
        <v>37900</v>
      </c>
      <c r="DA444">
        <f t="shared" si="206"/>
        <v>8.7100000000000009</v>
      </c>
      <c r="DB444">
        <f t="shared" si="207"/>
        <v>5.69</v>
      </c>
      <c r="DC444">
        <f t="shared" si="208"/>
        <v>0</v>
      </c>
      <c r="DD444" t="s">
        <v>3</v>
      </c>
      <c r="DE444" t="s">
        <v>3</v>
      </c>
      <c r="DF444">
        <f t="shared" si="209"/>
        <v>198.16</v>
      </c>
      <c r="DG444">
        <f t="shared" si="210"/>
        <v>0</v>
      </c>
      <c r="DH444">
        <f t="shared" si="211"/>
        <v>0</v>
      </c>
      <c r="DI444">
        <f t="shared" si="197"/>
        <v>0</v>
      </c>
      <c r="DJ444">
        <f t="shared" si="212"/>
        <v>198.16</v>
      </c>
      <c r="DK444">
        <v>0</v>
      </c>
      <c r="DL444" t="s">
        <v>3</v>
      </c>
      <c r="DM444">
        <v>0</v>
      </c>
      <c r="DN444" t="s">
        <v>3</v>
      </c>
      <c r="DO444">
        <v>0</v>
      </c>
    </row>
    <row r="445" spans="1:119" x14ac:dyDescent="0.2">
      <c r="A445">
        <f>ROW(Source!A169)</f>
        <v>169</v>
      </c>
      <c r="B445">
        <v>145033679</v>
      </c>
      <c r="C445">
        <v>145051934</v>
      </c>
      <c r="D445">
        <v>140789856</v>
      </c>
      <c r="E445">
        <v>1</v>
      </c>
      <c r="F445">
        <v>1</v>
      </c>
      <c r="G445">
        <v>1</v>
      </c>
      <c r="H445">
        <v>3</v>
      </c>
      <c r="I445" t="s">
        <v>986</v>
      </c>
      <c r="J445" t="s">
        <v>987</v>
      </c>
      <c r="K445" t="s">
        <v>988</v>
      </c>
      <c r="L445">
        <v>1348</v>
      </c>
      <c r="N445">
        <v>1009</v>
      </c>
      <c r="O445" t="s">
        <v>105</v>
      </c>
      <c r="P445" t="s">
        <v>105</v>
      </c>
      <c r="Q445">
        <v>1000</v>
      </c>
      <c r="W445">
        <v>0</v>
      </c>
      <c r="X445">
        <v>-1915778085</v>
      </c>
      <c r="Y445">
        <f t="shared" si="203"/>
        <v>1.9E-2</v>
      </c>
      <c r="AA445">
        <v>67171.520000000004</v>
      </c>
      <c r="AB445">
        <v>0</v>
      </c>
      <c r="AC445">
        <v>0</v>
      </c>
      <c r="AD445">
        <v>0</v>
      </c>
      <c r="AE445">
        <v>7712</v>
      </c>
      <c r="AF445">
        <v>0</v>
      </c>
      <c r="AG445">
        <v>0</v>
      </c>
      <c r="AH445">
        <v>0</v>
      </c>
      <c r="AI445">
        <v>8.7100000000000009</v>
      </c>
      <c r="AJ445">
        <v>1</v>
      </c>
      <c r="AK445">
        <v>1</v>
      </c>
      <c r="AL445">
        <v>1</v>
      </c>
      <c r="AM445">
        <v>4</v>
      </c>
      <c r="AN445">
        <v>0</v>
      </c>
      <c r="AO445">
        <v>1</v>
      </c>
      <c r="AP445">
        <v>0</v>
      </c>
      <c r="AQ445">
        <v>0</v>
      </c>
      <c r="AR445">
        <v>0</v>
      </c>
      <c r="AS445" t="s">
        <v>3</v>
      </c>
      <c r="AT445">
        <v>1.9E-2</v>
      </c>
      <c r="AU445" t="s">
        <v>3</v>
      </c>
      <c r="AV445">
        <v>0</v>
      </c>
      <c r="AW445">
        <v>2</v>
      </c>
      <c r="AX445">
        <v>145051952</v>
      </c>
      <c r="AY445">
        <v>1</v>
      </c>
      <c r="AZ445">
        <v>0</v>
      </c>
      <c r="BA445">
        <v>445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ROUND(Y445*Source!I169,9)</f>
        <v>7.6037999999999994E-2</v>
      </c>
      <c r="CY445">
        <f t="shared" si="204"/>
        <v>67171.520000000004</v>
      </c>
      <c r="CZ445">
        <f t="shared" si="205"/>
        <v>7712</v>
      </c>
      <c r="DA445">
        <f t="shared" si="206"/>
        <v>8.7100000000000009</v>
      </c>
      <c r="DB445">
        <f t="shared" si="207"/>
        <v>146.53</v>
      </c>
      <c r="DC445">
        <f t="shared" si="208"/>
        <v>0</v>
      </c>
      <c r="DD445" t="s">
        <v>3</v>
      </c>
      <c r="DE445" t="s">
        <v>3</v>
      </c>
      <c r="DF445">
        <f t="shared" si="209"/>
        <v>5107.59</v>
      </c>
      <c r="DG445">
        <f t="shared" si="210"/>
        <v>0</v>
      </c>
      <c r="DH445">
        <f t="shared" si="211"/>
        <v>0</v>
      </c>
      <c r="DI445">
        <f t="shared" si="197"/>
        <v>0</v>
      </c>
      <c r="DJ445">
        <f t="shared" si="212"/>
        <v>5107.59</v>
      </c>
      <c r="DK445">
        <v>0</v>
      </c>
      <c r="DL445" t="s">
        <v>3</v>
      </c>
      <c r="DM445">
        <v>0</v>
      </c>
      <c r="DN445" t="s">
        <v>3</v>
      </c>
      <c r="DO445">
        <v>0</v>
      </c>
    </row>
    <row r="446" spans="1:119" x14ac:dyDescent="0.2">
      <c r="A446">
        <f>ROW(Source!A169)</f>
        <v>169</v>
      </c>
      <c r="B446">
        <v>145033679</v>
      </c>
      <c r="C446">
        <v>145051934</v>
      </c>
      <c r="D446">
        <v>140762027</v>
      </c>
      <c r="E446">
        <v>70</v>
      </c>
      <c r="F446">
        <v>1</v>
      </c>
      <c r="G446">
        <v>1</v>
      </c>
      <c r="H446">
        <v>3</v>
      </c>
      <c r="I446" t="s">
        <v>764</v>
      </c>
      <c r="J446" t="s">
        <v>3</v>
      </c>
      <c r="K446" t="s">
        <v>1096</v>
      </c>
      <c r="L446">
        <v>1348</v>
      </c>
      <c r="N446">
        <v>1009</v>
      </c>
      <c r="O446" t="s">
        <v>105</v>
      </c>
      <c r="P446" t="s">
        <v>105</v>
      </c>
      <c r="Q446">
        <v>1000</v>
      </c>
      <c r="W446">
        <v>0</v>
      </c>
      <c r="X446">
        <v>-511108685</v>
      </c>
      <c r="Y446">
        <f t="shared" si="203"/>
        <v>5.7799999999999997E-2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8.7100000000000009</v>
      </c>
      <c r="AJ446">
        <v>1</v>
      </c>
      <c r="AK446">
        <v>1</v>
      </c>
      <c r="AL446">
        <v>1</v>
      </c>
      <c r="AM446">
        <v>4</v>
      </c>
      <c r="AN446">
        <v>0</v>
      </c>
      <c r="AO446">
        <v>0</v>
      </c>
      <c r="AP446">
        <v>0</v>
      </c>
      <c r="AQ446">
        <v>0</v>
      </c>
      <c r="AR446">
        <v>0</v>
      </c>
      <c r="AS446" t="s">
        <v>3</v>
      </c>
      <c r="AT446">
        <v>5.7799999999999997E-2</v>
      </c>
      <c r="AU446" t="s">
        <v>3</v>
      </c>
      <c r="AV446">
        <v>0</v>
      </c>
      <c r="AW446">
        <v>2</v>
      </c>
      <c r="AX446">
        <v>145051953</v>
      </c>
      <c r="AY446">
        <v>1</v>
      </c>
      <c r="AZ446">
        <v>0</v>
      </c>
      <c r="BA446">
        <v>446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ROUND(Y446*Source!I169,9)</f>
        <v>0.23131560000000001</v>
      </c>
      <c r="CY446">
        <f t="shared" si="204"/>
        <v>0</v>
      </c>
      <c r="CZ446">
        <f t="shared" si="205"/>
        <v>0</v>
      </c>
      <c r="DA446">
        <f t="shared" si="206"/>
        <v>8.7100000000000009</v>
      </c>
      <c r="DB446">
        <f t="shared" si="207"/>
        <v>0</v>
      </c>
      <c r="DC446">
        <f t="shared" si="208"/>
        <v>0</v>
      </c>
      <c r="DD446" t="s">
        <v>3</v>
      </c>
      <c r="DE446" t="s">
        <v>3</v>
      </c>
      <c r="DF446">
        <f t="shared" si="209"/>
        <v>0</v>
      </c>
      <c r="DG446">
        <f t="shared" si="210"/>
        <v>0</v>
      </c>
      <c r="DH446">
        <f t="shared" si="211"/>
        <v>0</v>
      </c>
      <c r="DI446">
        <f t="shared" si="197"/>
        <v>0</v>
      </c>
      <c r="DJ446">
        <f t="shared" si="212"/>
        <v>0</v>
      </c>
      <c r="DK446">
        <v>0</v>
      </c>
      <c r="DL446" t="s">
        <v>3</v>
      </c>
      <c r="DM446">
        <v>0</v>
      </c>
      <c r="DN446" t="s">
        <v>3</v>
      </c>
      <c r="DO446">
        <v>0</v>
      </c>
    </row>
    <row r="447" spans="1:119" x14ac:dyDescent="0.2">
      <c r="A447">
        <f>ROW(Source!A169)</f>
        <v>169</v>
      </c>
      <c r="B447">
        <v>145033679</v>
      </c>
      <c r="C447">
        <v>145051934</v>
      </c>
      <c r="D447">
        <v>140762187</v>
      </c>
      <c r="E447">
        <v>70</v>
      </c>
      <c r="F447">
        <v>1</v>
      </c>
      <c r="G447">
        <v>1</v>
      </c>
      <c r="H447">
        <v>3</v>
      </c>
      <c r="I447" t="s">
        <v>1097</v>
      </c>
      <c r="J447" t="s">
        <v>3</v>
      </c>
      <c r="K447" t="s">
        <v>1098</v>
      </c>
      <c r="L447">
        <v>1348</v>
      </c>
      <c r="N447">
        <v>1009</v>
      </c>
      <c r="O447" t="s">
        <v>105</v>
      </c>
      <c r="P447" t="s">
        <v>105</v>
      </c>
      <c r="Q447">
        <v>1000</v>
      </c>
      <c r="W447">
        <v>0</v>
      </c>
      <c r="X447">
        <v>2140265389</v>
      </c>
      <c r="Y447">
        <f t="shared" si="203"/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8.7100000000000009</v>
      </c>
      <c r="AJ447">
        <v>1</v>
      </c>
      <c r="AK447">
        <v>1</v>
      </c>
      <c r="AL447">
        <v>1</v>
      </c>
      <c r="AM447">
        <v>4</v>
      </c>
      <c r="AN447">
        <v>1</v>
      </c>
      <c r="AO447">
        <v>0</v>
      </c>
      <c r="AP447">
        <v>0</v>
      </c>
      <c r="AQ447">
        <v>0</v>
      </c>
      <c r="AR447">
        <v>0</v>
      </c>
      <c r="AS447" t="s">
        <v>3</v>
      </c>
      <c r="AT447">
        <v>0</v>
      </c>
      <c r="AU447" t="s">
        <v>3</v>
      </c>
      <c r="AV447">
        <v>0</v>
      </c>
      <c r="AW447">
        <v>2</v>
      </c>
      <c r="AX447">
        <v>145051954</v>
      </c>
      <c r="AY447">
        <v>1</v>
      </c>
      <c r="AZ447">
        <v>0</v>
      </c>
      <c r="BA447">
        <v>447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ROUND(Y447*Source!I169,9)</f>
        <v>0</v>
      </c>
      <c r="CY447">
        <f t="shared" si="204"/>
        <v>0</v>
      </c>
      <c r="CZ447">
        <f t="shared" si="205"/>
        <v>0</v>
      </c>
      <c r="DA447">
        <f t="shared" si="206"/>
        <v>8.7100000000000009</v>
      </c>
      <c r="DB447">
        <f t="shared" si="207"/>
        <v>0</v>
      </c>
      <c r="DC447">
        <f t="shared" si="208"/>
        <v>0</v>
      </c>
      <c r="DD447" t="s">
        <v>3</v>
      </c>
      <c r="DE447" t="s">
        <v>3</v>
      </c>
      <c r="DF447">
        <f t="shared" si="209"/>
        <v>0</v>
      </c>
      <c r="DG447">
        <f t="shared" si="210"/>
        <v>0</v>
      </c>
      <c r="DH447">
        <f t="shared" si="211"/>
        <v>0</v>
      </c>
      <c r="DI447">
        <f t="shared" si="197"/>
        <v>0</v>
      </c>
      <c r="DJ447">
        <f t="shared" si="212"/>
        <v>0</v>
      </c>
      <c r="DK447">
        <v>0</v>
      </c>
      <c r="DL447" t="s">
        <v>3</v>
      </c>
      <c r="DM447">
        <v>0</v>
      </c>
      <c r="DN447" t="s">
        <v>3</v>
      </c>
      <c r="DO447">
        <v>0</v>
      </c>
    </row>
    <row r="448" spans="1:119" x14ac:dyDescent="0.2">
      <c r="A448">
        <f>ROW(Source!A169)</f>
        <v>169</v>
      </c>
      <c r="B448">
        <v>145033679</v>
      </c>
      <c r="C448">
        <v>145051934</v>
      </c>
      <c r="D448">
        <v>140791984</v>
      </c>
      <c r="E448">
        <v>1</v>
      </c>
      <c r="F448">
        <v>1</v>
      </c>
      <c r="G448">
        <v>1</v>
      </c>
      <c r="H448">
        <v>3</v>
      </c>
      <c r="I448" t="s">
        <v>989</v>
      </c>
      <c r="J448" t="s">
        <v>990</v>
      </c>
      <c r="K448" t="s">
        <v>991</v>
      </c>
      <c r="L448">
        <v>1302</v>
      </c>
      <c r="N448">
        <v>1003</v>
      </c>
      <c r="O448" t="s">
        <v>928</v>
      </c>
      <c r="P448" t="s">
        <v>928</v>
      </c>
      <c r="Q448">
        <v>10</v>
      </c>
      <c r="W448">
        <v>0</v>
      </c>
      <c r="X448">
        <v>581091037</v>
      </c>
      <c r="Y448">
        <f t="shared" si="203"/>
        <v>1.6E-2</v>
      </c>
      <c r="AA448">
        <v>437.59</v>
      </c>
      <c r="AB448">
        <v>0</v>
      </c>
      <c r="AC448">
        <v>0</v>
      </c>
      <c r="AD448">
        <v>0</v>
      </c>
      <c r="AE448">
        <v>50.24</v>
      </c>
      <c r="AF448">
        <v>0</v>
      </c>
      <c r="AG448">
        <v>0</v>
      </c>
      <c r="AH448">
        <v>0</v>
      </c>
      <c r="AI448">
        <v>8.7100000000000009</v>
      </c>
      <c r="AJ448">
        <v>1</v>
      </c>
      <c r="AK448">
        <v>1</v>
      </c>
      <c r="AL448">
        <v>1</v>
      </c>
      <c r="AM448">
        <v>4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1.6E-2</v>
      </c>
      <c r="AU448" t="s">
        <v>3</v>
      </c>
      <c r="AV448">
        <v>0</v>
      </c>
      <c r="AW448">
        <v>2</v>
      </c>
      <c r="AX448">
        <v>145051955</v>
      </c>
      <c r="AY448">
        <v>1</v>
      </c>
      <c r="AZ448">
        <v>0</v>
      </c>
      <c r="BA448">
        <v>448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ROUND(Y448*Source!I169,9)</f>
        <v>6.4032000000000006E-2</v>
      </c>
      <c r="CY448">
        <f t="shared" si="204"/>
        <v>437.59</v>
      </c>
      <c r="CZ448">
        <f t="shared" si="205"/>
        <v>50.24</v>
      </c>
      <c r="DA448">
        <f t="shared" si="206"/>
        <v>8.7100000000000009</v>
      </c>
      <c r="DB448">
        <f t="shared" si="207"/>
        <v>0.8</v>
      </c>
      <c r="DC448">
        <f t="shared" si="208"/>
        <v>0</v>
      </c>
      <c r="DD448" t="s">
        <v>3</v>
      </c>
      <c r="DE448" t="s">
        <v>3</v>
      </c>
      <c r="DF448">
        <f t="shared" si="209"/>
        <v>28.02</v>
      </c>
      <c r="DG448">
        <f t="shared" si="210"/>
        <v>0</v>
      </c>
      <c r="DH448">
        <f t="shared" si="211"/>
        <v>0</v>
      </c>
      <c r="DI448">
        <f t="shared" si="197"/>
        <v>0</v>
      </c>
      <c r="DJ448">
        <f t="shared" si="212"/>
        <v>28.02</v>
      </c>
      <c r="DK448">
        <v>0</v>
      </c>
      <c r="DL448" t="s">
        <v>3</v>
      </c>
      <c r="DM448">
        <v>0</v>
      </c>
      <c r="DN448" t="s">
        <v>3</v>
      </c>
      <c r="DO448">
        <v>0</v>
      </c>
    </row>
    <row r="449" spans="1:119" x14ac:dyDescent="0.2">
      <c r="A449">
        <f>ROW(Source!A169)</f>
        <v>169</v>
      </c>
      <c r="B449">
        <v>145033679</v>
      </c>
      <c r="C449">
        <v>145051934</v>
      </c>
      <c r="D449">
        <v>140792339</v>
      </c>
      <c r="E449">
        <v>1</v>
      </c>
      <c r="F449">
        <v>1</v>
      </c>
      <c r="G449">
        <v>1</v>
      </c>
      <c r="H449">
        <v>3</v>
      </c>
      <c r="I449" t="s">
        <v>832</v>
      </c>
      <c r="J449" t="s">
        <v>833</v>
      </c>
      <c r="K449" t="s">
        <v>834</v>
      </c>
      <c r="L449">
        <v>1348</v>
      </c>
      <c r="N449">
        <v>1009</v>
      </c>
      <c r="O449" t="s">
        <v>105</v>
      </c>
      <c r="P449" t="s">
        <v>105</v>
      </c>
      <c r="Q449">
        <v>1000</v>
      </c>
      <c r="W449">
        <v>0</v>
      </c>
      <c r="X449">
        <v>-120483918</v>
      </c>
      <c r="Y449">
        <f t="shared" si="203"/>
        <v>4.0000000000000003E-5</v>
      </c>
      <c r="AA449">
        <v>38804.79</v>
      </c>
      <c r="AB449">
        <v>0</v>
      </c>
      <c r="AC449">
        <v>0</v>
      </c>
      <c r="AD449">
        <v>0</v>
      </c>
      <c r="AE449">
        <v>4455.2</v>
      </c>
      <c r="AF449">
        <v>0</v>
      </c>
      <c r="AG449">
        <v>0</v>
      </c>
      <c r="AH449">
        <v>0</v>
      </c>
      <c r="AI449">
        <v>8.7100000000000009</v>
      </c>
      <c r="AJ449">
        <v>1</v>
      </c>
      <c r="AK449">
        <v>1</v>
      </c>
      <c r="AL449">
        <v>1</v>
      </c>
      <c r="AM449">
        <v>4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4.0000000000000003E-5</v>
      </c>
      <c r="AU449" t="s">
        <v>3</v>
      </c>
      <c r="AV449">
        <v>0</v>
      </c>
      <c r="AW449">
        <v>2</v>
      </c>
      <c r="AX449">
        <v>145051956</v>
      </c>
      <c r="AY449">
        <v>1</v>
      </c>
      <c r="AZ449">
        <v>0</v>
      </c>
      <c r="BA449">
        <v>449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ROUND(Y449*Source!I169,9)</f>
        <v>1.6008E-4</v>
      </c>
      <c r="CY449">
        <f t="shared" si="204"/>
        <v>38804.79</v>
      </c>
      <c r="CZ449">
        <f t="shared" si="205"/>
        <v>4455.2</v>
      </c>
      <c r="DA449">
        <f t="shared" si="206"/>
        <v>8.7100000000000009</v>
      </c>
      <c r="DB449">
        <f t="shared" si="207"/>
        <v>0.18</v>
      </c>
      <c r="DC449">
        <f t="shared" si="208"/>
        <v>0</v>
      </c>
      <c r="DD449" t="s">
        <v>3</v>
      </c>
      <c r="DE449" t="s">
        <v>3</v>
      </c>
      <c r="DF449">
        <f t="shared" si="209"/>
        <v>6.21</v>
      </c>
      <c r="DG449">
        <f t="shared" si="210"/>
        <v>0</v>
      </c>
      <c r="DH449">
        <f t="shared" si="211"/>
        <v>0</v>
      </c>
      <c r="DI449">
        <f t="shared" si="197"/>
        <v>0</v>
      </c>
      <c r="DJ449">
        <f t="shared" si="212"/>
        <v>6.21</v>
      </c>
      <c r="DK449">
        <v>0</v>
      </c>
      <c r="DL449" t="s">
        <v>3</v>
      </c>
      <c r="DM449">
        <v>0</v>
      </c>
      <c r="DN449" t="s">
        <v>3</v>
      </c>
      <c r="DO449">
        <v>0</v>
      </c>
    </row>
    <row r="450" spans="1:119" x14ac:dyDescent="0.2">
      <c r="A450">
        <f>ROW(Source!A169)</f>
        <v>169</v>
      </c>
      <c r="B450">
        <v>145033679</v>
      </c>
      <c r="C450">
        <v>145051934</v>
      </c>
      <c r="D450">
        <v>140762343</v>
      </c>
      <c r="E450">
        <v>70</v>
      </c>
      <c r="F450">
        <v>1</v>
      </c>
      <c r="G450">
        <v>1</v>
      </c>
      <c r="H450">
        <v>3</v>
      </c>
      <c r="I450" t="s">
        <v>1099</v>
      </c>
      <c r="J450" t="s">
        <v>3</v>
      </c>
      <c r="K450" t="s">
        <v>1100</v>
      </c>
      <c r="L450">
        <v>1348</v>
      </c>
      <c r="N450">
        <v>1009</v>
      </c>
      <c r="O450" t="s">
        <v>105</v>
      </c>
      <c r="P450" t="s">
        <v>105</v>
      </c>
      <c r="Q450">
        <v>1000</v>
      </c>
      <c r="W450">
        <v>0</v>
      </c>
      <c r="X450">
        <v>-2026878615</v>
      </c>
      <c r="Y450">
        <f t="shared" si="203"/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8.7100000000000009</v>
      </c>
      <c r="AJ450">
        <v>1</v>
      </c>
      <c r="AK450">
        <v>1</v>
      </c>
      <c r="AL450">
        <v>1</v>
      </c>
      <c r="AM450">
        <v>4</v>
      </c>
      <c r="AN450">
        <v>1</v>
      </c>
      <c r="AO450">
        <v>0</v>
      </c>
      <c r="AP450">
        <v>0</v>
      </c>
      <c r="AQ450">
        <v>0</v>
      </c>
      <c r="AR450">
        <v>0</v>
      </c>
      <c r="AS450" t="s">
        <v>3</v>
      </c>
      <c r="AT450">
        <v>0</v>
      </c>
      <c r="AU450" t="s">
        <v>3</v>
      </c>
      <c r="AV450">
        <v>0</v>
      </c>
      <c r="AW450">
        <v>2</v>
      </c>
      <c r="AX450">
        <v>145051957</v>
      </c>
      <c r="AY450">
        <v>1</v>
      </c>
      <c r="AZ450">
        <v>0</v>
      </c>
      <c r="BA450">
        <v>450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ROUND(Y450*Source!I169,9)</f>
        <v>0</v>
      </c>
      <c r="CY450">
        <f t="shared" si="204"/>
        <v>0</v>
      </c>
      <c r="CZ450">
        <f t="shared" si="205"/>
        <v>0</v>
      </c>
      <c r="DA450">
        <f t="shared" si="206"/>
        <v>8.7100000000000009</v>
      </c>
      <c r="DB450">
        <f t="shared" si="207"/>
        <v>0</v>
      </c>
      <c r="DC450">
        <f t="shared" si="208"/>
        <v>0</v>
      </c>
      <c r="DD450" t="s">
        <v>3</v>
      </c>
      <c r="DE450" t="s">
        <v>3</v>
      </c>
      <c r="DF450">
        <f t="shared" si="209"/>
        <v>0</v>
      </c>
      <c r="DG450">
        <f t="shared" si="210"/>
        <v>0</v>
      </c>
      <c r="DH450">
        <f t="shared" si="211"/>
        <v>0</v>
      </c>
      <c r="DI450">
        <f t="shared" si="197"/>
        <v>0</v>
      </c>
      <c r="DJ450">
        <f t="shared" si="212"/>
        <v>0</v>
      </c>
      <c r="DK450">
        <v>0</v>
      </c>
      <c r="DL450" t="s">
        <v>3</v>
      </c>
      <c r="DM450">
        <v>0</v>
      </c>
      <c r="DN450" t="s">
        <v>3</v>
      </c>
      <c r="DO450">
        <v>0</v>
      </c>
    </row>
    <row r="451" spans="1:119" x14ac:dyDescent="0.2">
      <c r="A451">
        <f>ROW(Source!A169)</f>
        <v>169</v>
      </c>
      <c r="B451">
        <v>145033679</v>
      </c>
      <c r="C451">
        <v>145051934</v>
      </c>
      <c r="D451">
        <v>140793072</v>
      </c>
      <c r="E451">
        <v>1</v>
      </c>
      <c r="F451">
        <v>1</v>
      </c>
      <c r="G451">
        <v>1</v>
      </c>
      <c r="H451">
        <v>3</v>
      </c>
      <c r="I451" t="s">
        <v>992</v>
      </c>
      <c r="J451" t="s">
        <v>993</v>
      </c>
      <c r="K451" t="s">
        <v>994</v>
      </c>
      <c r="L451">
        <v>1348</v>
      </c>
      <c r="N451">
        <v>1009</v>
      </c>
      <c r="O451" t="s">
        <v>105</v>
      </c>
      <c r="P451" t="s">
        <v>105</v>
      </c>
      <c r="Q451">
        <v>1000</v>
      </c>
      <c r="W451">
        <v>0</v>
      </c>
      <c r="X451">
        <v>834877976</v>
      </c>
      <c r="Y451">
        <f t="shared" si="203"/>
        <v>2.97E-3</v>
      </c>
      <c r="AA451">
        <v>42853.2</v>
      </c>
      <c r="AB451">
        <v>0</v>
      </c>
      <c r="AC451">
        <v>0</v>
      </c>
      <c r="AD451">
        <v>0</v>
      </c>
      <c r="AE451">
        <v>4920</v>
      </c>
      <c r="AF451">
        <v>0</v>
      </c>
      <c r="AG451">
        <v>0</v>
      </c>
      <c r="AH451">
        <v>0</v>
      </c>
      <c r="AI451">
        <v>8.7100000000000009</v>
      </c>
      <c r="AJ451">
        <v>1</v>
      </c>
      <c r="AK451">
        <v>1</v>
      </c>
      <c r="AL451">
        <v>1</v>
      </c>
      <c r="AM451">
        <v>4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2.97E-3</v>
      </c>
      <c r="AU451" t="s">
        <v>3</v>
      </c>
      <c r="AV451">
        <v>0</v>
      </c>
      <c r="AW451">
        <v>2</v>
      </c>
      <c r="AX451">
        <v>145051958</v>
      </c>
      <c r="AY451">
        <v>1</v>
      </c>
      <c r="AZ451">
        <v>0</v>
      </c>
      <c r="BA451">
        <v>451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ROUND(Y451*Source!I169,9)</f>
        <v>1.1885939999999999E-2</v>
      </c>
      <c r="CY451">
        <f t="shared" si="204"/>
        <v>42853.2</v>
      </c>
      <c r="CZ451">
        <f t="shared" si="205"/>
        <v>4920</v>
      </c>
      <c r="DA451">
        <f t="shared" si="206"/>
        <v>8.7100000000000009</v>
      </c>
      <c r="DB451">
        <f t="shared" si="207"/>
        <v>14.61</v>
      </c>
      <c r="DC451">
        <f t="shared" si="208"/>
        <v>0</v>
      </c>
      <c r="DD451" t="s">
        <v>3</v>
      </c>
      <c r="DE451" t="s">
        <v>3</v>
      </c>
      <c r="DF451">
        <f t="shared" si="209"/>
        <v>509.35</v>
      </c>
      <c r="DG451">
        <f t="shared" si="210"/>
        <v>0</v>
      </c>
      <c r="DH451">
        <f t="shared" si="211"/>
        <v>0</v>
      </c>
      <c r="DI451">
        <f t="shared" si="197"/>
        <v>0</v>
      </c>
      <c r="DJ451">
        <f t="shared" si="212"/>
        <v>509.35</v>
      </c>
      <c r="DK451">
        <v>0</v>
      </c>
      <c r="DL451" t="s">
        <v>3</v>
      </c>
      <c r="DM451">
        <v>0</v>
      </c>
      <c r="DN451" t="s">
        <v>3</v>
      </c>
      <c r="DO451">
        <v>0</v>
      </c>
    </row>
    <row r="452" spans="1:119" x14ac:dyDescent="0.2">
      <c r="A452">
        <f>ROW(Source!A169)</f>
        <v>169</v>
      </c>
      <c r="B452">
        <v>145033679</v>
      </c>
      <c r="C452">
        <v>145051934</v>
      </c>
      <c r="D452">
        <v>140796351</v>
      </c>
      <c r="E452">
        <v>1</v>
      </c>
      <c r="F452">
        <v>1</v>
      </c>
      <c r="G452">
        <v>1</v>
      </c>
      <c r="H452">
        <v>3</v>
      </c>
      <c r="I452" t="s">
        <v>995</v>
      </c>
      <c r="J452" t="s">
        <v>996</v>
      </c>
      <c r="K452" t="s">
        <v>997</v>
      </c>
      <c r="L452">
        <v>1339</v>
      </c>
      <c r="N452">
        <v>1007</v>
      </c>
      <c r="O452" t="s">
        <v>66</v>
      </c>
      <c r="P452" t="s">
        <v>66</v>
      </c>
      <c r="Q452">
        <v>1</v>
      </c>
      <c r="W452">
        <v>0</v>
      </c>
      <c r="X452">
        <v>1758287014</v>
      </c>
      <c r="Y452">
        <f t="shared" si="203"/>
        <v>1.2999999999999999E-3</v>
      </c>
      <c r="AA452">
        <v>14807</v>
      </c>
      <c r="AB452">
        <v>0</v>
      </c>
      <c r="AC452">
        <v>0</v>
      </c>
      <c r="AD452">
        <v>0</v>
      </c>
      <c r="AE452">
        <v>1700</v>
      </c>
      <c r="AF452">
        <v>0</v>
      </c>
      <c r="AG452">
        <v>0</v>
      </c>
      <c r="AH452">
        <v>0</v>
      </c>
      <c r="AI452">
        <v>8.7100000000000009</v>
      </c>
      <c r="AJ452">
        <v>1</v>
      </c>
      <c r="AK452">
        <v>1</v>
      </c>
      <c r="AL452">
        <v>1</v>
      </c>
      <c r="AM452">
        <v>4</v>
      </c>
      <c r="AN452">
        <v>0</v>
      </c>
      <c r="AO452">
        <v>1</v>
      </c>
      <c r="AP452">
        <v>0</v>
      </c>
      <c r="AQ452">
        <v>0</v>
      </c>
      <c r="AR452">
        <v>0</v>
      </c>
      <c r="AS452" t="s">
        <v>3</v>
      </c>
      <c r="AT452">
        <v>1.2999999999999999E-3</v>
      </c>
      <c r="AU452" t="s">
        <v>3</v>
      </c>
      <c r="AV452">
        <v>0</v>
      </c>
      <c r="AW452">
        <v>2</v>
      </c>
      <c r="AX452">
        <v>145051959</v>
      </c>
      <c r="AY452">
        <v>1</v>
      </c>
      <c r="AZ452">
        <v>0</v>
      </c>
      <c r="BA452">
        <v>452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ROUND(Y452*Source!I169,9)</f>
        <v>5.2025999999999999E-3</v>
      </c>
      <c r="CY452">
        <f t="shared" si="204"/>
        <v>14807</v>
      </c>
      <c r="CZ452">
        <f t="shared" si="205"/>
        <v>1700</v>
      </c>
      <c r="DA452">
        <f t="shared" si="206"/>
        <v>8.7100000000000009</v>
      </c>
      <c r="DB452">
        <f t="shared" si="207"/>
        <v>2.21</v>
      </c>
      <c r="DC452">
        <f t="shared" si="208"/>
        <v>0</v>
      </c>
      <c r="DD452" t="s">
        <v>3</v>
      </c>
      <c r="DE452" t="s">
        <v>3</v>
      </c>
      <c r="DF452">
        <f t="shared" si="209"/>
        <v>77.03</v>
      </c>
      <c r="DG452">
        <f t="shared" si="210"/>
        <v>0</v>
      </c>
      <c r="DH452">
        <f t="shared" si="211"/>
        <v>0</v>
      </c>
      <c r="DI452">
        <f t="shared" si="197"/>
        <v>0</v>
      </c>
      <c r="DJ452">
        <f t="shared" si="212"/>
        <v>77.03</v>
      </c>
      <c r="DK452">
        <v>0</v>
      </c>
      <c r="DL452" t="s">
        <v>3</v>
      </c>
      <c r="DM452">
        <v>0</v>
      </c>
      <c r="DN452" t="s">
        <v>3</v>
      </c>
      <c r="DO452">
        <v>0</v>
      </c>
    </row>
    <row r="453" spans="1:119" x14ac:dyDescent="0.2">
      <c r="A453">
        <f>ROW(Source!A169)</f>
        <v>169</v>
      </c>
      <c r="B453">
        <v>145033679</v>
      </c>
      <c r="C453">
        <v>145051934</v>
      </c>
      <c r="D453">
        <v>140804058</v>
      </c>
      <c r="E453">
        <v>1</v>
      </c>
      <c r="F453">
        <v>1</v>
      </c>
      <c r="G453">
        <v>1</v>
      </c>
      <c r="H453">
        <v>3</v>
      </c>
      <c r="I453" t="s">
        <v>998</v>
      </c>
      <c r="J453" t="s">
        <v>999</v>
      </c>
      <c r="K453" t="s">
        <v>1000</v>
      </c>
      <c r="L453">
        <v>1348</v>
      </c>
      <c r="N453">
        <v>1009</v>
      </c>
      <c r="O453" t="s">
        <v>105</v>
      </c>
      <c r="P453" t="s">
        <v>105</v>
      </c>
      <c r="Q453">
        <v>1000</v>
      </c>
      <c r="W453">
        <v>0</v>
      </c>
      <c r="X453">
        <v>264248573</v>
      </c>
      <c r="Y453">
        <f t="shared" si="203"/>
        <v>4.6999999999999999E-4</v>
      </c>
      <c r="AA453">
        <v>136050.20000000001</v>
      </c>
      <c r="AB453">
        <v>0</v>
      </c>
      <c r="AC453">
        <v>0</v>
      </c>
      <c r="AD453">
        <v>0</v>
      </c>
      <c r="AE453">
        <v>15620</v>
      </c>
      <c r="AF453">
        <v>0</v>
      </c>
      <c r="AG453">
        <v>0</v>
      </c>
      <c r="AH453">
        <v>0</v>
      </c>
      <c r="AI453">
        <v>8.7100000000000009</v>
      </c>
      <c r="AJ453">
        <v>1</v>
      </c>
      <c r="AK453">
        <v>1</v>
      </c>
      <c r="AL453">
        <v>1</v>
      </c>
      <c r="AM453">
        <v>4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4.6999999999999999E-4</v>
      </c>
      <c r="AU453" t="s">
        <v>3</v>
      </c>
      <c r="AV453">
        <v>0</v>
      </c>
      <c r="AW453">
        <v>2</v>
      </c>
      <c r="AX453">
        <v>145051960</v>
      </c>
      <c r="AY453">
        <v>1</v>
      </c>
      <c r="AZ453">
        <v>0</v>
      </c>
      <c r="BA453">
        <v>453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ROUND(Y453*Source!I169,9)</f>
        <v>1.88094E-3</v>
      </c>
      <c r="CY453">
        <f t="shared" si="204"/>
        <v>136050.20000000001</v>
      </c>
      <c r="CZ453">
        <f t="shared" si="205"/>
        <v>15620</v>
      </c>
      <c r="DA453">
        <f t="shared" si="206"/>
        <v>8.7100000000000009</v>
      </c>
      <c r="DB453">
        <f t="shared" si="207"/>
        <v>7.34</v>
      </c>
      <c r="DC453">
        <f t="shared" si="208"/>
        <v>0</v>
      </c>
      <c r="DD453" t="s">
        <v>3</v>
      </c>
      <c r="DE453" t="s">
        <v>3</v>
      </c>
      <c r="DF453">
        <f t="shared" si="209"/>
        <v>255.9</v>
      </c>
      <c r="DG453">
        <f t="shared" si="210"/>
        <v>0</v>
      </c>
      <c r="DH453">
        <f t="shared" si="211"/>
        <v>0</v>
      </c>
      <c r="DI453">
        <f t="shared" si="197"/>
        <v>0</v>
      </c>
      <c r="DJ453">
        <f t="shared" si="212"/>
        <v>255.9</v>
      </c>
      <c r="DK453">
        <v>0</v>
      </c>
      <c r="DL453" t="s">
        <v>3</v>
      </c>
      <c r="DM453">
        <v>0</v>
      </c>
      <c r="DN453" t="s">
        <v>3</v>
      </c>
      <c r="DO453">
        <v>0</v>
      </c>
    </row>
    <row r="454" spans="1:119" x14ac:dyDescent="0.2">
      <c r="A454">
        <f>ROW(Source!A169)</f>
        <v>169</v>
      </c>
      <c r="B454">
        <v>145033679</v>
      </c>
      <c r="C454">
        <v>145051934</v>
      </c>
      <c r="D454">
        <v>140805182</v>
      </c>
      <c r="E454">
        <v>1</v>
      </c>
      <c r="F454">
        <v>1</v>
      </c>
      <c r="G454">
        <v>1</v>
      </c>
      <c r="H454">
        <v>3</v>
      </c>
      <c r="I454" t="s">
        <v>1001</v>
      </c>
      <c r="J454" t="s">
        <v>1002</v>
      </c>
      <c r="K454" t="s">
        <v>1003</v>
      </c>
      <c r="L454">
        <v>1346</v>
      </c>
      <c r="N454">
        <v>1009</v>
      </c>
      <c r="O454" t="s">
        <v>43</v>
      </c>
      <c r="P454" t="s">
        <v>43</v>
      </c>
      <c r="Q454">
        <v>1</v>
      </c>
      <c r="W454">
        <v>0</v>
      </c>
      <c r="X454">
        <v>-1449230318</v>
      </c>
      <c r="Y454">
        <f t="shared" si="203"/>
        <v>0.09</v>
      </c>
      <c r="AA454">
        <v>82.05</v>
      </c>
      <c r="AB454">
        <v>0</v>
      </c>
      <c r="AC454">
        <v>0</v>
      </c>
      <c r="AD454">
        <v>0</v>
      </c>
      <c r="AE454">
        <v>9.42</v>
      </c>
      <c r="AF454">
        <v>0</v>
      </c>
      <c r="AG454">
        <v>0</v>
      </c>
      <c r="AH454">
        <v>0</v>
      </c>
      <c r="AI454">
        <v>8.7100000000000009</v>
      </c>
      <c r="AJ454">
        <v>1</v>
      </c>
      <c r="AK454">
        <v>1</v>
      </c>
      <c r="AL454">
        <v>1</v>
      </c>
      <c r="AM454">
        <v>4</v>
      </c>
      <c r="AN454">
        <v>0</v>
      </c>
      <c r="AO454">
        <v>1</v>
      </c>
      <c r="AP454">
        <v>0</v>
      </c>
      <c r="AQ454">
        <v>0</v>
      </c>
      <c r="AR454">
        <v>0</v>
      </c>
      <c r="AS454" t="s">
        <v>3</v>
      </c>
      <c r="AT454">
        <v>0.09</v>
      </c>
      <c r="AU454" t="s">
        <v>3</v>
      </c>
      <c r="AV454">
        <v>0</v>
      </c>
      <c r="AW454">
        <v>2</v>
      </c>
      <c r="AX454">
        <v>145051961</v>
      </c>
      <c r="AY454">
        <v>1</v>
      </c>
      <c r="AZ454">
        <v>0</v>
      </c>
      <c r="BA454">
        <v>454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ROUND(Y454*Source!I169,9)</f>
        <v>0.36018</v>
      </c>
      <c r="CY454">
        <f t="shared" si="204"/>
        <v>82.05</v>
      </c>
      <c r="CZ454">
        <f t="shared" si="205"/>
        <v>9.42</v>
      </c>
      <c r="DA454">
        <f t="shared" si="206"/>
        <v>8.7100000000000009</v>
      </c>
      <c r="DB454">
        <f t="shared" si="207"/>
        <v>0.85</v>
      </c>
      <c r="DC454">
        <f t="shared" si="208"/>
        <v>0</v>
      </c>
      <c r="DD454" t="s">
        <v>3</v>
      </c>
      <c r="DE454" t="s">
        <v>3</v>
      </c>
      <c r="DF454">
        <f t="shared" si="209"/>
        <v>29.55</v>
      </c>
      <c r="DG454">
        <f t="shared" si="210"/>
        <v>0</v>
      </c>
      <c r="DH454">
        <f t="shared" si="211"/>
        <v>0</v>
      </c>
      <c r="DI454">
        <f t="shared" si="197"/>
        <v>0</v>
      </c>
      <c r="DJ454">
        <f t="shared" si="212"/>
        <v>29.55</v>
      </c>
      <c r="DK454">
        <v>0</v>
      </c>
      <c r="DL454" t="s">
        <v>3</v>
      </c>
      <c r="DM454">
        <v>0</v>
      </c>
      <c r="DN454" t="s">
        <v>3</v>
      </c>
      <c r="DO4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4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ROW(Source!A25)</f>
        <v>25</v>
      </c>
      <c r="B1">
        <v>145040216</v>
      </c>
      <c r="C1">
        <v>145040213</v>
      </c>
      <c r="D1">
        <v>140755423</v>
      </c>
      <c r="E1">
        <v>70</v>
      </c>
      <c r="F1">
        <v>1</v>
      </c>
      <c r="G1">
        <v>1</v>
      </c>
      <c r="H1">
        <v>1</v>
      </c>
      <c r="I1" t="s">
        <v>723</v>
      </c>
      <c r="J1" t="s">
        <v>3</v>
      </c>
      <c r="K1" t="s">
        <v>724</v>
      </c>
      <c r="L1">
        <v>1191</v>
      </c>
      <c r="N1">
        <v>1013</v>
      </c>
      <c r="O1" t="s">
        <v>725</v>
      </c>
      <c r="P1" t="s">
        <v>725</v>
      </c>
      <c r="Q1">
        <v>1</v>
      </c>
      <c r="X1">
        <v>22.82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21</v>
      </c>
      <c r="AG1">
        <v>26.242999999999999</v>
      </c>
      <c r="AH1">
        <v>2</v>
      </c>
      <c r="AI1">
        <v>145040214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ROW(Source!A25)</f>
        <v>25</v>
      </c>
      <c r="B2">
        <v>145040217</v>
      </c>
      <c r="C2">
        <v>145040213</v>
      </c>
      <c r="D2">
        <v>140765020</v>
      </c>
      <c r="E2">
        <v>70</v>
      </c>
      <c r="F2">
        <v>1</v>
      </c>
      <c r="G2">
        <v>1</v>
      </c>
      <c r="H2">
        <v>3</v>
      </c>
      <c r="I2" t="s">
        <v>726</v>
      </c>
      <c r="J2" t="s">
        <v>3</v>
      </c>
      <c r="K2" t="s">
        <v>727</v>
      </c>
      <c r="L2">
        <v>1348</v>
      </c>
      <c r="N2">
        <v>1009</v>
      </c>
      <c r="O2" t="s">
        <v>105</v>
      </c>
      <c r="P2" t="s">
        <v>105</v>
      </c>
      <c r="Q2">
        <v>1000</v>
      </c>
      <c r="X2">
        <v>4.5999999999999996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4.5999999999999996</v>
      </c>
      <c r="AH2">
        <v>2</v>
      </c>
      <c r="AI2">
        <v>145040215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ROW(Source!A26)</f>
        <v>26</v>
      </c>
      <c r="B3">
        <v>145040315</v>
      </c>
      <c r="C3">
        <v>145040314</v>
      </c>
      <c r="D3">
        <v>140760027</v>
      </c>
      <c r="E3">
        <v>70</v>
      </c>
      <c r="F3">
        <v>1</v>
      </c>
      <c r="G3">
        <v>1</v>
      </c>
      <c r="H3">
        <v>1</v>
      </c>
      <c r="I3" t="s">
        <v>728</v>
      </c>
      <c r="J3" t="s">
        <v>3</v>
      </c>
      <c r="K3" t="s">
        <v>729</v>
      </c>
      <c r="L3">
        <v>1191</v>
      </c>
      <c r="N3">
        <v>1013</v>
      </c>
      <c r="O3" t="s">
        <v>725</v>
      </c>
      <c r="P3" t="s">
        <v>725</v>
      </c>
      <c r="Q3">
        <v>1</v>
      </c>
      <c r="X3">
        <v>6</v>
      </c>
      <c r="Y3">
        <v>0</v>
      </c>
      <c r="Z3">
        <v>0</v>
      </c>
      <c r="AA3">
        <v>0</v>
      </c>
      <c r="AB3">
        <v>9.51</v>
      </c>
      <c r="AC3">
        <v>0</v>
      </c>
      <c r="AD3">
        <v>1</v>
      </c>
      <c r="AE3">
        <v>1</v>
      </c>
      <c r="AF3" t="s">
        <v>21</v>
      </c>
      <c r="AG3">
        <v>6.8999999999999995</v>
      </c>
      <c r="AH3">
        <v>2</v>
      </c>
      <c r="AI3">
        <v>145040315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ROW(Source!A26)</f>
        <v>26</v>
      </c>
      <c r="B4">
        <v>145040316</v>
      </c>
      <c r="C4">
        <v>145040314</v>
      </c>
      <c r="D4">
        <v>140760225</v>
      </c>
      <c r="E4">
        <v>70</v>
      </c>
      <c r="F4">
        <v>1</v>
      </c>
      <c r="G4">
        <v>1</v>
      </c>
      <c r="H4">
        <v>1</v>
      </c>
      <c r="I4" t="s">
        <v>730</v>
      </c>
      <c r="J4" t="s">
        <v>3</v>
      </c>
      <c r="K4" t="s">
        <v>731</v>
      </c>
      <c r="L4">
        <v>1191</v>
      </c>
      <c r="N4">
        <v>1013</v>
      </c>
      <c r="O4" t="s">
        <v>725</v>
      </c>
      <c r="P4" t="s">
        <v>725</v>
      </c>
      <c r="Q4">
        <v>1</v>
      </c>
      <c r="X4">
        <v>0.03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21</v>
      </c>
      <c r="AG4">
        <v>3.4499999999999996E-2</v>
      </c>
      <c r="AH4">
        <v>2</v>
      </c>
      <c r="AI4">
        <v>145040316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145040317</v>
      </c>
      <c r="C5">
        <v>145040314</v>
      </c>
      <c r="D5">
        <v>140923885</v>
      </c>
      <c r="E5">
        <v>1</v>
      </c>
      <c r="F5">
        <v>1</v>
      </c>
      <c r="G5">
        <v>1</v>
      </c>
      <c r="H5">
        <v>2</v>
      </c>
      <c r="I5" t="s">
        <v>732</v>
      </c>
      <c r="J5" t="s">
        <v>733</v>
      </c>
      <c r="K5" t="s">
        <v>734</v>
      </c>
      <c r="L5">
        <v>1367</v>
      </c>
      <c r="N5">
        <v>1011</v>
      </c>
      <c r="O5" t="s">
        <v>79</v>
      </c>
      <c r="P5" t="s">
        <v>79</v>
      </c>
      <c r="Q5">
        <v>1</v>
      </c>
      <c r="X5">
        <v>0.03</v>
      </c>
      <c r="Y5">
        <v>0</v>
      </c>
      <c r="Z5">
        <v>65.709999999999994</v>
      </c>
      <c r="AA5">
        <v>11.6</v>
      </c>
      <c r="AB5">
        <v>0</v>
      </c>
      <c r="AC5">
        <v>0</v>
      </c>
      <c r="AD5">
        <v>1</v>
      </c>
      <c r="AE5">
        <v>0</v>
      </c>
      <c r="AF5" t="s">
        <v>21</v>
      </c>
      <c r="AG5">
        <v>3.4499999999999996E-2</v>
      </c>
      <c r="AH5">
        <v>2</v>
      </c>
      <c r="AI5">
        <v>145040317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145040318</v>
      </c>
      <c r="C6">
        <v>145040314</v>
      </c>
      <c r="D6">
        <v>140772680</v>
      </c>
      <c r="E6">
        <v>1</v>
      </c>
      <c r="F6">
        <v>1</v>
      </c>
      <c r="G6">
        <v>1</v>
      </c>
      <c r="H6">
        <v>3</v>
      </c>
      <c r="I6" t="s">
        <v>735</v>
      </c>
      <c r="J6" t="s">
        <v>736</v>
      </c>
      <c r="K6" t="s">
        <v>737</v>
      </c>
      <c r="L6">
        <v>1339</v>
      </c>
      <c r="N6">
        <v>1007</v>
      </c>
      <c r="O6" t="s">
        <v>66</v>
      </c>
      <c r="P6" t="s">
        <v>66</v>
      </c>
      <c r="Q6">
        <v>1</v>
      </c>
      <c r="X6">
        <v>8.0000000000000002E-3</v>
      </c>
      <c r="Y6">
        <v>2.44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8.0000000000000002E-3</v>
      </c>
      <c r="AH6">
        <v>2</v>
      </c>
      <c r="AI6">
        <v>145040318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145040319</v>
      </c>
      <c r="C7">
        <v>145040314</v>
      </c>
      <c r="D7">
        <v>140778438</v>
      </c>
      <c r="E7">
        <v>1</v>
      </c>
      <c r="F7">
        <v>1</v>
      </c>
      <c r="G7">
        <v>1</v>
      </c>
      <c r="H7">
        <v>3</v>
      </c>
      <c r="I7" t="s">
        <v>41</v>
      </c>
      <c r="J7" t="s">
        <v>44</v>
      </c>
      <c r="K7" t="s">
        <v>42</v>
      </c>
      <c r="L7">
        <v>1346</v>
      </c>
      <c r="N7">
        <v>1009</v>
      </c>
      <c r="O7" t="s">
        <v>43</v>
      </c>
      <c r="P7" t="s">
        <v>43</v>
      </c>
      <c r="Q7">
        <v>1</v>
      </c>
      <c r="X7">
        <v>27.75</v>
      </c>
      <c r="Y7">
        <v>60.36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27.75</v>
      </c>
      <c r="AH7">
        <v>2</v>
      </c>
      <c r="AI7">
        <v>145040319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ROW(Source!A29)</f>
        <v>29</v>
      </c>
      <c r="B8">
        <v>145040256</v>
      </c>
      <c r="C8">
        <v>145040255</v>
      </c>
      <c r="D8">
        <v>140759991</v>
      </c>
      <c r="E8">
        <v>70</v>
      </c>
      <c r="F8">
        <v>1</v>
      </c>
      <c r="G8">
        <v>1</v>
      </c>
      <c r="H8">
        <v>1</v>
      </c>
      <c r="I8" t="s">
        <v>738</v>
      </c>
      <c r="J8" t="s">
        <v>3</v>
      </c>
      <c r="K8" t="s">
        <v>739</v>
      </c>
      <c r="L8">
        <v>1191</v>
      </c>
      <c r="N8">
        <v>1013</v>
      </c>
      <c r="O8" t="s">
        <v>725</v>
      </c>
      <c r="P8" t="s">
        <v>725</v>
      </c>
      <c r="Q8">
        <v>1</v>
      </c>
      <c r="X8">
        <v>47.87</v>
      </c>
      <c r="Y8">
        <v>0</v>
      </c>
      <c r="Z8">
        <v>0</v>
      </c>
      <c r="AA8">
        <v>0</v>
      </c>
      <c r="AB8">
        <v>8.9700000000000006</v>
      </c>
      <c r="AC8">
        <v>0</v>
      </c>
      <c r="AD8">
        <v>1</v>
      </c>
      <c r="AE8">
        <v>1</v>
      </c>
      <c r="AF8" t="s">
        <v>21</v>
      </c>
      <c r="AG8">
        <v>55.050499999999992</v>
      </c>
      <c r="AH8">
        <v>2</v>
      </c>
      <c r="AI8">
        <v>145040256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145040257</v>
      </c>
      <c r="C9">
        <v>145040255</v>
      </c>
      <c r="D9">
        <v>140760225</v>
      </c>
      <c r="E9">
        <v>70</v>
      </c>
      <c r="F9">
        <v>1</v>
      </c>
      <c r="G9">
        <v>1</v>
      </c>
      <c r="H9">
        <v>1</v>
      </c>
      <c r="I9" t="s">
        <v>730</v>
      </c>
      <c r="J9" t="s">
        <v>3</v>
      </c>
      <c r="K9" t="s">
        <v>731</v>
      </c>
      <c r="L9">
        <v>1191</v>
      </c>
      <c r="N9">
        <v>1013</v>
      </c>
      <c r="O9" t="s">
        <v>725</v>
      </c>
      <c r="P9" t="s">
        <v>725</v>
      </c>
      <c r="Q9">
        <v>1</v>
      </c>
      <c r="X9">
        <v>1.52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21</v>
      </c>
      <c r="AG9">
        <v>1.7479999999999998</v>
      </c>
      <c r="AH9">
        <v>2</v>
      </c>
      <c r="AI9">
        <v>145040257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ROW(Source!A29)</f>
        <v>29</v>
      </c>
      <c r="B10">
        <v>145040258</v>
      </c>
      <c r="C10">
        <v>145040255</v>
      </c>
      <c r="D10">
        <v>140923885</v>
      </c>
      <c r="E10">
        <v>1</v>
      </c>
      <c r="F10">
        <v>1</v>
      </c>
      <c r="G10">
        <v>1</v>
      </c>
      <c r="H10">
        <v>2</v>
      </c>
      <c r="I10" t="s">
        <v>732</v>
      </c>
      <c r="J10" t="s">
        <v>733</v>
      </c>
      <c r="K10" t="s">
        <v>734</v>
      </c>
      <c r="L10">
        <v>1367</v>
      </c>
      <c r="N10">
        <v>1011</v>
      </c>
      <c r="O10" t="s">
        <v>79</v>
      </c>
      <c r="P10" t="s">
        <v>79</v>
      </c>
      <c r="Q10">
        <v>1</v>
      </c>
      <c r="X10">
        <v>1.52</v>
      </c>
      <c r="Y10">
        <v>0</v>
      </c>
      <c r="Z10">
        <v>65.709999999999994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21</v>
      </c>
      <c r="AG10">
        <v>1.7479999999999998</v>
      </c>
      <c r="AH10">
        <v>2</v>
      </c>
      <c r="AI10">
        <v>145040258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ROW(Source!A29)</f>
        <v>29</v>
      </c>
      <c r="B11">
        <v>145040259</v>
      </c>
      <c r="C11">
        <v>145040255</v>
      </c>
      <c r="D11">
        <v>140772680</v>
      </c>
      <c r="E11">
        <v>1</v>
      </c>
      <c r="F11">
        <v>1</v>
      </c>
      <c r="G11">
        <v>1</v>
      </c>
      <c r="H11">
        <v>3</v>
      </c>
      <c r="I11" t="s">
        <v>735</v>
      </c>
      <c r="J11" t="s">
        <v>736</v>
      </c>
      <c r="K11" t="s">
        <v>737</v>
      </c>
      <c r="L11">
        <v>1339</v>
      </c>
      <c r="N11">
        <v>1007</v>
      </c>
      <c r="O11" t="s">
        <v>66</v>
      </c>
      <c r="P11" t="s">
        <v>66</v>
      </c>
      <c r="Q11">
        <v>1</v>
      </c>
      <c r="X11">
        <v>0</v>
      </c>
      <c r="Y11">
        <v>2.44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 t="s">
        <v>3</v>
      </c>
      <c r="AG11">
        <v>0</v>
      </c>
      <c r="AH11">
        <v>2</v>
      </c>
      <c r="AI11">
        <v>145040259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145040260</v>
      </c>
      <c r="C12">
        <v>145040255</v>
      </c>
      <c r="D12">
        <v>140761147</v>
      </c>
      <c r="E12">
        <v>70</v>
      </c>
      <c r="F12">
        <v>1</v>
      </c>
      <c r="G12">
        <v>1</v>
      </c>
      <c r="H12">
        <v>3</v>
      </c>
      <c r="I12" t="s">
        <v>740</v>
      </c>
      <c r="J12" t="s">
        <v>3</v>
      </c>
      <c r="K12" t="s">
        <v>741</v>
      </c>
      <c r="L12">
        <v>1346</v>
      </c>
      <c r="N12">
        <v>1009</v>
      </c>
      <c r="O12" t="s">
        <v>43</v>
      </c>
      <c r="P12" t="s">
        <v>43</v>
      </c>
      <c r="Q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 t="s">
        <v>3</v>
      </c>
      <c r="AG12">
        <v>0</v>
      </c>
      <c r="AH12">
        <v>2</v>
      </c>
      <c r="AI12">
        <v>145040260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145040261</v>
      </c>
      <c r="C13">
        <v>145040255</v>
      </c>
      <c r="D13">
        <v>140803795</v>
      </c>
      <c r="E13">
        <v>1</v>
      </c>
      <c r="F13">
        <v>1</v>
      </c>
      <c r="G13">
        <v>1</v>
      </c>
      <c r="H13">
        <v>3</v>
      </c>
      <c r="I13" t="s">
        <v>742</v>
      </c>
      <c r="J13" t="s">
        <v>743</v>
      </c>
      <c r="K13" t="s">
        <v>744</v>
      </c>
      <c r="L13">
        <v>1296</v>
      </c>
      <c r="N13">
        <v>1002</v>
      </c>
      <c r="O13" t="s">
        <v>147</v>
      </c>
      <c r="P13" t="s">
        <v>147</v>
      </c>
      <c r="Q13">
        <v>1</v>
      </c>
      <c r="X13">
        <v>0</v>
      </c>
      <c r="Y13">
        <v>46.86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 t="s">
        <v>3</v>
      </c>
      <c r="AG13">
        <v>0</v>
      </c>
      <c r="AH13">
        <v>2</v>
      </c>
      <c r="AI13">
        <v>145040261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145040263</v>
      </c>
      <c r="C14">
        <v>145040262</v>
      </c>
      <c r="D14">
        <v>140759991</v>
      </c>
      <c r="E14">
        <v>70</v>
      </c>
      <c r="F14">
        <v>1</v>
      </c>
      <c r="G14">
        <v>1</v>
      </c>
      <c r="H14">
        <v>1</v>
      </c>
      <c r="I14" t="s">
        <v>738</v>
      </c>
      <c r="J14" t="s">
        <v>3</v>
      </c>
      <c r="K14" t="s">
        <v>739</v>
      </c>
      <c r="L14">
        <v>1191</v>
      </c>
      <c r="N14">
        <v>1013</v>
      </c>
      <c r="O14" t="s">
        <v>725</v>
      </c>
      <c r="P14" t="s">
        <v>725</v>
      </c>
      <c r="Q14">
        <v>1</v>
      </c>
      <c r="X14">
        <v>4.38</v>
      </c>
      <c r="Y14">
        <v>0</v>
      </c>
      <c r="Z14">
        <v>0</v>
      </c>
      <c r="AA14">
        <v>0</v>
      </c>
      <c r="AB14">
        <v>8.9700000000000006</v>
      </c>
      <c r="AC14">
        <v>0</v>
      </c>
      <c r="AD14">
        <v>1</v>
      </c>
      <c r="AE14">
        <v>1</v>
      </c>
      <c r="AF14" t="s">
        <v>21</v>
      </c>
      <c r="AG14">
        <v>5.0369999999999999</v>
      </c>
      <c r="AH14">
        <v>2</v>
      </c>
      <c r="AI14">
        <v>145040263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145040264</v>
      </c>
      <c r="C15">
        <v>145040262</v>
      </c>
      <c r="D15">
        <v>140760225</v>
      </c>
      <c r="E15">
        <v>70</v>
      </c>
      <c r="F15">
        <v>1</v>
      </c>
      <c r="G15">
        <v>1</v>
      </c>
      <c r="H15">
        <v>1</v>
      </c>
      <c r="I15" t="s">
        <v>730</v>
      </c>
      <c r="J15" t="s">
        <v>3</v>
      </c>
      <c r="K15" t="s">
        <v>731</v>
      </c>
      <c r="L15">
        <v>1191</v>
      </c>
      <c r="N15">
        <v>1013</v>
      </c>
      <c r="O15" t="s">
        <v>725</v>
      </c>
      <c r="P15" t="s">
        <v>725</v>
      </c>
      <c r="Q15">
        <v>1</v>
      </c>
      <c r="X15">
        <v>0.38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21</v>
      </c>
      <c r="AG15">
        <v>0.43699999999999994</v>
      </c>
      <c r="AH15">
        <v>2</v>
      </c>
      <c r="AI15">
        <v>145040264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145040265</v>
      </c>
      <c r="C16">
        <v>145040262</v>
      </c>
      <c r="D16">
        <v>140923885</v>
      </c>
      <c r="E16">
        <v>1</v>
      </c>
      <c r="F16">
        <v>1</v>
      </c>
      <c r="G16">
        <v>1</v>
      </c>
      <c r="H16">
        <v>2</v>
      </c>
      <c r="I16" t="s">
        <v>732</v>
      </c>
      <c r="J16" t="s">
        <v>733</v>
      </c>
      <c r="K16" t="s">
        <v>734</v>
      </c>
      <c r="L16">
        <v>1367</v>
      </c>
      <c r="N16">
        <v>1011</v>
      </c>
      <c r="O16" t="s">
        <v>79</v>
      </c>
      <c r="P16" t="s">
        <v>79</v>
      </c>
      <c r="Q16">
        <v>1</v>
      </c>
      <c r="X16">
        <v>0.38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21</v>
      </c>
      <c r="AG16">
        <v>0.43699999999999994</v>
      </c>
      <c r="AH16">
        <v>2</v>
      </c>
      <c r="AI16">
        <v>145040265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145040266</v>
      </c>
      <c r="C17">
        <v>145040262</v>
      </c>
      <c r="D17">
        <v>140772680</v>
      </c>
      <c r="E17">
        <v>1</v>
      </c>
      <c r="F17">
        <v>1</v>
      </c>
      <c r="G17">
        <v>1</v>
      </c>
      <c r="H17">
        <v>3</v>
      </c>
      <c r="I17" t="s">
        <v>735</v>
      </c>
      <c r="J17" t="s">
        <v>736</v>
      </c>
      <c r="K17" t="s">
        <v>737</v>
      </c>
      <c r="L17">
        <v>1339</v>
      </c>
      <c r="N17">
        <v>1007</v>
      </c>
      <c r="O17" t="s">
        <v>66</v>
      </c>
      <c r="P17" t="s">
        <v>66</v>
      </c>
      <c r="Q17">
        <v>1</v>
      </c>
      <c r="X17">
        <v>0</v>
      </c>
      <c r="Y17">
        <v>2.44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3</v>
      </c>
      <c r="AG17">
        <v>0</v>
      </c>
      <c r="AH17">
        <v>2</v>
      </c>
      <c r="AI17">
        <v>145040266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145040267</v>
      </c>
      <c r="C18">
        <v>145040262</v>
      </c>
      <c r="D18">
        <v>140761147</v>
      </c>
      <c r="E18">
        <v>70</v>
      </c>
      <c r="F18">
        <v>1</v>
      </c>
      <c r="G18">
        <v>1</v>
      </c>
      <c r="H18">
        <v>3</v>
      </c>
      <c r="I18" t="s">
        <v>740</v>
      </c>
      <c r="J18" t="s">
        <v>3</v>
      </c>
      <c r="K18" t="s">
        <v>741</v>
      </c>
      <c r="L18">
        <v>1346</v>
      </c>
      <c r="N18">
        <v>1009</v>
      </c>
      <c r="O18" t="s">
        <v>43</v>
      </c>
      <c r="P18" t="s">
        <v>43</v>
      </c>
      <c r="Q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1</v>
      </c>
      <c r="AD18">
        <v>0</v>
      </c>
      <c r="AE18">
        <v>0</v>
      </c>
      <c r="AF18" t="s">
        <v>3</v>
      </c>
      <c r="AG18">
        <v>0</v>
      </c>
      <c r="AH18">
        <v>2</v>
      </c>
      <c r="AI18">
        <v>145040267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ROW(Source!A31)</f>
        <v>31</v>
      </c>
      <c r="B19">
        <v>145040325</v>
      </c>
      <c r="C19">
        <v>145040324</v>
      </c>
      <c r="D19">
        <v>140759979</v>
      </c>
      <c r="E19">
        <v>70</v>
      </c>
      <c r="F19">
        <v>1</v>
      </c>
      <c r="G19">
        <v>1</v>
      </c>
      <c r="H19">
        <v>1</v>
      </c>
      <c r="I19" t="s">
        <v>745</v>
      </c>
      <c r="J19" t="s">
        <v>3</v>
      </c>
      <c r="K19" t="s">
        <v>746</v>
      </c>
      <c r="L19">
        <v>1191</v>
      </c>
      <c r="N19">
        <v>1013</v>
      </c>
      <c r="O19" t="s">
        <v>725</v>
      </c>
      <c r="P19" t="s">
        <v>725</v>
      </c>
      <c r="Q19">
        <v>1</v>
      </c>
      <c r="X19">
        <v>8.0299999999999994</v>
      </c>
      <c r="Y19">
        <v>0</v>
      </c>
      <c r="Z19">
        <v>0</v>
      </c>
      <c r="AA19">
        <v>0</v>
      </c>
      <c r="AB19">
        <v>8.5299999999999994</v>
      </c>
      <c r="AC19">
        <v>0</v>
      </c>
      <c r="AD19">
        <v>1</v>
      </c>
      <c r="AE19">
        <v>1</v>
      </c>
      <c r="AF19" t="s">
        <v>21</v>
      </c>
      <c r="AG19">
        <v>9.2344999999999988</v>
      </c>
      <c r="AH19">
        <v>2</v>
      </c>
      <c r="AI19">
        <v>145040325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ROW(Source!A35)</f>
        <v>35</v>
      </c>
      <c r="B20">
        <v>145034415</v>
      </c>
      <c r="C20">
        <v>145034414</v>
      </c>
      <c r="D20">
        <v>140759988</v>
      </c>
      <c r="E20">
        <v>70</v>
      </c>
      <c r="F20">
        <v>1</v>
      </c>
      <c r="G20">
        <v>1</v>
      </c>
      <c r="H20">
        <v>1</v>
      </c>
      <c r="I20" t="s">
        <v>747</v>
      </c>
      <c r="J20" t="s">
        <v>3</v>
      </c>
      <c r="K20" t="s">
        <v>748</v>
      </c>
      <c r="L20">
        <v>1191</v>
      </c>
      <c r="N20">
        <v>1013</v>
      </c>
      <c r="O20" t="s">
        <v>725</v>
      </c>
      <c r="P20" t="s">
        <v>725</v>
      </c>
      <c r="Q20">
        <v>1</v>
      </c>
      <c r="X20">
        <v>5.9</v>
      </c>
      <c r="Y20">
        <v>0</v>
      </c>
      <c r="Z20">
        <v>0</v>
      </c>
      <c r="AA20">
        <v>0</v>
      </c>
      <c r="AB20">
        <v>8.86</v>
      </c>
      <c r="AC20">
        <v>0</v>
      </c>
      <c r="AD20">
        <v>1</v>
      </c>
      <c r="AE20">
        <v>1</v>
      </c>
      <c r="AF20" t="s">
        <v>91</v>
      </c>
      <c r="AG20">
        <v>7.8027499999999996</v>
      </c>
      <c r="AH20">
        <v>2</v>
      </c>
      <c r="AI20">
        <v>145034415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ROW(Source!A35)</f>
        <v>35</v>
      </c>
      <c r="B21">
        <v>145034416</v>
      </c>
      <c r="C21">
        <v>145034414</v>
      </c>
      <c r="D21">
        <v>140760225</v>
      </c>
      <c r="E21">
        <v>70</v>
      </c>
      <c r="F21">
        <v>1</v>
      </c>
      <c r="G21">
        <v>1</v>
      </c>
      <c r="H21">
        <v>1</v>
      </c>
      <c r="I21" t="s">
        <v>730</v>
      </c>
      <c r="J21" t="s">
        <v>3</v>
      </c>
      <c r="K21" t="s">
        <v>731</v>
      </c>
      <c r="L21">
        <v>1191</v>
      </c>
      <c r="N21">
        <v>1013</v>
      </c>
      <c r="O21" t="s">
        <v>725</v>
      </c>
      <c r="P21" t="s">
        <v>725</v>
      </c>
      <c r="Q21">
        <v>1</v>
      </c>
      <c r="X21">
        <v>0.41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90</v>
      </c>
      <c r="AG21">
        <v>0.58937499999999987</v>
      </c>
      <c r="AH21">
        <v>2</v>
      </c>
      <c r="AI21">
        <v>145034416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ROW(Source!A35)</f>
        <v>35</v>
      </c>
      <c r="B22">
        <v>145034417</v>
      </c>
      <c r="C22">
        <v>145034414</v>
      </c>
      <c r="D22">
        <v>140922893</v>
      </c>
      <c r="E22">
        <v>1</v>
      </c>
      <c r="F22">
        <v>1</v>
      </c>
      <c r="G22">
        <v>1</v>
      </c>
      <c r="H22">
        <v>2</v>
      </c>
      <c r="I22" t="s">
        <v>749</v>
      </c>
      <c r="J22" t="s">
        <v>750</v>
      </c>
      <c r="K22" t="s">
        <v>751</v>
      </c>
      <c r="L22">
        <v>1367</v>
      </c>
      <c r="N22">
        <v>1011</v>
      </c>
      <c r="O22" t="s">
        <v>79</v>
      </c>
      <c r="P22" t="s">
        <v>79</v>
      </c>
      <c r="Q22">
        <v>1</v>
      </c>
      <c r="X22">
        <v>0.18</v>
      </c>
      <c r="Y22">
        <v>0</v>
      </c>
      <c r="Z22">
        <v>86.4</v>
      </c>
      <c r="AA22">
        <v>13.5</v>
      </c>
      <c r="AB22">
        <v>0</v>
      </c>
      <c r="AC22">
        <v>0</v>
      </c>
      <c r="AD22">
        <v>1</v>
      </c>
      <c r="AE22">
        <v>0</v>
      </c>
      <c r="AF22" t="s">
        <v>90</v>
      </c>
      <c r="AG22">
        <v>0.25874999999999998</v>
      </c>
      <c r="AH22">
        <v>2</v>
      </c>
      <c r="AI22">
        <v>145034417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ROW(Source!A35)</f>
        <v>35</v>
      </c>
      <c r="B23">
        <v>145034418</v>
      </c>
      <c r="C23">
        <v>145034414</v>
      </c>
      <c r="D23">
        <v>140922951</v>
      </c>
      <c r="E23">
        <v>1</v>
      </c>
      <c r="F23">
        <v>1</v>
      </c>
      <c r="G23">
        <v>1</v>
      </c>
      <c r="H23">
        <v>2</v>
      </c>
      <c r="I23" t="s">
        <v>752</v>
      </c>
      <c r="J23" t="s">
        <v>753</v>
      </c>
      <c r="K23" t="s">
        <v>754</v>
      </c>
      <c r="L23">
        <v>1367</v>
      </c>
      <c r="N23">
        <v>1011</v>
      </c>
      <c r="O23" t="s">
        <v>79</v>
      </c>
      <c r="P23" t="s">
        <v>79</v>
      </c>
      <c r="Q23">
        <v>1</v>
      </c>
      <c r="X23">
        <v>0.1</v>
      </c>
      <c r="Y23">
        <v>0</v>
      </c>
      <c r="Z23">
        <v>115.4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90</v>
      </c>
      <c r="AG23">
        <v>0.14374999999999999</v>
      </c>
      <c r="AH23">
        <v>2</v>
      </c>
      <c r="AI23">
        <v>145034418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ROW(Source!A35)</f>
        <v>35</v>
      </c>
      <c r="B24">
        <v>145034419</v>
      </c>
      <c r="C24">
        <v>145034414</v>
      </c>
      <c r="D24">
        <v>140923885</v>
      </c>
      <c r="E24">
        <v>1</v>
      </c>
      <c r="F24">
        <v>1</v>
      </c>
      <c r="G24">
        <v>1</v>
      </c>
      <c r="H24">
        <v>2</v>
      </c>
      <c r="I24" t="s">
        <v>732</v>
      </c>
      <c r="J24" t="s">
        <v>733</v>
      </c>
      <c r="K24" t="s">
        <v>734</v>
      </c>
      <c r="L24">
        <v>1367</v>
      </c>
      <c r="N24">
        <v>1011</v>
      </c>
      <c r="O24" t="s">
        <v>79</v>
      </c>
      <c r="P24" t="s">
        <v>79</v>
      </c>
      <c r="Q24">
        <v>1</v>
      </c>
      <c r="X24">
        <v>0.13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90</v>
      </c>
      <c r="AG24">
        <v>0.18687499999999999</v>
      </c>
      <c r="AH24">
        <v>2</v>
      </c>
      <c r="AI24">
        <v>145034419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ROW(Source!A35)</f>
        <v>35</v>
      </c>
      <c r="B25">
        <v>145034420</v>
      </c>
      <c r="C25">
        <v>145034414</v>
      </c>
      <c r="D25">
        <v>140924098</v>
      </c>
      <c r="E25">
        <v>1</v>
      </c>
      <c r="F25">
        <v>1</v>
      </c>
      <c r="G25">
        <v>1</v>
      </c>
      <c r="H25">
        <v>2</v>
      </c>
      <c r="I25" t="s">
        <v>755</v>
      </c>
      <c r="J25" t="s">
        <v>756</v>
      </c>
      <c r="K25" t="s">
        <v>757</v>
      </c>
      <c r="L25">
        <v>1367</v>
      </c>
      <c r="N25">
        <v>1011</v>
      </c>
      <c r="O25" t="s">
        <v>79</v>
      </c>
      <c r="P25" t="s">
        <v>79</v>
      </c>
      <c r="Q25">
        <v>1</v>
      </c>
      <c r="X25">
        <v>1.59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90</v>
      </c>
      <c r="AG25">
        <v>2.285625</v>
      </c>
      <c r="AH25">
        <v>2</v>
      </c>
      <c r="AI25">
        <v>145034420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ROW(Source!A35)</f>
        <v>35</v>
      </c>
      <c r="B26">
        <v>145034421</v>
      </c>
      <c r="C26">
        <v>145034414</v>
      </c>
      <c r="D26">
        <v>140773798</v>
      </c>
      <c r="E26">
        <v>1</v>
      </c>
      <c r="F26">
        <v>1</v>
      </c>
      <c r="G26">
        <v>1</v>
      </c>
      <c r="H26">
        <v>3</v>
      </c>
      <c r="I26" t="s">
        <v>758</v>
      </c>
      <c r="J26" t="s">
        <v>759</v>
      </c>
      <c r="K26" t="s">
        <v>760</v>
      </c>
      <c r="L26">
        <v>1348</v>
      </c>
      <c r="N26">
        <v>1009</v>
      </c>
      <c r="O26" t="s">
        <v>105</v>
      </c>
      <c r="P26" t="s">
        <v>105</v>
      </c>
      <c r="Q26">
        <v>1000</v>
      </c>
      <c r="X26">
        <v>5.0000000000000001E-4</v>
      </c>
      <c r="Y26">
        <v>9424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5.0000000000000001E-4</v>
      </c>
      <c r="AH26">
        <v>2</v>
      </c>
      <c r="AI26">
        <v>145034421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ROW(Source!A35)</f>
        <v>35</v>
      </c>
      <c r="B27">
        <v>145034422</v>
      </c>
      <c r="C27">
        <v>145034414</v>
      </c>
      <c r="D27">
        <v>140776060</v>
      </c>
      <c r="E27">
        <v>1</v>
      </c>
      <c r="F27">
        <v>1</v>
      </c>
      <c r="G27">
        <v>1</v>
      </c>
      <c r="H27">
        <v>3</v>
      </c>
      <c r="I27" t="s">
        <v>761</v>
      </c>
      <c r="J27" t="s">
        <v>762</v>
      </c>
      <c r="K27" t="s">
        <v>763</v>
      </c>
      <c r="L27">
        <v>1346</v>
      </c>
      <c r="N27">
        <v>1009</v>
      </c>
      <c r="O27" t="s">
        <v>43</v>
      </c>
      <c r="P27" t="s">
        <v>43</v>
      </c>
      <c r="Q27">
        <v>1</v>
      </c>
      <c r="X27">
        <v>0.52</v>
      </c>
      <c r="Y27">
        <v>28.26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0.52</v>
      </c>
      <c r="AH27">
        <v>2</v>
      </c>
      <c r="AI27">
        <v>145034422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ROW(Source!A35)</f>
        <v>35</v>
      </c>
      <c r="B28">
        <v>145034423</v>
      </c>
      <c r="C28">
        <v>145034414</v>
      </c>
      <c r="D28">
        <v>140762046</v>
      </c>
      <c r="E28">
        <v>70</v>
      </c>
      <c r="F28">
        <v>1</v>
      </c>
      <c r="G28">
        <v>1</v>
      </c>
      <c r="H28">
        <v>3</v>
      </c>
      <c r="I28" t="s">
        <v>764</v>
      </c>
      <c r="J28" t="s">
        <v>3</v>
      </c>
      <c r="K28" t="s">
        <v>765</v>
      </c>
      <c r="L28">
        <v>1348</v>
      </c>
      <c r="N28">
        <v>1009</v>
      </c>
      <c r="O28" t="s">
        <v>105</v>
      </c>
      <c r="P28" t="s">
        <v>105</v>
      </c>
      <c r="Q28">
        <v>1000</v>
      </c>
      <c r="X28">
        <v>0.3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3</v>
      </c>
      <c r="AG28">
        <v>0.3</v>
      </c>
      <c r="AH28">
        <v>2</v>
      </c>
      <c r="AI28">
        <v>145034423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ROW(Source!A37)</f>
        <v>37</v>
      </c>
      <c r="B29">
        <v>145034506</v>
      </c>
      <c r="C29">
        <v>145034505</v>
      </c>
      <c r="D29">
        <v>140760022</v>
      </c>
      <c r="E29">
        <v>70</v>
      </c>
      <c r="F29">
        <v>1</v>
      </c>
      <c r="G29">
        <v>1</v>
      </c>
      <c r="H29">
        <v>1</v>
      </c>
      <c r="I29" t="s">
        <v>766</v>
      </c>
      <c r="J29" t="s">
        <v>3</v>
      </c>
      <c r="K29" t="s">
        <v>767</v>
      </c>
      <c r="L29">
        <v>1191</v>
      </c>
      <c r="N29">
        <v>1013</v>
      </c>
      <c r="O29" t="s">
        <v>725</v>
      </c>
      <c r="P29" t="s">
        <v>725</v>
      </c>
      <c r="Q29">
        <v>1</v>
      </c>
      <c r="X29">
        <v>130</v>
      </c>
      <c r="Y29">
        <v>0</v>
      </c>
      <c r="Z29">
        <v>0</v>
      </c>
      <c r="AA29">
        <v>0</v>
      </c>
      <c r="AB29">
        <v>9.4</v>
      </c>
      <c r="AC29">
        <v>0</v>
      </c>
      <c r="AD29">
        <v>1</v>
      </c>
      <c r="AE29">
        <v>1</v>
      </c>
      <c r="AF29" t="s">
        <v>3</v>
      </c>
      <c r="AG29">
        <v>130</v>
      </c>
      <c r="AH29">
        <v>2</v>
      </c>
      <c r="AI29">
        <v>145034506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ROW(Source!A37)</f>
        <v>37</v>
      </c>
      <c r="B30">
        <v>145034507</v>
      </c>
      <c r="C30">
        <v>145034505</v>
      </c>
      <c r="D30">
        <v>140760225</v>
      </c>
      <c r="E30">
        <v>70</v>
      </c>
      <c r="F30">
        <v>1</v>
      </c>
      <c r="G30">
        <v>1</v>
      </c>
      <c r="H30">
        <v>1</v>
      </c>
      <c r="I30" t="s">
        <v>730</v>
      </c>
      <c r="J30" t="s">
        <v>3</v>
      </c>
      <c r="K30" t="s">
        <v>731</v>
      </c>
      <c r="L30">
        <v>1191</v>
      </c>
      <c r="N30">
        <v>1013</v>
      </c>
      <c r="O30" t="s">
        <v>725</v>
      </c>
      <c r="P30" t="s">
        <v>725</v>
      </c>
      <c r="Q30">
        <v>1</v>
      </c>
      <c r="X30">
        <v>1.8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3</v>
      </c>
      <c r="AG30">
        <v>1.8</v>
      </c>
      <c r="AH30">
        <v>2</v>
      </c>
      <c r="AI30">
        <v>145034507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ROW(Source!A37)</f>
        <v>37</v>
      </c>
      <c r="B31">
        <v>145034508</v>
      </c>
      <c r="C31">
        <v>145034505</v>
      </c>
      <c r="D31">
        <v>140922951</v>
      </c>
      <c r="E31">
        <v>1</v>
      </c>
      <c r="F31">
        <v>1</v>
      </c>
      <c r="G31">
        <v>1</v>
      </c>
      <c r="H31">
        <v>2</v>
      </c>
      <c r="I31" t="s">
        <v>752</v>
      </c>
      <c r="J31" t="s">
        <v>753</v>
      </c>
      <c r="K31" t="s">
        <v>754</v>
      </c>
      <c r="L31">
        <v>1367</v>
      </c>
      <c r="N31">
        <v>1011</v>
      </c>
      <c r="O31" t="s">
        <v>79</v>
      </c>
      <c r="P31" t="s">
        <v>79</v>
      </c>
      <c r="Q31">
        <v>1</v>
      </c>
      <c r="X31">
        <v>0.5</v>
      </c>
      <c r="Y31">
        <v>0</v>
      </c>
      <c r="Z31">
        <v>115.4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0.5</v>
      </c>
      <c r="AH31">
        <v>2</v>
      </c>
      <c r="AI31">
        <v>145034508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ROW(Source!A37)</f>
        <v>37</v>
      </c>
      <c r="B32">
        <v>145034509</v>
      </c>
      <c r="C32">
        <v>145034505</v>
      </c>
      <c r="D32">
        <v>140923088</v>
      </c>
      <c r="E32">
        <v>1</v>
      </c>
      <c r="F32">
        <v>1</v>
      </c>
      <c r="G32">
        <v>1</v>
      </c>
      <c r="H32">
        <v>2</v>
      </c>
      <c r="I32" t="s">
        <v>768</v>
      </c>
      <c r="J32" t="s">
        <v>769</v>
      </c>
      <c r="K32" t="s">
        <v>770</v>
      </c>
      <c r="L32">
        <v>1367</v>
      </c>
      <c r="N32">
        <v>1011</v>
      </c>
      <c r="O32" t="s">
        <v>79</v>
      </c>
      <c r="P32" t="s">
        <v>79</v>
      </c>
      <c r="Q32">
        <v>1</v>
      </c>
      <c r="X32">
        <v>1.37</v>
      </c>
      <c r="Y32">
        <v>0</v>
      </c>
      <c r="Z32">
        <v>6.9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1.37</v>
      </c>
      <c r="AH32">
        <v>2</v>
      </c>
      <c r="AI32">
        <v>145034509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ROW(Source!A37)</f>
        <v>37</v>
      </c>
      <c r="B33">
        <v>145034510</v>
      </c>
      <c r="C33">
        <v>145034505</v>
      </c>
      <c r="D33">
        <v>140923886</v>
      </c>
      <c r="E33">
        <v>1</v>
      </c>
      <c r="F33">
        <v>1</v>
      </c>
      <c r="G33">
        <v>1</v>
      </c>
      <c r="H33">
        <v>2</v>
      </c>
      <c r="I33" t="s">
        <v>771</v>
      </c>
      <c r="J33" t="s">
        <v>772</v>
      </c>
      <c r="K33" t="s">
        <v>773</v>
      </c>
      <c r="L33">
        <v>1367</v>
      </c>
      <c r="N33">
        <v>1011</v>
      </c>
      <c r="O33" t="s">
        <v>79</v>
      </c>
      <c r="P33" t="s">
        <v>79</v>
      </c>
      <c r="Q33">
        <v>1</v>
      </c>
      <c r="X33">
        <v>0.5</v>
      </c>
      <c r="Y33">
        <v>0</v>
      </c>
      <c r="Z33">
        <v>85.84</v>
      </c>
      <c r="AA33">
        <v>11.6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0.5</v>
      </c>
      <c r="AH33">
        <v>2</v>
      </c>
      <c r="AI33">
        <v>145034510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ROW(Source!A37)</f>
        <v>37</v>
      </c>
      <c r="B34">
        <v>145034511</v>
      </c>
      <c r="C34">
        <v>145034505</v>
      </c>
      <c r="D34">
        <v>140924028</v>
      </c>
      <c r="E34">
        <v>1</v>
      </c>
      <c r="F34">
        <v>1</v>
      </c>
      <c r="G34">
        <v>1</v>
      </c>
      <c r="H34">
        <v>2</v>
      </c>
      <c r="I34" t="s">
        <v>774</v>
      </c>
      <c r="J34" t="s">
        <v>775</v>
      </c>
      <c r="K34" t="s">
        <v>776</v>
      </c>
      <c r="L34">
        <v>1367</v>
      </c>
      <c r="N34">
        <v>1011</v>
      </c>
      <c r="O34" t="s">
        <v>79</v>
      </c>
      <c r="P34" t="s">
        <v>79</v>
      </c>
      <c r="Q34">
        <v>1</v>
      </c>
      <c r="X34">
        <v>43.4</v>
      </c>
      <c r="Y34">
        <v>0</v>
      </c>
      <c r="Z34">
        <v>39.49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43.4</v>
      </c>
      <c r="AH34">
        <v>2</v>
      </c>
      <c r="AI34">
        <v>145034511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ROW(Source!A37)</f>
        <v>37</v>
      </c>
      <c r="B35">
        <v>145034512</v>
      </c>
      <c r="C35">
        <v>145034505</v>
      </c>
      <c r="D35">
        <v>140924041</v>
      </c>
      <c r="E35">
        <v>1</v>
      </c>
      <c r="F35">
        <v>1</v>
      </c>
      <c r="G35">
        <v>1</v>
      </c>
      <c r="H35">
        <v>2</v>
      </c>
      <c r="I35" t="s">
        <v>777</v>
      </c>
      <c r="J35" t="s">
        <v>778</v>
      </c>
      <c r="K35" t="s">
        <v>779</v>
      </c>
      <c r="L35">
        <v>1367</v>
      </c>
      <c r="N35">
        <v>1011</v>
      </c>
      <c r="O35" t="s">
        <v>79</v>
      </c>
      <c r="P35" t="s">
        <v>79</v>
      </c>
      <c r="Q35">
        <v>1</v>
      </c>
      <c r="X35">
        <v>0.9</v>
      </c>
      <c r="Y35">
        <v>0</v>
      </c>
      <c r="Z35">
        <v>1.2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0.9</v>
      </c>
      <c r="AH35">
        <v>2</v>
      </c>
      <c r="AI35">
        <v>145034512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ROW(Source!A37)</f>
        <v>37</v>
      </c>
      <c r="B36">
        <v>145034513</v>
      </c>
      <c r="C36">
        <v>145034505</v>
      </c>
      <c r="D36">
        <v>140924610</v>
      </c>
      <c r="E36">
        <v>1</v>
      </c>
      <c r="F36">
        <v>1</v>
      </c>
      <c r="G36">
        <v>1</v>
      </c>
      <c r="H36">
        <v>2</v>
      </c>
      <c r="I36" t="s">
        <v>780</v>
      </c>
      <c r="J36" t="s">
        <v>781</v>
      </c>
      <c r="K36" t="s">
        <v>782</v>
      </c>
      <c r="L36">
        <v>1367</v>
      </c>
      <c r="N36">
        <v>1011</v>
      </c>
      <c r="O36" t="s">
        <v>79</v>
      </c>
      <c r="P36" t="s">
        <v>79</v>
      </c>
      <c r="Q36">
        <v>1</v>
      </c>
      <c r="X36">
        <v>0.8</v>
      </c>
      <c r="Y36">
        <v>0</v>
      </c>
      <c r="Z36">
        <v>15.4</v>
      </c>
      <c r="AA36">
        <v>10.06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0.8</v>
      </c>
      <c r="AH36">
        <v>2</v>
      </c>
      <c r="AI36">
        <v>145034513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ROW(Source!A37)</f>
        <v>37</v>
      </c>
      <c r="B37">
        <v>145034514</v>
      </c>
      <c r="C37">
        <v>145034505</v>
      </c>
      <c r="D37">
        <v>140924652</v>
      </c>
      <c r="E37">
        <v>1</v>
      </c>
      <c r="F37">
        <v>1</v>
      </c>
      <c r="G37">
        <v>1</v>
      </c>
      <c r="H37">
        <v>2</v>
      </c>
      <c r="I37" t="s">
        <v>783</v>
      </c>
      <c r="J37" t="s">
        <v>784</v>
      </c>
      <c r="K37" t="s">
        <v>785</v>
      </c>
      <c r="L37">
        <v>1367</v>
      </c>
      <c r="N37">
        <v>1011</v>
      </c>
      <c r="O37" t="s">
        <v>79</v>
      </c>
      <c r="P37" t="s">
        <v>79</v>
      </c>
      <c r="Q37">
        <v>1</v>
      </c>
      <c r="X37">
        <v>2.4</v>
      </c>
      <c r="Y37">
        <v>0</v>
      </c>
      <c r="Z37">
        <v>2.36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2.4</v>
      </c>
      <c r="AH37">
        <v>2</v>
      </c>
      <c r="AI37">
        <v>145034514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ROW(Source!A37)</f>
        <v>37</v>
      </c>
      <c r="B38">
        <v>145034515</v>
      </c>
      <c r="C38">
        <v>145034505</v>
      </c>
      <c r="D38">
        <v>140771005</v>
      </c>
      <c r="E38">
        <v>1</v>
      </c>
      <c r="F38">
        <v>1</v>
      </c>
      <c r="G38">
        <v>1</v>
      </c>
      <c r="H38">
        <v>3</v>
      </c>
      <c r="I38" t="s">
        <v>786</v>
      </c>
      <c r="J38" t="s">
        <v>787</v>
      </c>
      <c r="K38" t="s">
        <v>788</v>
      </c>
      <c r="L38">
        <v>1339</v>
      </c>
      <c r="N38">
        <v>1007</v>
      </c>
      <c r="O38" t="s">
        <v>66</v>
      </c>
      <c r="P38" t="s">
        <v>66</v>
      </c>
      <c r="Q38">
        <v>1</v>
      </c>
      <c r="X38">
        <v>0.6</v>
      </c>
      <c r="Y38">
        <v>6.22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0.6</v>
      </c>
      <c r="AH38">
        <v>2</v>
      </c>
      <c r="AI38">
        <v>145034515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ROW(Source!A37)</f>
        <v>37</v>
      </c>
      <c r="B39">
        <v>145034516</v>
      </c>
      <c r="C39">
        <v>145034505</v>
      </c>
      <c r="D39">
        <v>140771011</v>
      </c>
      <c r="E39">
        <v>1</v>
      </c>
      <c r="F39">
        <v>1</v>
      </c>
      <c r="G39">
        <v>1</v>
      </c>
      <c r="H39">
        <v>3</v>
      </c>
      <c r="I39" t="s">
        <v>789</v>
      </c>
      <c r="J39" t="s">
        <v>790</v>
      </c>
      <c r="K39" t="s">
        <v>791</v>
      </c>
      <c r="L39">
        <v>1346</v>
      </c>
      <c r="N39">
        <v>1009</v>
      </c>
      <c r="O39" t="s">
        <v>43</v>
      </c>
      <c r="P39" t="s">
        <v>43</v>
      </c>
      <c r="Q39">
        <v>1</v>
      </c>
      <c r="X39">
        <v>0.2</v>
      </c>
      <c r="Y39">
        <v>6.09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</v>
      </c>
      <c r="AH39">
        <v>2</v>
      </c>
      <c r="AI39">
        <v>145034516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ROW(Source!A37)</f>
        <v>37</v>
      </c>
      <c r="B40">
        <v>145034517</v>
      </c>
      <c r="C40">
        <v>145034505</v>
      </c>
      <c r="D40">
        <v>140773788</v>
      </c>
      <c r="E40">
        <v>1</v>
      </c>
      <c r="F40">
        <v>1</v>
      </c>
      <c r="G40">
        <v>1</v>
      </c>
      <c r="H40">
        <v>3</v>
      </c>
      <c r="I40" t="s">
        <v>792</v>
      </c>
      <c r="J40" t="s">
        <v>793</v>
      </c>
      <c r="K40" t="s">
        <v>794</v>
      </c>
      <c r="L40">
        <v>1348</v>
      </c>
      <c r="N40">
        <v>1009</v>
      </c>
      <c r="O40" t="s">
        <v>105</v>
      </c>
      <c r="P40" t="s">
        <v>105</v>
      </c>
      <c r="Q40">
        <v>1000</v>
      </c>
      <c r="X40">
        <v>1.9E-2</v>
      </c>
      <c r="Y40">
        <v>9765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1.9E-2</v>
      </c>
      <c r="AH40">
        <v>2</v>
      </c>
      <c r="AI40">
        <v>145034517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ROW(Source!A37)</f>
        <v>37</v>
      </c>
      <c r="B41">
        <v>145034518</v>
      </c>
      <c r="C41">
        <v>145034505</v>
      </c>
      <c r="D41">
        <v>140765022</v>
      </c>
      <c r="E41">
        <v>70</v>
      </c>
      <c r="F41">
        <v>1</v>
      </c>
      <c r="G41">
        <v>1</v>
      </c>
      <c r="H41">
        <v>3</v>
      </c>
      <c r="I41" t="s">
        <v>795</v>
      </c>
      <c r="J41" t="s">
        <v>3</v>
      </c>
      <c r="K41" t="s">
        <v>796</v>
      </c>
      <c r="L41">
        <v>1374</v>
      </c>
      <c r="N41">
        <v>1013</v>
      </c>
      <c r="O41" t="s">
        <v>275</v>
      </c>
      <c r="P41" t="s">
        <v>275</v>
      </c>
      <c r="Q41">
        <v>1</v>
      </c>
      <c r="X41">
        <v>24.44</v>
      </c>
      <c r="Y41">
        <v>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24.44</v>
      </c>
      <c r="AH41">
        <v>2</v>
      </c>
      <c r="AI41">
        <v>145034518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ROW(Source!A41)</f>
        <v>41</v>
      </c>
      <c r="B42">
        <v>145034579</v>
      </c>
      <c r="C42">
        <v>145034578</v>
      </c>
      <c r="D42">
        <v>140759982</v>
      </c>
      <c r="E42">
        <v>70</v>
      </c>
      <c r="F42">
        <v>1</v>
      </c>
      <c r="G42">
        <v>1</v>
      </c>
      <c r="H42">
        <v>1</v>
      </c>
      <c r="I42" t="s">
        <v>797</v>
      </c>
      <c r="J42" t="s">
        <v>3</v>
      </c>
      <c r="K42" t="s">
        <v>798</v>
      </c>
      <c r="L42">
        <v>1191</v>
      </c>
      <c r="N42">
        <v>1013</v>
      </c>
      <c r="O42" t="s">
        <v>725</v>
      </c>
      <c r="P42" t="s">
        <v>725</v>
      </c>
      <c r="Q42">
        <v>1</v>
      </c>
      <c r="X42">
        <v>43.4</v>
      </c>
      <c r="Y42">
        <v>0</v>
      </c>
      <c r="Z42">
        <v>0</v>
      </c>
      <c r="AA42">
        <v>0</v>
      </c>
      <c r="AB42">
        <v>8.64</v>
      </c>
      <c r="AC42">
        <v>0</v>
      </c>
      <c r="AD42">
        <v>1</v>
      </c>
      <c r="AE42">
        <v>1</v>
      </c>
      <c r="AF42" t="s">
        <v>91</v>
      </c>
      <c r="AG42">
        <v>57.396499999999989</v>
      </c>
      <c r="AH42">
        <v>2</v>
      </c>
      <c r="AI42">
        <v>145034579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145034580</v>
      </c>
      <c r="C43">
        <v>145034578</v>
      </c>
      <c r="D43">
        <v>140760225</v>
      </c>
      <c r="E43">
        <v>70</v>
      </c>
      <c r="F43">
        <v>1</v>
      </c>
      <c r="G43">
        <v>1</v>
      </c>
      <c r="H43">
        <v>1</v>
      </c>
      <c r="I43" t="s">
        <v>730</v>
      </c>
      <c r="J43" t="s">
        <v>3</v>
      </c>
      <c r="K43" t="s">
        <v>731</v>
      </c>
      <c r="L43">
        <v>1191</v>
      </c>
      <c r="N43">
        <v>1013</v>
      </c>
      <c r="O43" t="s">
        <v>725</v>
      </c>
      <c r="P43" t="s">
        <v>725</v>
      </c>
      <c r="Q43">
        <v>1</v>
      </c>
      <c r="X43">
        <v>7.0000000000000007E-2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90</v>
      </c>
      <c r="AG43">
        <v>0.10062500000000001</v>
      </c>
      <c r="AH43">
        <v>2</v>
      </c>
      <c r="AI43">
        <v>145034580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145034581</v>
      </c>
      <c r="C44">
        <v>145034578</v>
      </c>
      <c r="D44">
        <v>140923885</v>
      </c>
      <c r="E44">
        <v>1</v>
      </c>
      <c r="F44">
        <v>1</v>
      </c>
      <c r="G44">
        <v>1</v>
      </c>
      <c r="H44">
        <v>2</v>
      </c>
      <c r="I44" t="s">
        <v>732</v>
      </c>
      <c r="J44" t="s">
        <v>733</v>
      </c>
      <c r="K44" t="s">
        <v>734</v>
      </c>
      <c r="L44">
        <v>1367</v>
      </c>
      <c r="N44">
        <v>1011</v>
      </c>
      <c r="O44" t="s">
        <v>79</v>
      </c>
      <c r="P44" t="s">
        <v>79</v>
      </c>
      <c r="Q44">
        <v>1</v>
      </c>
      <c r="X44">
        <v>7.0000000000000007E-2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90</v>
      </c>
      <c r="AG44">
        <v>0.10062500000000001</v>
      </c>
      <c r="AH44">
        <v>2</v>
      </c>
      <c r="AI44">
        <v>145034581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ROW(Source!A41)</f>
        <v>41</v>
      </c>
      <c r="B45">
        <v>145034582</v>
      </c>
      <c r="C45">
        <v>145034578</v>
      </c>
      <c r="D45">
        <v>140775571</v>
      </c>
      <c r="E45">
        <v>1</v>
      </c>
      <c r="F45">
        <v>1</v>
      </c>
      <c r="G45">
        <v>1</v>
      </c>
      <c r="H45">
        <v>3</v>
      </c>
      <c r="I45" t="s">
        <v>799</v>
      </c>
      <c r="J45" t="s">
        <v>800</v>
      </c>
      <c r="K45" t="s">
        <v>801</v>
      </c>
      <c r="L45">
        <v>1339</v>
      </c>
      <c r="N45">
        <v>1007</v>
      </c>
      <c r="O45" t="s">
        <v>66</v>
      </c>
      <c r="P45" t="s">
        <v>66</v>
      </c>
      <c r="Q45">
        <v>1</v>
      </c>
      <c r="X45">
        <v>6.0000000000000001E-3</v>
      </c>
      <c r="Y45">
        <v>1100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6.0000000000000001E-3</v>
      </c>
      <c r="AH45">
        <v>2</v>
      </c>
      <c r="AI45">
        <v>145034582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ROW(Source!A41)</f>
        <v>41</v>
      </c>
      <c r="B46">
        <v>145034583</v>
      </c>
      <c r="C46">
        <v>145034578</v>
      </c>
      <c r="D46">
        <v>140775573</v>
      </c>
      <c r="E46">
        <v>1</v>
      </c>
      <c r="F46">
        <v>1</v>
      </c>
      <c r="G46">
        <v>1</v>
      </c>
      <c r="H46">
        <v>3</v>
      </c>
      <c r="I46" t="s">
        <v>802</v>
      </c>
      <c r="J46" t="s">
        <v>803</v>
      </c>
      <c r="K46" t="s">
        <v>804</v>
      </c>
      <c r="L46">
        <v>1348</v>
      </c>
      <c r="N46">
        <v>1009</v>
      </c>
      <c r="O46" t="s">
        <v>105</v>
      </c>
      <c r="P46" t="s">
        <v>105</v>
      </c>
      <c r="Q46">
        <v>1000</v>
      </c>
      <c r="X46">
        <v>3.6999999999999998E-2</v>
      </c>
      <c r="Y46">
        <v>6102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3.6999999999999998E-2</v>
      </c>
      <c r="AH46">
        <v>2</v>
      </c>
      <c r="AI46">
        <v>145034583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ROW(Source!A41)</f>
        <v>41</v>
      </c>
      <c r="B47">
        <v>145034584</v>
      </c>
      <c r="C47">
        <v>145034578</v>
      </c>
      <c r="D47">
        <v>140797739</v>
      </c>
      <c r="E47">
        <v>1</v>
      </c>
      <c r="F47">
        <v>1</v>
      </c>
      <c r="G47">
        <v>1</v>
      </c>
      <c r="H47">
        <v>3</v>
      </c>
      <c r="I47" t="s">
        <v>805</v>
      </c>
      <c r="J47" t="s">
        <v>806</v>
      </c>
      <c r="K47" t="s">
        <v>807</v>
      </c>
      <c r="L47">
        <v>1327</v>
      </c>
      <c r="N47">
        <v>1005</v>
      </c>
      <c r="O47" t="s">
        <v>131</v>
      </c>
      <c r="P47" t="s">
        <v>131</v>
      </c>
      <c r="Q47">
        <v>1</v>
      </c>
      <c r="X47">
        <v>1.2</v>
      </c>
      <c r="Y47">
        <v>35.22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1.2</v>
      </c>
      <c r="AH47">
        <v>2</v>
      </c>
      <c r="AI47">
        <v>145034584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ROW(Source!A42)</f>
        <v>42</v>
      </c>
      <c r="B48">
        <v>145034587</v>
      </c>
      <c r="C48">
        <v>145034586</v>
      </c>
      <c r="D48">
        <v>140759909</v>
      </c>
      <c r="E48">
        <v>70</v>
      </c>
      <c r="F48">
        <v>1</v>
      </c>
      <c r="G48">
        <v>1</v>
      </c>
      <c r="H48">
        <v>1</v>
      </c>
      <c r="I48" t="s">
        <v>808</v>
      </c>
      <c r="J48" t="s">
        <v>3</v>
      </c>
      <c r="K48" t="s">
        <v>809</v>
      </c>
      <c r="L48">
        <v>1191</v>
      </c>
      <c r="N48">
        <v>1013</v>
      </c>
      <c r="O48" t="s">
        <v>725</v>
      </c>
      <c r="P48" t="s">
        <v>725</v>
      </c>
      <c r="Q48">
        <v>1</v>
      </c>
      <c r="X48">
        <v>0.57999999999999996</v>
      </c>
      <c r="Y48">
        <v>0</v>
      </c>
      <c r="Z48">
        <v>0</v>
      </c>
      <c r="AA48">
        <v>0</v>
      </c>
      <c r="AB48">
        <v>7.56</v>
      </c>
      <c r="AC48">
        <v>0</v>
      </c>
      <c r="AD48">
        <v>1</v>
      </c>
      <c r="AE48">
        <v>1</v>
      </c>
      <c r="AF48" t="s">
        <v>21</v>
      </c>
      <c r="AG48">
        <v>0.66699999999999993</v>
      </c>
      <c r="AH48">
        <v>2</v>
      </c>
      <c r="AI48">
        <v>145034587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ROW(Source!A43)</f>
        <v>43</v>
      </c>
      <c r="B49">
        <v>145034718</v>
      </c>
      <c r="C49">
        <v>145034717</v>
      </c>
      <c r="D49">
        <v>140760008</v>
      </c>
      <c r="E49">
        <v>70</v>
      </c>
      <c r="F49">
        <v>1</v>
      </c>
      <c r="G49">
        <v>1</v>
      </c>
      <c r="H49">
        <v>1</v>
      </c>
      <c r="I49" t="s">
        <v>810</v>
      </c>
      <c r="J49" t="s">
        <v>3</v>
      </c>
      <c r="K49" t="s">
        <v>811</v>
      </c>
      <c r="L49">
        <v>1191</v>
      </c>
      <c r="N49">
        <v>1013</v>
      </c>
      <c r="O49" t="s">
        <v>725</v>
      </c>
      <c r="P49" t="s">
        <v>725</v>
      </c>
      <c r="Q49">
        <v>1</v>
      </c>
      <c r="X49">
        <v>3.69</v>
      </c>
      <c r="Y49">
        <v>0</v>
      </c>
      <c r="Z49">
        <v>0</v>
      </c>
      <c r="AA49">
        <v>0</v>
      </c>
      <c r="AB49">
        <v>9.18</v>
      </c>
      <c r="AC49">
        <v>0</v>
      </c>
      <c r="AD49">
        <v>1</v>
      </c>
      <c r="AE49">
        <v>1</v>
      </c>
      <c r="AF49" t="s">
        <v>91</v>
      </c>
      <c r="AG49">
        <v>4.8800249999999998</v>
      </c>
      <c r="AH49">
        <v>2</v>
      </c>
      <c r="AI49">
        <v>145034718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ROW(Source!A43)</f>
        <v>43</v>
      </c>
      <c r="B50">
        <v>145034719</v>
      </c>
      <c r="C50">
        <v>145034717</v>
      </c>
      <c r="D50">
        <v>140760225</v>
      </c>
      <c r="E50">
        <v>70</v>
      </c>
      <c r="F50">
        <v>1</v>
      </c>
      <c r="G50">
        <v>1</v>
      </c>
      <c r="H50">
        <v>1</v>
      </c>
      <c r="I50" t="s">
        <v>730</v>
      </c>
      <c r="J50" t="s">
        <v>3</v>
      </c>
      <c r="K50" t="s">
        <v>731</v>
      </c>
      <c r="L50">
        <v>1191</v>
      </c>
      <c r="N50">
        <v>1013</v>
      </c>
      <c r="O50" t="s">
        <v>725</v>
      </c>
      <c r="P50" t="s">
        <v>725</v>
      </c>
      <c r="Q50">
        <v>1</v>
      </c>
      <c r="X50">
        <v>0.05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90</v>
      </c>
      <c r="AG50">
        <v>7.1874999999999994E-2</v>
      </c>
      <c r="AH50">
        <v>2</v>
      </c>
      <c r="AI50">
        <v>145034719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ROW(Source!A43)</f>
        <v>43</v>
      </c>
      <c r="B51">
        <v>145034720</v>
      </c>
      <c r="C51">
        <v>145034717</v>
      </c>
      <c r="D51">
        <v>140923143</v>
      </c>
      <c r="E51">
        <v>1</v>
      </c>
      <c r="F51">
        <v>1</v>
      </c>
      <c r="G51">
        <v>1</v>
      </c>
      <c r="H51">
        <v>2</v>
      </c>
      <c r="I51" t="s">
        <v>812</v>
      </c>
      <c r="J51" t="s">
        <v>813</v>
      </c>
      <c r="K51" t="s">
        <v>814</v>
      </c>
      <c r="L51">
        <v>1367</v>
      </c>
      <c r="N51">
        <v>1011</v>
      </c>
      <c r="O51" t="s">
        <v>79</v>
      </c>
      <c r="P51" t="s">
        <v>79</v>
      </c>
      <c r="Q51">
        <v>1</v>
      </c>
      <c r="X51">
        <v>0.01</v>
      </c>
      <c r="Y51">
        <v>0</v>
      </c>
      <c r="Z51">
        <v>27.66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90</v>
      </c>
      <c r="AG51">
        <v>1.4374999999999999E-2</v>
      </c>
      <c r="AH51">
        <v>2</v>
      </c>
      <c r="AI51">
        <v>145034720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ROW(Source!A43)</f>
        <v>43</v>
      </c>
      <c r="B52">
        <v>145034721</v>
      </c>
      <c r="C52">
        <v>145034717</v>
      </c>
      <c r="D52">
        <v>140923885</v>
      </c>
      <c r="E52">
        <v>1</v>
      </c>
      <c r="F52">
        <v>1</v>
      </c>
      <c r="G52">
        <v>1</v>
      </c>
      <c r="H52">
        <v>2</v>
      </c>
      <c r="I52" t="s">
        <v>732</v>
      </c>
      <c r="J52" t="s">
        <v>733</v>
      </c>
      <c r="K52" t="s">
        <v>734</v>
      </c>
      <c r="L52">
        <v>1367</v>
      </c>
      <c r="N52">
        <v>1011</v>
      </c>
      <c r="O52" t="s">
        <v>79</v>
      </c>
      <c r="P52" t="s">
        <v>79</v>
      </c>
      <c r="Q52">
        <v>1</v>
      </c>
      <c r="X52">
        <v>0.04</v>
      </c>
      <c r="Y52">
        <v>0</v>
      </c>
      <c r="Z52">
        <v>65.709999999999994</v>
      </c>
      <c r="AA52">
        <v>11.6</v>
      </c>
      <c r="AB52">
        <v>0</v>
      </c>
      <c r="AC52">
        <v>0</v>
      </c>
      <c r="AD52">
        <v>1</v>
      </c>
      <c r="AE52">
        <v>0</v>
      </c>
      <c r="AF52" t="s">
        <v>90</v>
      </c>
      <c r="AG52">
        <v>5.7499999999999996E-2</v>
      </c>
      <c r="AH52">
        <v>2</v>
      </c>
      <c r="AI52">
        <v>145034721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ROW(Source!A43)</f>
        <v>43</v>
      </c>
      <c r="B53">
        <v>145034722</v>
      </c>
      <c r="C53">
        <v>145034717</v>
      </c>
      <c r="D53">
        <v>140924526</v>
      </c>
      <c r="E53">
        <v>1</v>
      </c>
      <c r="F53">
        <v>1</v>
      </c>
      <c r="G53">
        <v>1</v>
      </c>
      <c r="H53">
        <v>2</v>
      </c>
      <c r="I53" t="s">
        <v>815</v>
      </c>
      <c r="J53" t="s">
        <v>816</v>
      </c>
      <c r="K53" t="s">
        <v>817</v>
      </c>
      <c r="L53">
        <v>1367</v>
      </c>
      <c r="N53">
        <v>1011</v>
      </c>
      <c r="O53" t="s">
        <v>79</v>
      </c>
      <c r="P53" t="s">
        <v>79</v>
      </c>
      <c r="Q53">
        <v>1</v>
      </c>
      <c r="X53">
        <v>2.82</v>
      </c>
      <c r="Y53">
        <v>0</v>
      </c>
      <c r="Z53">
        <v>6.82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90</v>
      </c>
      <c r="AG53">
        <v>4.05375</v>
      </c>
      <c r="AH53">
        <v>2</v>
      </c>
      <c r="AI53">
        <v>145034722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ROW(Source!A43)</f>
        <v>43</v>
      </c>
      <c r="B54">
        <v>145034723</v>
      </c>
      <c r="C54">
        <v>145034717</v>
      </c>
      <c r="D54">
        <v>140772680</v>
      </c>
      <c r="E54">
        <v>1</v>
      </c>
      <c r="F54">
        <v>1</v>
      </c>
      <c r="G54">
        <v>1</v>
      </c>
      <c r="H54">
        <v>3</v>
      </c>
      <c r="I54" t="s">
        <v>735</v>
      </c>
      <c r="J54" t="s">
        <v>736</v>
      </c>
      <c r="K54" t="s">
        <v>737</v>
      </c>
      <c r="L54">
        <v>1339</v>
      </c>
      <c r="N54">
        <v>1007</v>
      </c>
      <c r="O54" t="s">
        <v>66</v>
      </c>
      <c r="P54" t="s">
        <v>66</v>
      </c>
      <c r="Q54">
        <v>1</v>
      </c>
      <c r="X54">
        <v>0.01</v>
      </c>
      <c r="Y54">
        <v>2.44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0.01</v>
      </c>
      <c r="AH54">
        <v>2</v>
      </c>
      <c r="AI54">
        <v>145034723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ROW(Source!A43)</f>
        <v>43</v>
      </c>
      <c r="B55">
        <v>145034724</v>
      </c>
      <c r="C55">
        <v>145034717</v>
      </c>
      <c r="D55">
        <v>140776226</v>
      </c>
      <c r="E55">
        <v>1</v>
      </c>
      <c r="F55">
        <v>1</v>
      </c>
      <c r="G55">
        <v>1</v>
      </c>
      <c r="H55">
        <v>3</v>
      </c>
      <c r="I55" t="s">
        <v>818</v>
      </c>
      <c r="J55" t="s">
        <v>819</v>
      </c>
      <c r="K55" t="s">
        <v>820</v>
      </c>
      <c r="L55">
        <v>1346</v>
      </c>
      <c r="N55">
        <v>1009</v>
      </c>
      <c r="O55" t="s">
        <v>43</v>
      </c>
      <c r="P55" t="s">
        <v>43</v>
      </c>
      <c r="Q55">
        <v>1</v>
      </c>
      <c r="X55">
        <v>1</v>
      </c>
      <c r="Y55">
        <v>1.82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</v>
      </c>
      <c r="AH55">
        <v>2</v>
      </c>
      <c r="AI55">
        <v>145034724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ROW(Source!A43)</f>
        <v>43</v>
      </c>
      <c r="B56">
        <v>145034725</v>
      </c>
      <c r="C56">
        <v>145034717</v>
      </c>
      <c r="D56">
        <v>140763283</v>
      </c>
      <c r="E56">
        <v>70</v>
      </c>
      <c r="F56">
        <v>1</v>
      </c>
      <c r="G56">
        <v>1</v>
      </c>
      <c r="H56">
        <v>3</v>
      </c>
      <c r="I56" t="s">
        <v>821</v>
      </c>
      <c r="J56" t="s">
        <v>3</v>
      </c>
      <c r="K56" t="s">
        <v>822</v>
      </c>
      <c r="L56">
        <v>1346</v>
      </c>
      <c r="N56">
        <v>1009</v>
      </c>
      <c r="O56" t="s">
        <v>43</v>
      </c>
      <c r="P56" t="s">
        <v>43</v>
      </c>
      <c r="Q56">
        <v>1</v>
      </c>
      <c r="X56">
        <v>13.8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13.8</v>
      </c>
      <c r="AH56">
        <v>2</v>
      </c>
      <c r="AI56">
        <v>145034725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ROW(Source!A45)</f>
        <v>45</v>
      </c>
      <c r="B57">
        <v>145034881</v>
      </c>
      <c r="C57">
        <v>145034671</v>
      </c>
      <c r="D57">
        <v>140760008</v>
      </c>
      <c r="E57">
        <v>70</v>
      </c>
      <c r="F57">
        <v>1</v>
      </c>
      <c r="G57">
        <v>1</v>
      </c>
      <c r="H57">
        <v>1</v>
      </c>
      <c r="I57" t="s">
        <v>810</v>
      </c>
      <c r="J57" t="s">
        <v>3</v>
      </c>
      <c r="K57" t="s">
        <v>811</v>
      </c>
      <c r="L57">
        <v>1191</v>
      </c>
      <c r="N57">
        <v>1013</v>
      </c>
      <c r="O57" t="s">
        <v>725</v>
      </c>
      <c r="P57" t="s">
        <v>725</v>
      </c>
      <c r="Q57">
        <v>1</v>
      </c>
      <c r="X57">
        <v>22.3</v>
      </c>
      <c r="Y57">
        <v>0</v>
      </c>
      <c r="Z57">
        <v>0</v>
      </c>
      <c r="AA57">
        <v>0</v>
      </c>
      <c r="AB57">
        <v>9.18</v>
      </c>
      <c r="AC57">
        <v>0</v>
      </c>
      <c r="AD57">
        <v>1</v>
      </c>
      <c r="AE57">
        <v>1</v>
      </c>
      <c r="AF57" t="s">
        <v>91</v>
      </c>
      <c r="AG57">
        <v>29.491749999999996</v>
      </c>
      <c r="AH57">
        <v>2</v>
      </c>
      <c r="AI57">
        <v>145034881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ROW(Source!A45)</f>
        <v>45</v>
      </c>
      <c r="B58">
        <v>145034882</v>
      </c>
      <c r="C58">
        <v>145034671</v>
      </c>
      <c r="D58">
        <v>140760225</v>
      </c>
      <c r="E58">
        <v>70</v>
      </c>
      <c r="F58">
        <v>1</v>
      </c>
      <c r="G58">
        <v>1</v>
      </c>
      <c r="H58">
        <v>1</v>
      </c>
      <c r="I58" t="s">
        <v>730</v>
      </c>
      <c r="J58" t="s">
        <v>3</v>
      </c>
      <c r="K58" t="s">
        <v>731</v>
      </c>
      <c r="L58">
        <v>1191</v>
      </c>
      <c r="N58">
        <v>1013</v>
      </c>
      <c r="O58" t="s">
        <v>725</v>
      </c>
      <c r="P58" t="s">
        <v>725</v>
      </c>
      <c r="Q58">
        <v>1</v>
      </c>
      <c r="X58">
        <v>0.21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90</v>
      </c>
      <c r="AG58">
        <v>0.301875</v>
      </c>
      <c r="AH58">
        <v>2</v>
      </c>
      <c r="AI58">
        <v>145034882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ROW(Source!A45)</f>
        <v>45</v>
      </c>
      <c r="B59">
        <v>145034883</v>
      </c>
      <c r="C59">
        <v>145034671</v>
      </c>
      <c r="D59">
        <v>140923105</v>
      </c>
      <c r="E59">
        <v>1</v>
      </c>
      <c r="F59">
        <v>1</v>
      </c>
      <c r="G59">
        <v>1</v>
      </c>
      <c r="H59">
        <v>2</v>
      </c>
      <c r="I59" t="s">
        <v>823</v>
      </c>
      <c r="J59" t="s">
        <v>824</v>
      </c>
      <c r="K59" t="s">
        <v>825</v>
      </c>
      <c r="L59">
        <v>1367</v>
      </c>
      <c r="N59">
        <v>1011</v>
      </c>
      <c r="O59" t="s">
        <v>79</v>
      </c>
      <c r="P59" t="s">
        <v>79</v>
      </c>
      <c r="Q59">
        <v>1</v>
      </c>
      <c r="X59">
        <v>0.08</v>
      </c>
      <c r="Y59">
        <v>0</v>
      </c>
      <c r="Z59">
        <v>89.99</v>
      </c>
      <c r="AA59">
        <v>10.06</v>
      </c>
      <c r="AB59">
        <v>0</v>
      </c>
      <c r="AC59">
        <v>0</v>
      </c>
      <c r="AD59">
        <v>1</v>
      </c>
      <c r="AE59">
        <v>0</v>
      </c>
      <c r="AF59" t="s">
        <v>90</v>
      </c>
      <c r="AG59">
        <v>0.11499999999999999</v>
      </c>
      <c r="AH59">
        <v>2</v>
      </c>
      <c r="AI59">
        <v>145034883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ROW(Source!A45)</f>
        <v>45</v>
      </c>
      <c r="B60">
        <v>145034884</v>
      </c>
      <c r="C60">
        <v>145034671</v>
      </c>
      <c r="D60">
        <v>140923145</v>
      </c>
      <c r="E60">
        <v>1</v>
      </c>
      <c r="F60">
        <v>1</v>
      </c>
      <c r="G60">
        <v>1</v>
      </c>
      <c r="H60">
        <v>2</v>
      </c>
      <c r="I60" t="s">
        <v>826</v>
      </c>
      <c r="J60" t="s">
        <v>827</v>
      </c>
      <c r="K60" t="s">
        <v>828</v>
      </c>
      <c r="L60">
        <v>1367</v>
      </c>
      <c r="N60">
        <v>1011</v>
      </c>
      <c r="O60" t="s">
        <v>79</v>
      </c>
      <c r="P60" t="s">
        <v>79</v>
      </c>
      <c r="Q60">
        <v>1</v>
      </c>
      <c r="X60">
        <v>0.13</v>
      </c>
      <c r="Y60">
        <v>0</v>
      </c>
      <c r="Z60">
        <v>31.26</v>
      </c>
      <c r="AA60">
        <v>13.5</v>
      </c>
      <c r="AB60">
        <v>0</v>
      </c>
      <c r="AC60">
        <v>0</v>
      </c>
      <c r="AD60">
        <v>1</v>
      </c>
      <c r="AE60">
        <v>0</v>
      </c>
      <c r="AF60" t="s">
        <v>90</v>
      </c>
      <c r="AG60">
        <v>0.18687499999999999</v>
      </c>
      <c r="AH60">
        <v>2</v>
      </c>
      <c r="AI60">
        <v>145034884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ROW(Source!A45)</f>
        <v>45</v>
      </c>
      <c r="B61">
        <v>145034885</v>
      </c>
      <c r="C61">
        <v>145034671</v>
      </c>
      <c r="D61">
        <v>140792315</v>
      </c>
      <c r="E61">
        <v>1</v>
      </c>
      <c r="F61">
        <v>1</v>
      </c>
      <c r="G61">
        <v>1</v>
      </c>
      <c r="H61">
        <v>3</v>
      </c>
      <c r="I61" t="s">
        <v>829</v>
      </c>
      <c r="J61" t="s">
        <v>830</v>
      </c>
      <c r="K61" t="s">
        <v>831</v>
      </c>
      <c r="L61">
        <v>1348</v>
      </c>
      <c r="N61">
        <v>1009</v>
      </c>
      <c r="O61" t="s">
        <v>105</v>
      </c>
      <c r="P61" t="s">
        <v>105</v>
      </c>
      <c r="Q61">
        <v>1000</v>
      </c>
      <c r="X61">
        <v>1.2999999999999999E-3</v>
      </c>
      <c r="Y61">
        <v>6500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153</v>
      </c>
      <c r="AG61">
        <v>0</v>
      </c>
      <c r="AH61">
        <v>2</v>
      </c>
      <c r="AI61">
        <v>145034885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ROW(Source!A45)</f>
        <v>45</v>
      </c>
      <c r="B62">
        <v>145034886</v>
      </c>
      <c r="C62">
        <v>145034671</v>
      </c>
      <c r="D62">
        <v>140792339</v>
      </c>
      <c r="E62">
        <v>1</v>
      </c>
      <c r="F62">
        <v>1</v>
      </c>
      <c r="G62">
        <v>1</v>
      </c>
      <c r="H62">
        <v>3</v>
      </c>
      <c r="I62" t="s">
        <v>832</v>
      </c>
      <c r="J62" t="s">
        <v>833</v>
      </c>
      <c r="K62" t="s">
        <v>834</v>
      </c>
      <c r="L62">
        <v>1348</v>
      </c>
      <c r="N62">
        <v>1009</v>
      </c>
      <c r="O62" t="s">
        <v>105</v>
      </c>
      <c r="P62" t="s">
        <v>105</v>
      </c>
      <c r="Q62">
        <v>1000</v>
      </c>
      <c r="X62">
        <v>0.36</v>
      </c>
      <c r="Y62">
        <v>4455.2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153</v>
      </c>
      <c r="AG62">
        <v>0</v>
      </c>
      <c r="AH62">
        <v>2</v>
      </c>
      <c r="AI62">
        <v>145034886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ROW(Source!A48)</f>
        <v>48</v>
      </c>
      <c r="B63">
        <v>145034656</v>
      </c>
      <c r="C63">
        <v>145034655</v>
      </c>
      <c r="D63">
        <v>140760060</v>
      </c>
      <c r="E63">
        <v>70</v>
      </c>
      <c r="F63">
        <v>1</v>
      </c>
      <c r="G63">
        <v>1</v>
      </c>
      <c r="H63">
        <v>1</v>
      </c>
      <c r="I63" t="s">
        <v>835</v>
      </c>
      <c r="J63" t="s">
        <v>3</v>
      </c>
      <c r="K63" t="s">
        <v>836</v>
      </c>
      <c r="L63">
        <v>1191</v>
      </c>
      <c r="N63">
        <v>1013</v>
      </c>
      <c r="O63" t="s">
        <v>725</v>
      </c>
      <c r="P63" t="s">
        <v>725</v>
      </c>
      <c r="Q63">
        <v>1</v>
      </c>
      <c r="X63">
        <v>62.91</v>
      </c>
      <c r="Y63">
        <v>0</v>
      </c>
      <c r="Z63">
        <v>0</v>
      </c>
      <c r="AA63">
        <v>0</v>
      </c>
      <c r="AB63">
        <v>10.65</v>
      </c>
      <c r="AC63">
        <v>0</v>
      </c>
      <c r="AD63">
        <v>1</v>
      </c>
      <c r="AE63">
        <v>1</v>
      </c>
      <c r="AF63" t="s">
        <v>21</v>
      </c>
      <c r="AG63">
        <v>72.346499999999992</v>
      </c>
      <c r="AH63">
        <v>2</v>
      </c>
      <c r="AI63">
        <v>145034656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ROW(Source!A48)</f>
        <v>48</v>
      </c>
      <c r="B64">
        <v>145034657</v>
      </c>
      <c r="C64">
        <v>145034655</v>
      </c>
      <c r="D64">
        <v>140760225</v>
      </c>
      <c r="E64">
        <v>70</v>
      </c>
      <c r="F64">
        <v>1</v>
      </c>
      <c r="G64">
        <v>1</v>
      </c>
      <c r="H64">
        <v>1</v>
      </c>
      <c r="I64" t="s">
        <v>730</v>
      </c>
      <c r="J64" t="s">
        <v>3</v>
      </c>
      <c r="K64" t="s">
        <v>731</v>
      </c>
      <c r="L64">
        <v>1191</v>
      </c>
      <c r="N64">
        <v>1013</v>
      </c>
      <c r="O64" t="s">
        <v>725</v>
      </c>
      <c r="P64" t="s">
        <v>725</v>
      </c>
      <c r="Q64">
        <v>1</v>
      </c>
      <c r="X64">
        <v>6.21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21</v>
      </c>
      <c r="AG64">
        <v>7.1414999999999997</v>
      </c>
      <c r="AH64">
        <v>2</v>
      </c>
      <c r="AI64">
        <v>145034657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ROW(Source!A48)</f>
        <v>48</v>
      </c>
      <c r="B65">
        <v>145034658</v>
      </c>
      <c r="C65">
        <v>145034655</v>
      </c>
      <c r="D65">
        <v>140923145</v>
      </c>
      <c r="E65">
        <v>1</v>
      </c>
      <c r="F65">
        <v>1</v>
      </c>
      <c r="G65">
        <v>1</v>
      </c>
      <c r="H65">
        <v>2</v>
      </c>
      <c r="I65" t="s">
        <v>826</v>
      </c>
      <c r="J65" t="s">
        <v>827</v>
      </c>
      <c r="K65" t="s">
        <v>828</v>
      </c>
      <c r="L65">
        <v>1367</v>
      </c>
      <c r="N65">
        <v>1011</v>
      </c>
      <c r="O65" t="s">
        <v>79</v>
      </c>
      <c r="P65" t="s">
        <v>79</v>
      </c>
      <c r="Q65">
        <v>1</v>
      </c>
      <c r="X65">
        <v>0.56999999999999995</v>
      </c>
      <c r="Y65">
        <v>0</v>
      </c>
      <c r="Z65">
        <v>31.26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21</v>
      </c>
      <c r="AG65">
        <v>0.65549999999999986</v>
      </c>
      <c r="AH65">
        <v>2</v>
      </c>
      <c r="AI65">
        <v>145034658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ROW(Source!A48)</f>
        <v>48</v>
      </c>
      <c r="B66">
        <v>145034659</v>
      </c>
      <c r="C66">
        <v>145034655</v>
      </c>
      <c r="D66">
        <v>140923268</v>
      </c>
      <c r="E66">
        <v>1</v>
      </c>
      <c r="F66">
        <v>1</v>
      </c>
      <c r="G66">
        <v>1</v>
      </c>
      <c r="H66">
        <v>2</v>
      </c>
      <c r="I66" t="s">
        <v>837</v>
      </c>
      <c r="J66" t="s">
        <v>838</v>
      </c>
      <c r="K66" t="s">
        <v>839</v>
      </c>
      <c r="L66">
        <v>1367</v>
      </c>
      <c r="N66">
        <v>1011</v>
      </c>
      <c r="O66" t="s">
        <v>79</v>
      </c>
      <c r="P66" t="s">
        <v>79</v>
      </c>
      <c r="Q66">
        <v>1</v>
      </c>
      <c r="X66">
        <v>5.64</v>
      </c>
      <c r="Y66">
        <v>0</v>
      </c>
      <c r="Z66">
        <v>12.39</v>
      </c>
      <c r="AA66">
        <v>10.06</v>
      </c>
      <c r="AB66">
        <v>0</v>
      </c>
      <c r="AC66">
        <v>0</v>
      </c>
      <c r="AD66">
        <v>1</v>
      </c>
      <c r="AE66">
        <v>0</v>
      </c>
      <c r="AF66" t="s">
        <v>21</v>
      </c>
      <c r="AG66">
        <v>6.4859999999999989</v>
      </c>
      <c r="AH66">
        <v>2</v>
      </c>
      <c r="AI66">
        <v>145034659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ROW(Source!A48)</f>
        <v>48</v>
      </c>
      <c r="B67">
        <v>145034660</v>
      </c>
      <c r="C67">
        <v>145034655</v>
      </c>
      <c r="D67">
        <v>140772680</v>
      </c>
      <c r="E67">
        <v>1</v>
      </c>
      <c r="F67">
        <v>1</v>
      </c>
      <c r="G67">
        <v>1</v>
      </c>
      <c r="H67">
        <v>3</v>
      </c>
      <c r="I67" t="s">
        <v>735</v>
      </c>
      <c r="J67" t="s">
        <v>736</v>
      </c>
      <c r="K67" t="s">
        <v>737</v>
      </c>
      <c r="L67">
        <v>1339</v>
      </c>
      <c r="N67">
        <v>1007</v>
      </c>
      <c r="O67" t="s">
        <v>66</v>
      </c>
      <c r="P67" t="s">
        <v>66</v>
      </c>
      <c r="Q67">
        <v>1</v>
      </c>
      <c r="X67">
        <v>0.41</v>
      </c>
      <c r="Y67">
        <v>2.44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0.41</v>
      </c>
      <c r="AH67">
        <v>2</v>
      </c>
      <c r="AI67">
        <v>145034660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ROW(Source!A48)</f>
        <v>48</v>
      </c>
      <c r="B68">
        <v>145034661</v>
      </c>
      <c r="C68">
        <v>145034655</v>
      </c>
      <c r="D68">
        <v>140775863</v>
      </c>
      <c r="E68">
        <v>1</v>
      </c>
      <c r="F68">
        <v>1</v>
      </c>
      <c r="G68">
        <v>1</v>
      </c>
      <c r="H68">
        <v>3</v>
      </c>
      <c r="I68" t="s">
        <v>840</v>
      </c>
      <c r="J68" t="s">
        <v>841</v>
      </c>
      <c r="K68" t="s">
        <v>842</v>
      </c>
      <c r="L68">
        <v>1327</v>
      </c>
      <c r="N68">
        <v>1005</v>
      </c>
      <c r="O68" t="s">
        <v>131</v>
      </c>
      <c r="P68" t="s">
        <v>131</v>
      </c>
      <c r="Q68">
        <v>1</v>
      </c>
      <c r="X68">
        <v>2</v>
      </c>
      <c r="Y68">
        <v>72.319999999999993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</v>
      </c>
      <c r="AH68">
        <v>2</v>
      </c>
      <c r="AI68">
        <v>145034661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ROW(Source!A48)</f>
        <v>48</v>
      </c>
      <c r="B69">
        <v>145034662</v>
      </c>
      <c r="C69">
        <v>145034655</v>
      </c>
      <c r="D69">
        <v>140761160</v>
      </c>
      <c r="E69">
        <v>70</v>
      </c>
      <c r="F69">
        <v>1</v>
      </c>
      <c r="G69">
        <v>1</v>
      </c>
      <c r="H69">
        <v>3</v>
      </c>
      <c r="I69" t="s">
        <v>843</v>
      </c>
      <c r="J69" t="s">
        <v>3</v>
      </c>
      <c r="K69" t="s">
        <v>844</v>
      </c>
      <c r="L69">
        <v>1348</v>
      </c>
      <c r="N69">
        <v>1009</v>
      </c>
      <c r="O69" t="s">
        <v>105</v>
      </c>
      <c r="P69" t="s">
        <v>105</v>
      </c>
      <c r="Q69">
        <v>1000</v>
      </c>
      <c r="X69">
        <v>0.54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3</v>
      </c>
      <c r="AG69">
        <v>0.54</v>
      </c>
      <c r="AH69">
        <v>2</v>
      </c>
      <c r="AI69">
        <v>145034662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ROW(Source!A48)</f>
        <v>48</v>
      </c>
      <c r="B70">
        <v>145034663</v>
      </c>
      <c r="C70">
        <v>145034655</v>
      </c>
      <c r="D70">
        <v>140803775</v>
      </c>
      <c r="E70">
        <v>1</v>
      </c>
      <c r="F70">
        <v>1</v>
      </c>
      <c r="G70">
        <v>1</v>
      </c>
      <c r="H70">
        <v>3</v>
      </c>
      <c r="I70" t="s">
        <v>845</v>
      </c>
      <c r="J70" t="s">
        <v>846</v>
      </c>
      <c r="K70" t="s">
        <v>847</v>
      </c>
      <c r="L70">
        <v>1348</v>
      </c>
      <c r="N70">
        <v>1009</v>
      </c>
      <c r="O70" t="s">
        <v>105</v>
      </c>
      <c r="P70" t="s">
        <v>105</v>
      </c>
      <c r="Q70">
        <v>1000</v>
      </c>
      <c r="X70">
        <v>0.01</v>
      </c>
      <c r="Y70">
        <v>13673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0.01</v>
      </c>
      <c r="AH70">
        <v>2</v>
      </c>
      <c r="AI70">
        <v>145034663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ROW(Source!A51)</f>
        <v>51</v>
      </c>
      <c r="B71">
        <v>145034990</v>
      </c>
      <c r="C71">
        <v>145034989</v>
      </c>
      <c r="D71">
        <v>140759985</v>
      </c>
      <c r="E71">
        <v>70</v>
      </c>
      <c r="F71">
        <v>1</v>
      </c>
      <c r="G71">
        <v>1</v>
      </c>
      <c r="H71">
        <v>1</v>
      </c>
      <c r="I71" t="s">
        <v>848</v>
      </c>
      <c r="J71" t="s">
        <v>3</v>
      </c>
      <c r="K71" t="s">
        <v>849</v>
      </c>
      <c r="L71">
        <v>1191</v>
      </c>
      <c r="N71">
        <v>1013</v>
      </c>
      <c r="O71" t="s">
        <v>725</v>
      </c>
      <c r="P71" t="s">
        <v>725</v>
      </c>
      <c r="Q71">
        <v>1</v>
      </c>
      <c r="X71">
        <v>80.459999999999994</v>
      </c>
      <c r="Y71">
        <v>0</v>
      </c>
      <c r="Z71">
        <v>0</v>
      </c>
      <c r="AA71">
        <v>0</v>
      </c>
      <c r="AB71">
        <v>8.74</v>
      </c>
      <c r="AC71">
        <v>0</v>
      </c>
      <c r="AD71">
        <v>1</v>
      </c>
      <c r="AE71">
        <v>1</v>
      </c>
      <c r="AF71" t="s">
        <v>21</v>
      </c>
      <c r="AG71">
        <v>92.528999999999982</v>
      </c>
      <c r="AH71">
        <v>2</v>
      </c>
      <c r="AI71">
        <v>145034990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ROW(Source!A51)</f>
        <v>51</v>
      </c>
      <c r="B72">
        <v>145034991</v>
      </c>
      <c r="C72">
        <v>145034989</v>
      </c>
      <c r="D72">
        <v>140760225</v>
      </c>
      <c r="E72">
        <v>70</v>
      </c>
      <c r="F72">
        <v>1</v>
      </c>
      <c r="G72">
        <v>1</v>
      </c>
      <c r="H72">
        <v>1</v>
      </c>
      <c r="I72" t="s">
        <v>730</v>
      </c>
      <c r="J72" t="s">
        <v>3</v>
      </c>
      <c r="K72" t="s">
        <v>731</v>
      </c>
      <c r="L72">
        <v>1191</v>
      </c>
      <c r="N72">
        <v>1013</v>
      </c>
      <c r="O72" t="s">
        <v>725</v>
      </c>
      <c r="P72" t="s">
        <v>725</v>
      </c>
      <c r="Q72">
        <v>1</v>
      </c>
      <c r="X72">
        <v>0.02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21</v>
      </c>
      <c r="AG72">
        <v>2.3E-2</v>
      </c>
      <c r="AH72">
        <v>2</v>
      </c>
      <c r="AI72">
        <v>145034991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ROW(Source!A51)</f>
        <v>51</v>
      </c>
      <c r="B73">
        <v>145034992</v>
      </c>
      <c r="C73">
        <v>145034989</v>
      </c>
      <c r="D73">
        <v>140923885</v>
      </c>
      <c r="E73">
        <v>1</v>
      </c>
      <c r="F73">
        <v>1</v>
      </c>
      <c r="G73">
        <v>1</v>
      </c>
      <c r="H73">
        <v>2</v>
      </c>
      <c r="I73" t="s">
        <v>732</v>
      </c>
      <c r="J73" t="s">
        <v>733</v>
      </c>
      <c r="K73" t="s">
        <v>734</v>
      </c>
      <c r="L73">
        <v>1367</v>
      </c>
      <c r="N73">
        <v>1011</v>
      </c>
      <c r="O73" t="s">
        <v>79</v>
      </c>
      <c r="P73" t="s">
        <v>79</v>
      </c>
      <c r="Q73">
        <v>1</v>
      </c>
      <c r="X73">
        <v>0.02</v>
      </c>
      <c r="Y73">
        <v>0</v>
      </c>
      <c r="Z73">
        <v>65.709999999999994</v>
      </c>
      <c r="AA73">
        <v>11.6</v>
      </c>
      <c r="AB73">
        <v>0</v>
      </c>
      <c r="AC73">
        <v>0</v>
      </c>
      <c r="AD73">
        <v>1</v>
      </c>
      <c r="AE73">
        <v>0</v>
      </c>
      <c r="AF73" t="s">
        <v>21</v>
      </c>
      <c r="AG73">
        <v>2.3E-2</v>
      </c>
      <c r="AH73">
        <v>2</v>
      </c>
      <c r="AI73">
        <v>145034992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ROW(Source!A51)</f>
        <v>51</v>
      </c>
      <c r="B74">
        <v>145034993</v>
      </c>
      <c r="C74">
        <v>145034989</v>
      </c>
      <c r="D74">
        <v>140924116</v>
      </c>
      <c r="E74">
        <v>1</v>
      </c>
      <c r="F74">
        <v>1</v>
      </c>
      <c r="G74">
        <v>1</v>
      </c>
      <c r="H74">
        <v>2</v>
      </c>
      <c r="I74" t="s">
        <v>850</v>
      </c>
      <c r="J74" t="s">
        <v>851</v>
      </c>
      <c r="K74" t="s">
        <v>852</v>
      </c>
      <c r="L74">
        <v>1367</v>
      </c>
      <c r="N74">
        <v>1011</v>
      </c>
      <c r="O74" t="s">
        <v>79</v>
      </c>
      <c r="P74" t="s">
        <v>79</v>
      </c>
      <c r="Q74">
        <v>1</v>
      </c>
      <c r="X74">
        <v>14</v>
      </c>
      <c r="Y74">
        <v>0</v>
      </c>
      <c r="Z74">
        <v>3.7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21</v>
      </c>
      <c r="AG74">
        <v>16.099999999999998</v>
      </c>
      <c r="AH74">
        <v>2</v>
      </c>
      <c r="AI74">
        <v>145034993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ROW(Source!A51)</f>
        <v>51</v>
      </c>
      <c r="B75">
        <v>145034994</v>
      </c>
      <c r="C75">
        <v>145034989</v>
      </c>
      <c r="D75">
        <v>140772680</v>
      </c>
      <c r="E75">
        <v>1</v>
      </c>
      <c r="F75">
        <v>1</v>
      </c>
      <c r="G75">
        <v>1</v>
      </c>
      <c r="H75">
        <v>3</v>
      </c>
      <c r="I75" t="s">
        <v>735</v>
      </c>
      <c r="J75" t="s">
        <v>736</v>
      </c>
      <c r="K75" t="s">
        <v>737</v>
      </c>
      <c r="L75">
        <v>1339</v>
      </c>
      <c r="N75">
        <v>1007</v>
      </c>
      <c r="O75" t="s">
        <v>66</v>
      </c>
      <c r="P75" t="s">
        <v>66</v>
      </c>
      <c r="Q75">
        <v>1</v>
      </c>
      <c r="X75">
        <v>8.9999999999999998E-4</v>
      </c>
      <c r="Y75">
        <v>2.44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8.9999999999999998E-4</v>
      </c>
      <c r="AH75">
        <v>2</v>
      </c>
      <c r="AI75">
        <v>145034994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ROW(Source!A51)</f>
        <v>51</v>
      </c>
      <c r="B76">
        <v>145034995</v>
      </c>
      <c r="C76">
        <v>145034989</v>
      </c>
      <c r="D76">
        <v>140760650</v>
      </c>
      <c r="E76">
        <v>70</v>
      </c>
      <c r="F76">
        <v>1</v>
      </c>
      <c r="G76">
        <v>1</v>
      </c>
      <c r="H76">
        <v>3</v>
      </c>
      <c r="I76" t="s">
        <v>853</v>
      </c>
      <c r="J76" t="s">
        <v>3</v>
      </c>
      <c r="K76" t="s">
        <v>854</v>
      </c>
      <c r="L76">
        <v>1455</v>
      </c>
      <c r="N76">
        <v>1013</v>
      </c>
      <c r="O76" t="s">
        <v>855</v>
      </c>
      <c r="P76" t="s">
        <v>855</v>
      </c>
      <c r="Q76">
        <v>1</v>
      </c>
      <c r="X76">
        <v>100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 t="s">
        <v>3</v>
      </c>
      <c r="AG76">
        <v>100</v>
      </c>
      <c r="AH76">
        <v>2</v>
      </c>
      <c r="AI76">
        <v>145034995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ROW(Source!A51)</f>
        <v>51</v>
      </c>
      <c r="B77">
        <v>145034996</v>
      </c>
      <c r="C77">
        <v>145034989</v>
      </c>
      <c r="D77">
        <v>140760721</v>
      </c>
      <c r="E77">
        <v>70</v>
      </c>
      <c r="F77">
        <v>1</v>
      </c>
      <c r="G77">
        <v>1</v>
      </c>
      <c r="H77">
        <v>3</v>
      </c>
      <c r="I77" t="s">
        <v>856</v>
      </c>
      <c r="J77" t="s">
        <v>3</v>
      </c>
      <c r="K77" t="s">
        <v>857</v>
      </c>
      <c r="L77">
        <v>1371</v>
      </c>
      <c r="N77">
        <v>1013</v>
      </c>
      <c r="O77" t="s">
        <v>222</v>
      </c>
      <c r="P77" t="s">
        <v>222</v>
      </c>
      <c r="Q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 t="s">
        <v>3</v>
      </c>
      <c r="AG77">
        <v>0</v>
      </c>
      <c r="AH77">
        <v>2</v>
      </c>
      <c r="AI77">
        <v>145034996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ROW(Source!A51)</f>
        <v>51</v>
      </c>
      <c r="B78">
        <v>145034997</v>
      </c>
      <c r="C78">
        <v>145034989</v>
      </c>
      <c r="D78">
        <v>140761173</v>
      </c>
      <c r="E78">
        <v>70</v>
      </c>
      <c r="F78">
        <v>1</v>
      </c>
      <c r="G78">
        <v>1</v>
      </c>
      <c r="H78">
        <v>3</v>
      </c>
      <c r="I78" t="s">
        <v>843</v>
      </c>
      <c r="J78" t="s">
        <v>3</v>
      </c>
      <c r="K78" t="s">
        <v>858</v>
      </c>
      <c r="L78">
        <v>1346</v>
      </c>
      <c r="N78">
        <v>1009</v>
      </c>
      <c r="O78" t="s">
        <v>43</v>
      </c>
      <c r="P78" t="s">
        <v>43</v>
      </c>
      <c r="Q78">
        <v>1</v>
      </c>
      <c r="X78">
        <v>5.6440000000000001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5.6440000000000001</v>
      </c>
      <c r="AH78">
        <v>2</v>
      </c>
      <c r="AI78">
        <v>145034997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ROW(Source!A52)</f>
        <v>52</v>
      </c>
      <c r="B79">
        <v>145070752</v>
      </c>
      <c r="C79">
        <v>145070751</v>
      </c>
      <c r="D79">
        <v>140759979</v>
      </c>
      <c r="E79">
        <v>70</v>
      </c>
      <c r="F79">
        <v>1</v>
      </c>
      <c r="G79">
        <v>1</v>
      </c>
      <c r="H79">
        <v>1</v>
      </c>
      <c r="I79" t="s">
        <v>745</v>
      </c>
      <c r="J79" t="s">
        <v>3</v>
      </c>
      <c r="K79" t="s">
        <v>746</v>
      </c>
      <c r="L79">
        <v>1191</v>
      </c>
      <c r="N79">
        <v>1013</v>
      </c>
      <c r="O79" t="s">
        <v>725</v>
      </c>
      <c r="P79" t="s">
        <v>725</v>
      </c>
      <c r="Q79">
        <v>1</v>
      </c>
      <c r="X79">
        <v>10.3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21</v>
      </c>
      <c r="AG79">
        <v>11.845000000000001</v>
      </c>
      <c r="AH79">
        <v>2</v>
      </c>
      <c r="AI79">
        <v>145070752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ROW(Source!A52)</f>
        <v>52</v>
      </c>
      <c r="B80">
        <v>145070753</v>
      </c>
      <c r="C80">
        <v>145070751</v>
      </c>
      <c r="D80">
        <v>140760225</v>
      </c>
      <c r="E80">
        <v>70</v>
      </c>
      <c r="F80">
        <v>1</v>
      </c>
      <c r="G80">
        <v>1</v>
      </c>
      <c r="H80">
        <v>1</v>
      </c>
      <c r="I80" t="s">
        <v>730</v>
      </c>
      <c r="J80" t="s">
        <v>3</v>
      </c>
      <c r="K80" t="s">
        <v>731</v>
      </c>
      <c r="L80">
        <v>1191</v>
      </c>
      <c r="N80">
        <v>1013</v>
      </c>
      <c r="O80" t="s">
        <v>725</v>
      </c>
      <c r="P80" t="s">
        <v>725</v>
      </c>
      <c r="Q80">
        <v>1</v>
      </c>
      <c r="X80">
        <v>0.01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21</v>
      </c>
      <c r="AG80">
        <v>1.15E-2</v>
      </c>
      <c r="AH80">
        <v>2</v>
      </c>
      <c r="AI80">
        <v>145070753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ROW(Source!A52)</f>
        <v>52</v>
      </c>
      <c r="B81">
        <v>145070754</v>
      </c>
      <c r="C81">
        <v>145070751</v>
      </c>
      <c r="D81">
        <v>140923885</v>
      </c>
      <c r="E81">
        <v>1</v>
      </c>
      <c r="F81">
        <v>1</v>
      </c>
      <c r="G81">
        <v>1</v>
      </c>
      <c r="H81">
        <v>2</v>
      </c>
      <c r="I81" t="s">
        <v>732</v>
      </c>
      <c r="J81" t="s">
        <v>733</v>
      </c>
      <c r="K81" t="s">
        <v>734</v>
      </c>
      <c r="L81">
        <v>1367</v>
      </c>
      <c r="N81">
        <v>1011</v>
      </c>
      <c r="O81" t="s">
        <v>79</v>
      </c>
      <c r="P81" t="s">
        <v>79</v>
      </c>
      <c r="Q81">
        <v>1</v>
      </c>
      <c r="X81">
        <v>0.01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21</v>
      </c>
      <c r="AG81">
        <v>1.15E-2</v>
      </c>
      <c r="AH81">
        <v>2</v>
      </c>
      <c r="AI81">
        <v>145070754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ROW(Source!A52)</f>
        <v>52</v>
      </c>
      <c r="B82">
        <v>145070755</v>
      </c>
      <c r="C82">
        <v>145070751</v>
      </c>
      <c r="D82">
        <v>140772680</v>
      </c>
      <c r="E82">
        <v>1</v>
      </c>
      <c r="F82">
        <v>1</v>
      </c>
      <c r="G82">
        <v>1</v>
      </c>
      <c r="H82">
        <v>3</v>
      </c>
      <c r="I82" t="s">
        <v>735</v>
      </c>
      <c r="J82" t="s">
        <v>736</v>
      </c>
      <c r="K82" t="s">
        <v>737</v>
      </c>
      <c r="L82">
        <v>1339</v>
      </c>
      <c r="N82">
        <v>1007</v>
      </c>
      <c r="O82" t="s">
        <v>66</v>
      </c>
      <c r="P82" t="s">
        <v>66</v>
      </c>
      <c r="Q82">
        <v>1</v>
      </c>
      <c r="X82">
        <v>4.0000000000000002E-4</v>
      </c>
      <c r="Y82">
        <v>2.44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4.0000000000000002E-4</v>
      </c>
      <c r="AH82">
        <v>2</v>
      </c>
      <c r="AI82">
        <v>145070755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ROW(Source!A52)</f>
        <v>52</v>
      </c>
      <c r="B83">
        <v>145070756</v>
      </c>
      <c r="C83">
        <v>145070751</v>
      </c>
      <c r="D83">
        <v>140761173</v>
      </c>
      <c r="E83">
        <v>70</v>
      </c>
      <c r="F83">
        <v>1</v>
      </c>
      <c r="G83">
        <v>1</v>
      </c>
      <c r="H83">
        <v>3</v>
      </c>
      <c r="I83" t="s">
        <v>843</v>
      </c>
      <c r="J83" t="s">
        <v>3</v>
      </c>
      <c r="K83" t="s">
        <v>858</v>
      </c>
      <c r="L83">
        <v>1346</v>
      </c>
      <c r="N83">
        <v>1009</v>
      </c>
      <c r="O83" t="s">
        <v>43</v>
      </c>
      <c r="P83" t="s">
        <v>43</v>
      </c>
      <c r="Q83">
        <v>1</v>
      </c>
      <c r="X83">
        <v>2.71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3</v>
      </c>
      <c r="AG83">
        <v>2.71</v>
      </c>
      <c r="AH83">
        <v>2</v>
      </c>
      <c r="AI83">
        <v>145070756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ROW(Source!A53)</f>
        <v>53</v>
      </c>
      <c r="B84">
        <v>145034999</v>
      </c>
      <c r="C84">
        <v>145034998</v>
      </c>
      <c r="D84">
        <v>140759979</v>
      </c>
      <c r="E84">
        <v>70</v>
      </c>
      <c r="F84">
        <v>1</v>
      </c>
      <c r="G84">
        <v>1</v>
      </c>
      <c r="H84">
        <v>1</v>
      </c>
      <c r="I84" t="s">
        <v>745</v>
      </c>
      <c r="J84" t="s">
        <v>3</v>
      </c>
      <c r="K84" t="s">
        <v>746</v>
      </c>
      <c r="L84">
        <v>1191</v>
      </c>
      <c r="N84">
        <v>1013</v>
      </c>
      <c r="O84" t="s">
        <v>725</v>
      </c>
      <c r="P84" t="s">
        <v>725</v>
      </c>
      <c r="Q84">
        <v>1</v>
      </c>
      <c r="X84">
        <v>5.15</v>
      </c>
      <c r="Y84">
        <v>0</v>
      </c>
      <c r="Z84">
        <v>0</v>
      </c>
      <c r="AA84">
        <v>0</v>
      </c>
      <c r="AB84">
        <v>8.5299999999999994</v>
      </c>
      <c r="AC84">
        <v>0</v>
      </c>
      <c r="AD84">
        <v>1</v>
      </c>
      <c r="AE84">
        <v>1</v>
      </c>
      <c r="AF84" t="s">
        <v>190</v>
      </c>
      <c r="AG84">
        <v>11.845000000000001</v>
      </c>
      <c r="AH84">
        <v>2</v>
      </c>
      <c r="AI84">
        <v>145034999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ROW(Source!A55)</f>
        <v>55</v>
      </c>
      <c r="B85">
        <v>145075998</v>
      </c>
      <c r="C85">
        <v>145075997</v>
      </c>
      <c r="D85">
        <v>140760051</v>
      </c>
      <c r="E85">
        <v>70</v>
      </c>
      <c r="F85">
        <v>1</v>
      </c>
      <c r="G85">
        <v>1</v>
      </c>
      <c r="H85">
        <v>1</v>
      </c>
      <c r="I85" t="s">
        <v>859</v>
      </c>
      <c r="J85" t="s">
        <v>3</v>
      </c>
      <c r="K85" t="s">
        <v>860</v>
      </c>
      <c r="L85">
        <v>1191</v>
      </c>
      <c r="N85">
        <v>1013</v>
      </c>
      <c r="O85" t="s">
        <v>725</v>
      </c>
      <c r="P85" t="s">
        <v>725</v>
      </c>
      <c r="Q85">
        <v>1</v>
      </c>
      <c r="X85">
        <v>9.89</v>
      </c>
      <c r="Y85">
        <v>0</v>
      </c>
      <c r="Z85">
        <v>0</v>
      </c>
      <c r="AA85">
        <v>0</v>
      </c>
      <c r="AB85">
        <v>10.210000000000001</v>
      </c>
      <c r="AC85">
        <v>0</v>
      </c>
      <c r="AD85">
        <v>1</v>
      </c>
      <c r="AE85">
        <v>1</v>
      </c>
      <c r="AF85" t="s">
        <v>21</v>
      </c>
      <c r="AG85">
        <v>11.3735</v>
      </c>
      <c r="AH85">
        <v>2</v>
      </c>
      <c r="AI85">
        <v>145075998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ROW(Source!A55)</f>
        <v>55</v>
      </c>
      <c r="B86">
        <v>145075999</v>
      </c>
      <c r="C86">
        <v>145075997</v>
      </c>
      <c r="D86">
        <v>140760225</v>
      </c>
      <c r="E86">
        <v>70</v>
      </c>
      <c r="F86">
        <v>1</v>
      </c>
      <c r="G86">
        <v>1</v>
      </c>
      <c r="H86">
        <v>1</v>
      </c>
      <c r="I86" t="s">
        <v>730</v>
      </c>
      <c r="J86" t="s">
        <v>3</v>
      </c>
      <c r="K86" t="s">
        <v>731</v>
      </c>
      <c r="L86">
        <v>1191</v>
      </c>
      <c r="N86">
        <v>1013</v>
      </c>
      <c r="O86" t="s">
        <v>725</v>
      </c>
      <c r="P86" t="s">
        <v>725</v>
      </c>
      <c r="Q86">
        <v>1</v>
      </c>
      <c r="X86">
        <v>0.04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21</v>
      </c>
      <c r="AG86">
        <v>4.5999999999999999E-2</v>
      </c>
      <c r="AH86">
        <v>2</v>
      </c>
      <c r="AI86">
        <v>145075999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ROW(Source!A55)</f>
        <v>55</v>
      </c>
      <c r="B87">
        <v>145076000</v>
      </c>
      <c r="C87">
        <v>145075997</v>
      </c>
      <c r="D87">
        <v>140923885</v>
      </c>
      <c r="E87">
        <v>1</v>
      </c>
      <c r="F87">
        <v>1</v>
      </c>
      <c r="G87">
        <v>1</v>
      </c>
      <c r="H87">
        <v>2</v>
      </c>
      <c r="I87" t="s">
        <v>732</v>
      </c>
      <c r="J87" t="s">
        <v>733</v>
      </c>
      <c r="K87" t="s">
        <v>734</v>
      </c>
      <c r="L87">
        <v>1367</v>
      </c>
      <c r="N87">
        <v>1011</v>
      </c>
      <c r="O87" t="s">
        <v>79</v>
      </c>
      <c r="P87" t="s">
        <v>79</v>
      </c>
      <c r="Q87">
        <v>1</v>
      </c>
      <c r="X87">
        <v>0.04</v>
      </c>
      <c r="Y87">
        <v>0</v>
      </c>
      <c r="Z87">
        <v>65.709999999999994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21</v>
      </c>
      <c r="AG87">
        <v>4.5999999999999999E-2</v>
      </c>
      <c r="AH87">
        <v>2</v>
      </c>
      <c r="AI87">
        <v>145076000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ROW(Source!A55)</f>
        <v>55</v>
      </c>
      <c r="B88">
        <v>145076001</v>
      </c>
      <c r="C88">
        <v>145075997</v>
      </c>
      <c r="D88">
        <v>140924752</v>
      </c>
      <c r="E88">
        <v>1</v>
      </c>
      <c r="F88">
        <v>1</v>
      </c>
      <c r="G88">
        <v>1</v>
      </c>
      <c r="H88">
        <v>2</v>
      </c>
      <c r="I88" t="s">
        <v>861</v>
      </c>
      <c r="J88" t="s">
        <v>862</v>
      </c>
      <c r="K88" t="s">
        <v>863</v>
      </c>
      <c r="L88">
        <v>1367</v>
      </c>
      <c r="N88">
        <v>1011</v>
      </c>
      <c r="O88" t="s">
        <v>79</v>
      </c>
      <c r="P88" t="s">
        <v>79</v>
      </c>
      <c r="Q88">
        <v>1</v>
      </c>
      <c r="X88">
        <v>2.6</v>
      </c>
      <c r="Y88">
        <v>0</v>
      </c>
      <c r="Z88">
        <v>29.7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21</v>
      </c>
      <c r="AG88">
        <v>2.9899999999999998</v>
      </c>
      <c r="AH88">
        <v>2</v>
      </c>
      <c r="AI88">
        <v>145076001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ROW(Source!A55)</f>
        <v>55</v>
      </c>
      <c r="B89">
        <v>145076002</v>
      </c>
      <c r="C89">
        <v>145075997</v>
      </c>
      <c r="D89">
        <v>140803620</v>
      </c>
      <c r="E89">
        <v>1</v>
      </c>
      <c r="F89">
        <v>1</v>
      </c>
      <c r="G89">
        <v>1</v>
      </c>
      <c r="H89">
        <v>3</v>
      </c>
      <c r="I89" t="s">
        <v>200</v>
      </c>
      <c r="J89" t="s">
        <v>202</v>
      </c>
      <c r="K89" t="s">
        <v>201</v>
      </c>
      <c r="L89">
        <v>1346</v>
      </c>
      <c r="N89">
        <v>1009</v>
      </c>
      <c r="O89" t="s">
        <v>43</v>
      </c>
      <c r="P89" t="s">
        <v>43</v>
      </c>
      <c r="Q89">
        <v>1</v>
      </c>
      <c r="X89">
        <v>115.03400000000001</v>
      </c>
      <c r="Y89">
        <v>50.82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115.03400000000001</v>
      </c>
      <c r="AH89">
        <v>2</v>
      </c>
      <c r="AI89">
        <v>145076002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ROW(Source!A55)</f>
        <v>55</v>
      </c>
      <c r="B90">
        <v>145076003</v>
      </c>
      <c r="C90">
        <v>145075997</v>
      </c>
      <c r="D90">
        <v>140805195</v>
      </c>
      <c r="E90">
        <v>1</v>
      </c>
      <c r="F90">
        <v>1</v>
      </c>
      <c r="G90">
        <v>1</v>
      </c>
      <c r="H90">
        <v>3</v>
      </c>
      <c r="I90" t="s">
        <v>864</v>
      </c>
      <c r="J90" t="s">
        <v>865</v>
      </c>
      <c r="K90" t="s">
        <v>866</v>
      </c>
      <c r="L90">
        <v>1296</v>
      </c>
      <c r="N90">
        <v>1002</v>
      </c>
      <c r="O90" t="s">
        <v>147</v>
      </c>
      <c r="P90" t="s">
        <v>147</v>
      </c>
      <c r="Q90">
        <v>1</v>
      </c>
      <c r="X90">
        <v>1.018</v>
      </c>
      <c r="Y90">
        <v>71.7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1.018</v>
      </c>
      <c r="AH90">
        <v>2</v>
      </c>
      <c r="AI90">
        <v>145076003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ROW(Source!A60)</f>
        <v>60</v>
      </c>
      <c r="B91">
        <v>145034949</v>
      </c>
      <c r="C91">
        <v>145034752</v>
      </c>
      <c r="D91">
        <v>140760001</v>
      </c>
      <c r="E91">
        <v>70</v>
      </c>
      <c r="F91">
        <v>1</v>
      </c>
      <c r="G91">
        <v>1</v>
      </c>
      <c r="H91">
        <v>1</v>
      </c>
      <c r="I91" t="s">
        <v>867</v>
      </c>
      <c r="J91" t="s">
        <v>3</v>
      </c>
      <c r="K91" t="s">
        <v>868</v>
      </c>
      <c r="L91">
        <v>1191</v>
      </c>
      <c r="N91">
        <v>1013</v>
      </c>
      <c r="O91" t="s">
        <v>725</v>
      </c>
      <c r="P91" t="s">
        <v>725</v>
      </c>
      <c r="Q91">
        <v>1</v>
      </c>
      <c r="X91">
        <v>13.5</v>
      </c>
      <c r="Y91">
        <v>0</v>
      </c>
      <c r="Z91">
        <v>0</v>
      </c>
      <c r="AA91">
        <v>0</v>
      </c>
      <c r="AB91">
        <v>9.07</v>
      </c>
      <c r="AC91">
        <v>0</v>
      </c>
      <c r="AD91">
        <v>1</v>
      </c>
      <c r="AE91">
        <v>1</v>
      </c>
      <c r="AF91" t="s">
        <v>21</v>
      </c>
      <c r="AG91">
        <v>15.524999999999999</v>
      </c>
      <c r="AH91">
        <v>2</v>
      </c>
      <c r="AI91">
        <v>145034949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ROW(Source!A60)</f>
        <v>60</v>
      </c>
      <c r="B92">
        <v>145034950</v>
      </c>
      <c r="C92">
        <v>145034752</v>
      </c>
      <c r="D92">
        <v>140924116</v>
      </c>
      <c r="E92">
        <v>1</v>
      </c>
      <c r="F92">
        <v>1</v>
      </c>
      <c r="G92">
        <v>1</v>
      </c>
      <c r="H92">
        <v>2</v>
      </c>
      <c r="I92" t="s">
        <v>850</v>
      </c>
      <c r="J92" t="s">
        <v>851</v>
      </c>
      <c r="K92" t="s">
        <v>852</v>
      </c>
      <c r="L92">
        <v>1367</v>
      </c>
      <c r="N92">
        <v>1011</v>
      </c>
      <c r="O92" t="s">
        <v>79</v>
      </c>
      <c r="P92" t="s">
        <v>79</v>
      </c>
      <c r="Q92">
        <v>1</v>
      </c>
      <c r="X92">
        <v>0.65</v>
      </c>
      <c r="Y92">
        <v>0</v>
      </c>
      <c r="Z92">
        <v>3.7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21</v>
      </c>
      <c r="AG92">
        <v>0.74749999999999994</v>
      </c>
      <c r="AH92">
        <v>2</v>
      </c>
      <c r="AI92">
        <v>145034950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ROW(Source!A60)</f>
        <v>60</v>
      </c>
      <c r="B93">
        <v>145034951</v>
      </c>
      <c r="C93">
        <v>145034752</v>
      </c>
      <c r="D93">
        <v>140772680</v>
      </c>
      <c r="E93">
        <v>1</v>
      </c>
      <c r="F93">
        <v>1</v>
      </c>
      <c r="G93">
        <v>1</v>
      </c>
      <c r="H93">
        <v>3</v>
      </c>
      <c r="I93" t="s">
        <v>735</v>
      </c>
      <c r="J93" t="s">
        <v>736</v>
      </c>
      <c r="K93" t="s">
        <v>737</v>
      </c>
      <c r="L93">
        <v>1339</v>
      </c>
      <c r="N93">
        <v>1007</v>
      </c>
      <c r="O93" t="s">
        <v>66</v>
      </c>
      <c r="P93" t="s">
        <v>66</v>
      </c>
      <c r="Q93">
        <v>1</v>
      </c>
      <c r="X93">
        <v>2.4E-2</v>
      </c>
      <c r="Y93">
        <v>2.44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153</v>
      </c>
      <c r="AG93">
        <v>0</v>
      </c>
      <c r="AH93">
        <v>2</v>
      </c>
      <c r="AI93">
        <v>145034951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ROW(Source!A60)</f>
        <v>60</v>
      </c>
      <c r="B94">
        <v>145034952</v>
      </c>
      <c r="C94">
        <v>145034752</v>
      </c>
      <c r="D94">
        <v>140772692</v>
      </c>
      <c r="E94">
        <v>1</v>
      </c>
      <c r="F94">
        <v>1</v>
      </c>
      <c r="G94">
        <v>1</v>
      </c>
      <c r="H94">
        <v>3</v>
      </c>
      <c r="I94" t="s">
        <v>869</v>
      </c>
      <c r="J94" t="s">
        <v>870</v>
      </c>
      <c r="K94" t="s">
        <v>871</v>
      </c>
      <c r="L94">
        <v>1383</v>
      </c>
      <c r="N94">
        <v>1013</v>
      </c>
      <c r="O94" t="s">
        <v>872</v>
      </c>
      <c r="P94" t="s">
        <v>872</v>
      </c>
      <c r="Q94">
        <v>1</v>
      </c>
      <c r="X94">
        <v>203.74</v>
      </c>
      <c r="Y94">
        <v>0.4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153</v>
      </c>
      <c r="AG94">
        <v>0</v>
      </c>
      <c r="AH94">
        <v>2</v>
      </c>
      <c r="AI94">
        <v>145034952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ROW(Source!A60)</f>
        <v>60</v>
      </c>
      <c r="B95">
        <v>145034953</v>
      </c>
      <c r="C95">
        <v>145034752</v>
      </c>
      <c r="D95">
        <v>140773336</v>
      </c>
      <c r="E95">
        <v>1</v>
      </c>
      <c r="F95">
        <v>1</v>
      </c>
      <c r="G95">
        <v>1</v>
      </c>
      <c r="H95">
        <v>3</v>
      </c>
      <c r="I95" t="s">
        <v>873</v>
      </c>
      <c r="J95" t="s">
        <v>874</v>
      </c>
      <c r="K95" t="s">
        <v>875</v>
      </c>
      <c r="L95">
        <v>1346</v>
      </c>
      <c r="N95">
        <v>1009</v>
      </c>
      <c r="O95" t="s">
        <v>43</v>
      </c>
      <c r="P95" t="s">
        <v>43</v>
      </c>
      <c r="Q95">
        <v>1</v>
      </c>
      <c r="X95">
        <v>0.05</v>
      </c>
      <c r="Y95">
        <v>9.0399999999999991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153</v>
      </c>
      <c r="AG95">
        <v>0</v>
      </c>
      <c r="AH95">
        <v>2</v>
      </c>
      <c r="AI95">
        <v>145034953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ROW(Source!A60)</f>
        <v>60</v>
      </c>
      <c r="B96">
        <v>145034954</v>
      </c>
      <c r="C96">
        <v>145034752</v>
      </c>
      <c r="D96">
        <v>140778072</v>
      </c>
      <c r="E96">
        <v>1</v>
      </c>
      <c r="F96">
        <v>1</v>
      </c>
      <c r="G96">
        <v>1</v>
      </c>
      <c r="H96">
        <v>3</v>
      </c>
      <c r="I96" t="s">
        <v>876</v>
      </c>
      <c r="J96" t="s">
        <v>877</v>
      </c>
      <c r="K96" t="s">
        <v>878</v>
      </c>
      <c r="L96">
        <v>1339</v>
      </c>
      <c r="N96">
        <v>1007</v>
      </c>
      <c r="O96" t="s">
        <v>66</v>
      </c>
      <c r="P96" t="s">
        <v>66</v>
      </c>
      <c r="Q96">
        <v>1</v>
      </c>
      <c r="X96">
        <v>1E-3</v>
      </c>
      <c r="Y96">
        <v>497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153</v>
      </c>
      <c r="AG96">
        <v>0</v>
      </c>
      <c r="AH96">
        <v>2</v>
      </c>
      <c r="AI96">
        <v>145034954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ROW(Source!A60)</f>
        <v>60</v>
      </c>
      <c r="B97">
        <v>145034955</v>
      </c>
      <c r="C97">
        <v>145034752</v>
      </c>
      <c r="D97">
        <v>140803729</v>
      </c>
      <c r="E97">
        <v>1</v>
      </c>
      <c r="F97">
        <v>1</v>
      </c>
      <c r="G97">
        <v>1</v>
      </c>
      <c r="H97">
        <v>3</v>
      </c>
      <c r="I97" t="s">
        <v>879</v>
      </c>
      <c r="J97" t="s">
        <v>880</v>
      </c>
      <c r="K97" t="s">
        <v>881</v>
      </c>
      <c r="L97">
        <v>1348</v>
      </c>
      <c r="N97">
        <v>1009</v>
      </c>
      <c r="O97" t="s">
        <v>105</v>
      </c>
      <c r="P97" t="s">
        <v>105</v>
      </c>
      <c r="Q97">
        <v>1000</v>
      </c>
      <c r="X97">
        <v>5.0000000000000001E-3</v>
      </c>
      <c r="Y97">
        <v>25650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153</v>
      </c>
      <c r="AG97">
        <v>0</v>
      </c>
      <c r="AH97">
        <v>2</v>
      </c>
      <c r="AI97">
        <v>145034955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ROW(Source!A60)</f>
        <v>60</v>
      </c>
      <c r="B98">
        <v>145034956</v>
      </c>
      <c r="C98">
        <v>145034752</v>
      </c>
      <c r="D98">
        <v>140804919</v>
      </c>
      <c r="E98">
        <v>1</v>
      </c>
      <c r="F98">
        <v>1</v>
      </c>
      <c r="G98">
        <v>1</v>
      </c>
      <c r="H98">
        <v>3</v>
      </c>
      <c r="I98" t="s">
        <v>882</v>
      </c>
      <c r="J98" t="s">
        <v>883</v>
      </c>
      <c r="K98" t="s">
        <v>884</v>
      </c>
      <c r="L98">
        <v>1346</v>
      </c>
      <c r="N98">
        <v>1009</v>
      </c>
      <c r="O98" t="s">
        <v>43</v>
      </c>
      <c r="P98" t="s">
        <v>43</v>
      </c>
      <c r="Q98">
        <v>1</v>
      </c>
      <c r="X98">
        <v>1.5</v>
      </c>
      <c r="Y98">
        <v>65.48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153</v>
      </c>
      <c r="AG98">
        <v>0</v>
      </c>
      <c r="AH98">
        <v>2</v>
      </c>
      <c r="AI98">
        <v>145034956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ROW(Source!A62)</f>
        <v>62</v>
      </c>
      <c r="B99">
        <v>145034984</v>
      </c>
      <c r="C99">
        <v>145034770</v>
      </c>
      <c r="D99">
        <v>140759935</v>
      </c>
      <c r="E99">
        <v>70</v>
      </c>
      <c r="F99">
        <v>1</v>
      </c>
      <c r="G99">
        <v>1</v>
      </c>
      <c r="H99">
        <v>1</v>
      </c>
      <c r="I99" t="s">
        <v>723</v>
      </c>
      <c r="J99" t="s">
        <v>3</v>
      </c>
      <c r="K99" t="s">
        <v>724</v>
      </c>
      <c r="L99">
        <v>1191</v>
      </c>
      <c r="N99">
        <v>1013</v>
      </c>
      <c r="O99" t="s">
        <v>725</v>
      </c>
      <c r="P99" t="s">
        <v>725</v>
      </c>
      <c r="Q99">
        <v>1</v>
      </c>
      <c r="X99">
        <v>2.5499999999999998</v>
      </c>
      <c r="Y99">
        <v>0</v>
      </c>
      <c r="Z99">
        <v>0</v>
      </c>
      <c r="AA99">
        <v>0</v>
      </c>
      <c r="AB99">
        <v>7.8</v>
      </c>
      <c r="AC99">
        <v>0</v>
      </c>
      <c r="AD99">
        <v>1</v>
      </c>
      <c r="AE99">
        <v>1</v>
      </c>
      <c r="AF99" t="s">
        <v>21</v>
      </c>
      <c r="AG99">
        <v>2.9324999999999997</v>
      </c>
      <c r="AH99">
        <v>2</v>
      </c>
      <c r="AI99">
        <v>145034984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ROW(Source!A66)</f>
        <v>66</v>
      </c>
      <c r="B100">
        <v>145040100</v>
      </c>
      <c r="C100">
        <v>145040099</v>
      </c>
      <c r="D100">
        <v>140759935</v>
      </c>
      <c r="E100">
        <v>70</v>
      </c>
      <c r="F100">
        <v>1</v>
      </c>
      <c r="G100">
        <v>1</v>
      </c>
      <c r="H100">
        <v>1</v>
      </c>
      <c r="I100" t="s">
        <v>723</v>
      </c>
      <c r="J100" t="s">
        <v>3</v>
      </c>
      <c r="K100" t="s">
        <v>724</v>
      </c>
      <c r="L100">
        <v>1191</v>
      </c>
      <c r="N100">
        <v>1013</v>
      </c>
      <c r="O100" t="s">
        <v>725</v>
      </c>
      <c r="P100" t="s">
        <v>725</v>
      </c>
      <c r="Q100">
        <v>1</v>
      </c>
      <c r="X100">
        <v>22.82</v>
      </c>
      <c r="Y100">
        <v>0</v>
      </c>
      <c r="Z100">
        <v>0</v>
      </c>
      <c r="AA100">
        <v>0</v>
      </c>
      <c r="AB100">
        <v>7.8</v>
      </c>
      <c r="AC100">
        <v>0</v>
      </c>
      <c r="AD100">
        <v>1</v>
      </c>
      <c r="AE100">
        <v>1</v>
      </c>
      <c r="AF100" t="s">
        <v>21</v>
      </c>
      <c r="AG100">
        <v>26.242999999999999</v>
      </c>
      <c r="AH100">
        <v>2</v>
      </c>
      <c r="AI100">
        <v>145040100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ROW(Source!A66)</f>
        <v>66</v>
      </c>
      <c r="B101">
        <v>145040101</v>
      </c>
      <c r="C101">
        <v>145040099</v>
      </c>
      <c r="D101">
        <v>140765020</v>
      </c>
      <c r="E101">
        <v>70</v>
      </c>
      <c r="F101">
        <v>1</v>
      </c>
      <c r="G101">
        <v>1</v>
      </c>
      <c r="H101">
        <v>3</v>
      </c>
      <c r="I101" t="s">
        <v>726</v>
      </c>
      <c r="J101" t="s">
        <v>3</v>
      </c>
      <c r="K101" t="s">
        <v>727</v>
      </c>
      <c r="L101">
        <v>1348</v>
      </c>
      <c r="N101">
        <v>1009</v>
      </c>
      <c r="O101" t="s">
        <v>105</v>
      </c>
      <c r="P101" t="s">
        <v>105</v>
      </c>
      <c r="Q101">
        <v>1000</v>
      </c>
      <c r="X101">
        <v>4.5999999999999996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 t="s">
        <v>3</v>
      </c>
      <c r="AG101">
        <v>4.5999999999999996</v>
      </c>
      <c r="AH101">
        <v>2</v>
      </c>
      <c r="AI101">
        <v>145040101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ROW(Source!A67)</f>
        <v>67</v>
      </c>
      <c r="B102">
        <v>145040112</v>
      </c>
      <c r="C102">
        <v>145040111</v>
      </c>
      <c r="D102">
        <v>140760001</v>
      </c>
      <c r="E102">
        <v>70</v>
      </c>
      <c r="F102">
        <v>1</v>
      </c>
      <c r="G102">
        <v>1</v>
      </c>
      <c r="H102">
        <v>1</v>
      </c>
      <c r="I102" t="s">
        <v>867</v>
      </c>
      <c r="J102" t="s">
        <v>3</v>
      </c>
      <c r="K102" t="s">
        <v>868</v>
      </c>
      <c r="L102">
        <v>1191</v>
      </c>
      <c r="N102">
        <v>1013</v>
      </c>
      <c r="O102" t="s">
        <v>725</v>
      </c>
      <c r="P102" t="s">
        <v>725</v>
      </c>
      <c r="Q102">
        <v>1</v>
      </c>
      <c r="X102">
        <v>4.83</v>
      </c>
      <c r="Y102">
        <v>0</v>
      </c>
      <c r="Z102">
        <v>0</v>
      </c>
      <c r="AA102">
        <v>0</v>
      </c>
      <c r="AB102">
        <v>9.07</v>
      </c>
      <c r="AC102">
        <v>0</v>
      </c>
      <c r="AD102">
        <v>1</v>
      </c>
      <c r="AE102">
        <v>1</v>
      </c>
      <c r="AF102" t="s">
        <v>21</v>
      </c>
      <c r="AG102">
        <v>5.5545</v>
      </c>
      <c r="AH102">
        <v>2</v>
      </c>
      <c r="AI102">
        <v>145040112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ROW(Source!A67)</f>
        <v>67</v>
      </c>
      <c r="B103">
        <v>145040113</v>
      </c>
      <c r="C103">
        <v>145040111</v>
      </c>
      <c r="D103">
        <v>140760225</v>
      </c>
      <c r="E103">
        <v>70</v>
      </c>
      <c r="F103">
        <v>1</v>
      </c>
      <c r="G103">
        <v>1</v>
      </c>
      <c r="H103">
        <v>1</v>
      </c>
      <c r="I103" t="s">
        <v>730</v>
      </c>
      <c r="J103" t="s">
        <v>3</v>
      </c>
      <c r="K103" t="s">
        <v>731</v>
      </c>
      <c r="L103">
        <v>1191</v>
      </c>
      <c r="N103">
        <v>1013</v>
      </c>
      <c r="O103" t="s">
        <v>725</v>
      </c>
      <c r="P103" t="s">
        <v>725</v>
      </c>
      <c r="Q103">
        <v>1</v>
      </c>
      <c r="X103">
        <v>0.03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2</v>
      </c>
      <c r="AF103" t="s">
        <v>21</v>
      </c>
      <c r="AG103">
        <v>3.4499999999999996E-2</v>
      </c>
      <c r="AH103">
        <v>2</v>
      </c>
      <c r="AI103">
        <v>145040113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ROW(Source!A67)</f>
        <v>67</v>
      </c>
      <c r="B104">
        <v>145040114</v>
      </c>
      <c r="C104">
        <v>145040111</v>
      </c>
      <c r="D104">
        <v>140923885</v>
      </c>
      <c r="E104">
        <v>1</v>
      </c>
      <c r="F104">
        <v>1</v>
      </c>
      <c r="G104">
        <v>1</v>
      </c>
      <c r="H104">
        <v>2</v>
      </c>
      <c r="I104" t="s">
        <v>732</v>
      </c>
      <c r="J104" t="s">
        <v>733</v>
      </c>
      <c r="K104" t="s">
        <v>734</v>
      </c>
      <c r="L104">
        <v>1367</v>
      </c>
      <c r="N104">
        <v>1011</v>
      </c>
      <c r="O104" t="s">
        <v>79</v>
      </c>
      <c r="P104" t="s">
        <v>79</v>
      </c>
      <c r="Q104">
        <v>1</v>
      </c>
      <c r="X104">
        <v>0.03</v>
      </c>
      <c r="Y104">
        <v>0</v>
      </c>
      <c r="Z104">
        <v>65.709999999999994</v>
      </c>
      <c r="AA104">
        <v>11.6</v>
      </c>
      <c r="AB104">
        <v>0</v>
      </c>
      <c r="AC104">
        <v>0</v>
      </c>
      <c r="AD104">
        <v>1</v>
      </c>
      <c r="AE104">
        <v>0</v>
      </c>
      <c r="AF104" t="s">
        <v>21</v>
      </c>
      <c r="AG104">
        <v>3.4499999999999996E-2</v>
      </c>
      <c r="AH104">
        <v>2</v>
      </c>
      <c r="AI104">
        <v>145040114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ROW(Source!A67)</f>
        <v>67</v>
      </c>
      <c r="B105">
        <v>145040115</v>
      </c>
      <c r="C105">
        <v>145040111</v>
      </c>
      <c r="D105">
        <v>140772680</v>
      </c>
      <c r="E105">
        <v>1</v>
      </c>
      <c r="F105">
        <v>1</v>
      </c>
      <c r="G105">
        <v>1</v>
      </c>
      <c r="H105">
        <v>3</v>
      </c>
      <c r="I105" t="s">
        <v>735</v>
      </c>
      <c r="J105" t="s">
        <v>736</v>
      </c>
      <c r="K105" t="s">
        <v>737</v>
      </c>
      <c r="L105">
        <v>1339</v>
      </c>
      <c r="N105">
        <v>1007</v>
      </c>
      <c r="O105" t="s">
        <v>66</v>
      </c>
      <c r="P105" t="s">
        <v>66</v>
      </c>
      <c r="Q105">
        <v>1</v>
      </c>
      <c r="X105">
        <v>8.0000000000000002E-3</v>
      </c>
      <c r="Y105">
        <v>2.44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8.0000000000000002E-3</v>
      </c>
      <c r="AH105">
        <v>2</v>
      </c>
      <c r="AI105">
        <v>145040115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ROW(Source!A67)</f>
        <v>67</v>
      </c>
      <c r="B106">
        <v>145040116</v>
      </c>
      <c r="C106">
        <v>145040111</v>
      </c>
      <c r="D106">
        <v>140778438</v>
      </c>
      <c r="E106">
        <v>1</v>
      </c>
      <c r="F106">
        <v>1</v>
      </c>
      <c r="G106">
        <v>1</v>
      </c>
      <c r="H106">
        <v>3</v>
      </c>
      <c r="I106" t="s">
        <v>41</v>
      </c>
      <c r="J106" t="s">
        <v>44</v>
      </c>
      <c r="K106" t="s">
        <v>42</v>
      </c>
      <c r="L106">
        <v>1346</v>
      </c>
      <c r="N106">
        <v>1009</v>
      </c>
      <c r="O106" t="s">
        <v>43</v>
      </c>
      <c r="P106" t="s">
        <v>43</v>
      </c>
      <c r="Q106">
        <v>1</v>
      </c>
      <c r="X106">
        <v>27.75</v>
      </c>
      <c r="Y106">
        <v>60.36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27.75</v>
      </c>
      <c r="AH106">
        <v>2</v>
      </c>
      <c r="AI106">
        <v>145040116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ROW(Source!A70)</f>
        <v>70</v>
      </c>
      <c r="B107">
        <v>145040022</v>
      </c>
      <c r="C107">
        <v>145040021</v>
      </c>
      <c r="D107">
        <v>140759991</v>
      </c>
      <c r="E107">
        <v>70</v>
      </c>
      <c r="F107">
        <v>1</v>
      </c>
      <c r="G107">
        <v>1</v>
      </c>
      <c r="H107">
        <v>1</v>
      </c>
      <c r="I107" t="s">
        <v>738</v>
      </c>
      <c r="J107" t="s">
        <v>3</v>
      </c>
      <c r="K107" t="s">
        <v>739</v>
      </c>
      <c r="L107">
        <v>1191</v>
      </c>
      <c r="N107">
        <v>1013</v>
      </c>
      <c r="O107" t="s">
        <v>725</v>
      </c>
      <c r="P107" t="s">
        <v>725</v>
      </c>
      <c r="Q107">
        <v>1</v>
      </c>
      <c r="X107">
        <v>44.26</v>
      </c>
      <c r="Y107">
        <v>0</v>
      </c>
      <c r="Z107">
        <v>0</v>
      </c>
      <c r="AA107">
        <v>0</v>
      </c>
      <c r="AB107">
        <v>8.9700000000000006</v>
      </c>
      <c r="AC107">
        <v>0</v>
      </c>
      <c r="AD107">
        <v>1</v>
      </c>
      <c r="AE107">
        <v>1</v>
      </c>
      <c r="AF107" t="s">
        <v>21</v>
      </c>
      <c r="AG107">
        <v>50.898999999999994</v>
      </c>
      <c r="AH107">
        <v>2</v>
      </c>
      <c r="AI107">
        <v>145040022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ROW(Source!A70)</f>
        <v>70</v>
      </c>
      <c r="B108">
        <v>145040023</v>
      </c>
      <c r="C108">
        <v>145040021</v>
      </c>
      <c r="D108">
        <v>140760225</v>
      </c>
      <c r="E108">
        <v>70</v>
      </c>
      <c r="F108">
        <v>1</v>
      </c>
      <c r="G108">
        <v>1</v>
      </c>
      <c r="H108">
        <v>1</v>
      </c>
      <c r="I108" t="s">
        <v>730</v>
      </c>
      <c r="J108" t="s">
        <v>3</v>
      </c>
      <c r="K108" t="s">
        <v>731</v>
      </c>
      <c r="L108">
        <v>1191</v>
      </c>
      <c r="N108">
        <v>1013</v>
      </c>
      <c r="O108" t="s">
        <v>725</v>
      </c>
      <c r="P108" t="s">
        <v>725</v>
      </c>
      <c r="Q108">
        <v>1</v>
      </c>
      <c r="X108">
        <v>1.52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21</v>
      </c>
      <c r="AG108">
        <v>1.7479999999999998</v>
      </c>
      <c r="AH108">
        <v>2</v>
      </c>
      <c r="AI108">
        <v>145040023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ROW(Source!A70)</f>
        <v>70</v>
      </c>
      <c r="B109">
        <v>145040024</v>
      </c>
      <c r="C109">
        <v>145040021</v>
      </c>
      <c r="D109">
        <v>140923885</v>
      </c>
      <c r="E109">
        <v>1</v>
      </c>
      <c r="F109">
        <v>1</v>
      </c>
      <c r="G109">
        <v>1</v>
      </c>
      <c r="H109">
        <v>2</v>
      </c>
      <c r="I109" t="s">
        <v>732</v>
      </c>
      <c r="J109" t="s">
        <v>733</v>
      </c>
      <c r="K109" t="s">
        <v>734</v>
      </c>
      <c r="L109">
        <v>1367</v>
      </c>
      <c r="N109">
        <v>1011</v>
      </c>
      <c r="O109" t="s">
        <v>79</v>
      </c>
      <c r="P109" t="s">
        <v>79</v>
      </c>
      <c r="Q109">
        <v>1</v>
      </c>
      <c r="X109">
        <v>1.52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21</v>
      </c>
      <c r="AG109">
        <v>1.7479999999999998</v>
      </c>
      <c r="AH109">
        <v>2</v>
      </c>
      <c r="AI109">
        <v>145040024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ROW(Source!A70)</f>
        <v>70</v>
      </c>
      <c r="B110">
        <v>145040025</v>
      </c>
      <c r="C110">
        <v>145040021</v>
      </c>
      <c r="D110">
        <v>140772680</v>
      </c>
      <c r="E110">
        <v>1</v>
      </c>
      <c r="F110">
        <v>1</v>
      </c>
      <c r="G110">
        <v>1</v>
      </c>
      <c r="H110">
        <v>3</v>
      </c>
      <c r="I110" t="s">
        <v>735</v>
      </c>
      <c r="J110" t="s">
        <v>736</v>
      </c>
      <c r="K110" t="s">
        <v>737</v>
      </c>
      <c r="L110">
        <v>1339</v>
      </c>
      <c r="N110">
        <v>1007</v>
      </c>
      <c r="O110" t="s">
        <v>66</v>
      </c>
      <c r="P110" t="s">
        <v>66</v>
      </c>
      <c r="Q110">
        <v>1</v>
      </c>
      <c r="X110">
        <v>0</v>
      </c>
      <c r="Y110">
        <v>2.44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3</v>
      </c>
      <c r="AG110">
        <v>0</v>
      </c>
      <c r="AH110">
        <v>2</v>
      </c>
      <c r="AI110">
        <v>145040025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ROW(Source!A70)</f>
        <v>70</v>
      </c>
      <c r="B111">
        <v>145040026</v>
      </c>
      <c r="C111">
        <v>145040021</v>
      </c>
      <c r="D111">
        <v>140761147</v>
      </c>
      <c r="E111">
        <v>70</v>
      </c>
      <c r="F111">
        <v>1</v>
      </c>
      <c r="G111">
        <v>1</v>
      </c>
      <c r="H111">
        <v>3</v>
      </c>
      <c r="I111" t="s">
        <v>740</v>
      </c>
      <c r="J111" t="s">
        <v>3</v>
      </c>
      <c r="K111" t="s">
        <v>741</v>
      </c>
      <c r="L111">
        <v>1346</v>
      </c>
      <c r="N111">
        <v>1009</v>
      </c>
      <c r="O111" t="s">
        <v>43</v>
      </c>
      <c r="P111" t="s">
        <v>43</v>
      </c>
      <c r="Q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 t="s">
        <v>3</v>
      </c>
      <c r="AG111">
        <v>0</v>
      </c>
      <c r="AH111">
        <v>2</v>
      </c>
      <c r="AI111">
        <v>145040026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ROW(Source!A70)</f>
        <v>70</v>
      </c>
      <c r="B112">
        <v>145040027</v>
      </c>
      <c r="C112">
        <v>145040021</v>
      </c>
      <c r="D112">
        <v>140803795</v>
      </c>
      <c r="E112">
        <v>1</v>
      </c>
      <c r="F112">
        <v>1</v>
      </c>
      <c r="G112">
        <v>1</v>
      </c>
      <c r="H112">
        <v>3</v>
      </c>
      <c r="I112" t="s">
        <v>742</v>
      </c>
      <c r="J112" t="s">
        <v>743</v>
      </c>
      <c r="K112" t="s">
        <v>744</v>
      </c>
      <c r="L112">
        <v>1296</v>
      </c>
      <c r="N112">
        <v>1002</v>
      </c>
      <c r="O112" t="s">
        <v>147</v>
      </c>
      <c r="P112" t="s">
        <v>147</v>
      </c>
      <c r="Q112">
        <v>1</v>
      </c>
      <c r="X112">
        <v>0</v>
      </c>
      <c r="Y112">
        <v>46.86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2</v>
      </c>
      <c r="AI112">
        <v>145040027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ROW(Source!A71)</f>
        <v>71</v>
      </c>
      <c r="B113">
        <v>145040147</v>
      </c>
      <c r="C113">
        <v>145040146</v>
      </c>
      <c r="D113">
        <v>140759991</v>
      </c>
      <c r="E113">
        <v>70</v>
      </c>
      <c r="F113">
        <v>1</v>
      </c>
      <c r="G113">
        <v>1</v>
      </c>
      <c r="H113">
        <v>1</v>
      </c>
      <c r="I113" t="s">
        <v>738</v>
      </c>
      <c r="J113" t="s">
        <v>3</v>
      </c>
      <c r="K113" t="s">
        <v>739</v>
      </c>
      <c r="L113">
        <v>1191</v>
      </c>
      <c r="N113">
        <v>1013</v>
      </c>
      <c r="O113" t="s">
        <v>725</v>
      </c>
      <c r="P113" t="s">
        <v>725</v>
      </c>
      <c r="Q113">
        <v>1</v>
      </c>
      <c r="X113">
        <v>4.0199999999999996</v>
      </c>
      <c r="Y113">
        <v>0</v>
      </c>
      <c r="Z113">
        <v>0</v>
      </c>
      <c r="AA113">
        <v>0</v>
      </c>
      <c r="AB113">
        <v>8.9700000000000006</v>
      </c>
      <c r="AC113">
        <v>0</v>
      </c>
      <c r="AD113">
        <v>1</v>
      </c>
      <c r="AE113">
        <v>1</v>
      </c>
      <c r="AF113" t="s">
        <v>21</v>
      </c>
      <c r="AG113">
        <v>4.6229999999999993</v>
      </c>
      <c r="AH113">
        <v>2</v>
      </c>
      <c r="AI113">
        <v>145040147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ROW(Source!A71)</f>
        <v>71</v>
      </c>
      <c r="B114">
        <v>145040148</v>
      </c>
      <c r="C114">
        <v>145040146</v>
      </c>
      <c r="D114">
        <v>140760225</v>
      </c>
      <c r="E114">
        <v>70</v>
      </c>
      <c r="F114">
        <v>1</v>
      </c>
      <c r="G114">
        <v>1</v>
      </c>
      <c r="H114">
        <v>1</v>
      </c>
      <c r="I114" t="s">
        <v>730</v>
      </c>
      <c r="J114" t="s">
        <v>3</v>
      </c>
      <c r="K114" t="s">
        <v>731</v>
      </c>
      <c r="L114">
        <v>1191</v>
      </c>
      <c r="N114">
        <v>1013</v>
      </c>
      <c r="O114" t="s">
        <v>725</v>
      </c>
      <c r="P114" t="s">
        <v>725</v>
      </c>
      <c r="Q114">
        <v>1</v>
      </c>
      <c r="X114">
        <v>0.38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21</v>
      </c>
      <c r="AG114">
        <v>0.43699999999999994</v>
      </c>
      <c r="AH114">
        <v>2</v>
      </c>
      <c r="AI114">
        <v>145040148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ROW(Source!A71)</f>
        <v>71</v>
      </c>
      <c r="B115">
        <v>145040149</v>
      </c>
      <c r="C115">
        <v>145040146</v>
      </c>
      <c r="D115">
        <v>140923885</v>
      </c>
      <c r="E115">
        <v>1</v>
      </c>
      <c r="F115">
        <v>1</v>
      </c>
      <c r="G115">
        <v>1</v>
      </c>
      <c r="H115">
        <v>2</v>
      </c>
      <c r="I115" t="s">
        <v>732</v>
      </c>
      <c r="J115" t="s">
        <v>733</v>
      </c>
      <c r="K115" t="s">
        <v>734</v>
      </c>
      <c r="L115">
        <v>1367</v>
      </c>
      <c r="N115">
        <v>1011</v>
      </c>
      <c r="O115" t="s">
        <v>79</v>
      </c>
      <c r="P115" t="s">
        <v>79</v>
      </c>
      <c r="Q115">
        <v>1</v>
      </c>
      <c r="X115">
        <v>0.38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21</v>
      </c>
      <c r="AG115">
        <v>0.43699999999999994</v>
      </c>
      <c r="AH115">
        <v>2</v>
      </c>
      <c r="AI115">
        <v>145040149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ROW(Source!A71)</f>
        <v>71</v>
      </c>
      <c r="B116">
        <v>145040150</v>
      </c>
      <c r="C116">
        <v>145040146</v>
      </c>
      <c r="D116">
        <v>140772680</v>
      </c>
      <c r="E116">
        <v>1</v>
      </c>
      <c r="F116">
        <v>1</v>
      </c>
      <c r="G116">
        <v>1</v>
      </c>
      <c r="H116">
        <v>3</v>
      </c>
      <c r="I116" t="s">
        <v>735</v>
      </c>
      <c r="J116" t="s">
        <v>736</v>
      </c>
      <c r="K116" t="s">
        <v>737</v>
      </c>
      <c r="L116">
        <v>1339</v>
      </c>
      <c r="N116">
        <v>1007</v>
      </c>
      <c r="O116" t="s">
        <v>66</v>
      </c>
      <c r="P116" t="s">
        <v>66</v>
      </c>
      <c r="Q116">
        <v>1</v>
      </c>
      <c r="X116">
        <v>0</v>
      </c>
      <c r="Y116">
        <v>2.44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 t="s">
        <v>3</v>
      </c>
      <c r="AG116">
        <v>0</v>
      </c>
      <c r="AH116">
        <v>2</v>
      </c>
      <c r="AI116">
        <v>145040150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ROW(Source!A71)</f>
        <v>71</v>
      </c>
      <c r="B117">
        <v>145040151</v>
      </c>
      <c r="C117">
        <v>145040146</v>
      </c>
      <c r="D117">
        <v>140761147</v>
      </c>
      <c r="E117">
        <v>70</v>
      </c>
      <c r="F117">
        <v>1</v>
      </c>
      <c r="G117">
        <v>1</v>
      </c>
      <c r="H117">
        <v>3</v>
      </c>
      <c r="I117" t="s">
        <v>740</v>
      </c>
      <c r="J117" t="s">
        <v>3</v>
      </c>
      <c r="K117" t="s">
        <v>741</v>
      </c>
      <c r="L117">
        <v>1346</v>
      </c>
      <c r="N117">
        <v>1009</v>
      </c>
      <c r="O117" t="s">
        <v>43</v>
      </c>
      <c r="P117" t="s">
        <v>43</v>
      </c>
      <c r="Q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0</v>
      </c>
      <c r="AE117">
        <v>0</v>
      </c>
      <c r="AF117" t="s">
        <v>3</v>
      </c>
      <c r="AG117">
        <v>0</v>
      </c>
      <c r="AH117">
        <v>2</v>
      </c>
      <c r="AI117">
        <v>145040151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ROW(Source!A72)</f>
        <v>72</v>
      </c>
      <c r="B118">
        <v>145040053</v>
      </c>
      <c r="C118">
        <v>145040052</v>
      </c>
      <c r="D118">
        <v>140759979</v>
      </c>
      <c r="E118">
        <v>70</v>
      </c>
      <c r="F118">
        <v>1</v>
      </c>
      <c r="G118">
        <v>1</v>
      </c>
      <c r="H118">
        <v>1</v>
      </c>
      <c r="I118" t="s">
        <v>745</v>
      </c>
      <c r="J118" t="s">
        <v>3</v>
      </c>
      <c r="K118" t="s">
        <v>746</v>
      </c>
      <c r="L118">
        <v>1191</v>
      </c>
      <c r="N118">
        <v>1013</v>
      </c>
      <c r="O118" t="s">
        <v>725</v>
      </c>
      <c r="P118" t="s">
        <v>725</v>
      </c>
      <c r="Q118">
        <v>1</v>
      </c>
      <c r="X118">
        <v>5.33</v>
      </c>
      <c r="Y118">
        <v>0</v>
      </c>
      <c r="Z118">
        <v>0</v>
      </c>
      <c r="AA118">
        <v>0</v>
      </c>
      <c r="AB118">
        <v>8.5299999999999994</v>
      </c>
      <c r="AC118">
        <v>0</v>
      </c>
      <c r="AD118">
        <v>1</v>
      </c>
      <c r="AE118">
        <v>1</v>
      </c>
      <c r="AF118" t="s">
        <v>21</v>
      </c>
      <c r="AG118">
        <v>6.1294999999999993</v>
      </c>
      <c r="AH118">
        <v>2</v>
      </c>
      <c r="AI118">
        <v>145040053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ROW(Source!A72)</f>
        <v>72</v>
      </c>
      <c r="B119">
        <v>145040054</v>
      </c>
      <c r="C119">
        <v>145040052</v>
      </c>
      <c r="D119">
        <v>140760225</v>
      </c>
      <c r="E119">
        <v>70</v>
      </c>
      <c r="F119">
        <v>1</v>
      </c>
      <c r="G119">
        <v>1</v>
      </c>
      <c r="H119">
        <v>1</v>
      </c>
      <c r="I119" t="s">
        <v>730</v>
      </c>
      <c r="J119" t="s">
        <v>3</v>
      </c>
      <c r="K119" t="s">
        <v>731</v>
      </c>
      <c r="L119">
        <v>1191</v>
      </c>
      <c r="N119">
        <v>1013</v>
      </c>
      <c r="O119" t="s">
        <v>725</v>
      </c>
      <c r="P119" t="s">
        <v>725</v>
      </c>
      <c r="Q119">
        <v>1</v>
      </c>
      <c r="X119">
        <v>3.56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21</v>
      </c>
      <c r="AG119">
        <v>4.0939999999999994</v>
      </c>
      <c r="AH119">
        <v>2</v>
      </c>
      <c r="AI119">
        <v>145040054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ROW(Source!A72)</f>
        <v>72</v>
      </c>
      <c r="B120">
        <v>145040055</v>
      </c>
      <c r="C120">
        <v>145040052</v>
      </c>
      <c r="D120">
        <v>140923268</v>
      </c>
      <c r="E120">
        <v>1</v>
      </c>
      <c r="F120">
        <v>1</v>
      </c>
      <c r="G120">
        <v>1</v>
      </c>
      <c r="H120">
        <v>2</v>
      </c>
      <c r="I120" t="s">
        <v>837</v>
      </c>
      <c r="J120" t="s">
        <v>838</v>
      </c>
      <c r="K120" t="s">
        <v>839</v>
      </c>
      <c r="L120">
        <v>1367</v>
      </c>
      <c r="N120">
        <v>1011</v>
      </c>
      <c r="O120" t="s">
        <v>79</v>
      </c>
      <c r="P120" t="s">
        <v>79</v>
      </c>
      <c r="Q120">
        <v>1</v>
      </c>
      <c r="X120">
        <v>3.56</v>
      </c>
      <c r="Y120">
        <v>0</v>
      </c>
      <c r="Z120">
        <v>12.39</v>
      </c>
      <c r="AA120">
        <v>10.06</v>
      </c>
      <c r="AB120">
        <v>0</v>
      </c>
      <c r="AC120">
        <v>0</v>
      </c>
      <c r="AD120">
        <v>1</v>
      </c>
      <c r="AE120">
        <v>0</v>
      </c>
      <c r="AF120" t="s">
        <v>21</v>
      </c>
      <c r="AG120">
        <v>4.0939999999999994</v>
      </c>
      <c r="AH120">
        <v>2</v>
      </c>
      <c r="AI120">
        <v>145040055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ROW(Source!A74)</f>
        <v>74</v>
      </c>
      <c r="B121">
        <v>145040428</v>
      </c>
      <c r="C121">
        <v>145040427</v>
      </c>
      <c r="D121">
        <v>140760031</v>
      </c>
      <c r="E121">
        <v>70</v>
      </c>
      <c r="F121">
        <v>1</v>
      </c>
      <c r="G121">
        <v>1</v>
      </c>
      <c r="H121">
        <v>1</v>
      </c>
      <c r="I121" t="s">
        <v>885</v>
      </c>
      <c r="J121" t="s">
        <v>3</v>
      </c>
      <c r="K121" t="s">
        <v>886</v>
      </c>
      <c r="L121">
        <v>1191</v>
      </c>
      <c r="N121">
        <v>1013</v>
      </c>
      <c r="O121" t="s">
        <v>725</v>
      </c>
      <c r="P121" t="s">
        <v>725</v>
      </c>
      <c r="Q121">
        <v>1</v>
      </c>
      <c r="X121">
        <v>31.32</v>
      </c>
      <c r="Y121">
        <v>0</v>
      </c>
      <c r="Z121">
        <v>0</v>
      </c>
      <c r="AA121">
        <v>0</v>
      </c>
      <c r="AB121">
        <v>9.6199999999999992</v>
      </c>
      <c r="AC121">
        <v>0</v>
      </c>
      <c r="AD121">
        <v>1</v>
      </c>
      <c r="AE121">
        <v>1</v>
      </c>
      <c r="AF121" t="s">
        <v>21</v>
      </c>
      <c r="AG121">
        <v>36.018000000000001</v>
      </c>
      <c r="AH121">
        <v>2</v>
      </c>
      <c r="AI121">
        <v>145040428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ROW(Source!A74)</f>
        <v>74</v>
      </c>
      <c r="B122">
        <v>145040429</v>
      </c>
      <c r="C122">
        <v>145040427</v>
      </c>
      <c r="D122">
        <v>140760225</v>
      </c>
      <c r="E122">
        <v>70</v>
      </c>
      <c r="F122">
        <v>1</v>
      </c>
      <c r="G122">
        <v>1</v>
      </c>
      <c r="H122">
        <v>1</v>
      </c>
      <c r="I122" t="s">
        <v>730</v>
      </c>
      <c r="J122" t="s">
        <v>3</v>
      </c>
      <c r="K122" t="s">
        <v>731</v>
      </c>
      <c r="L122">
        <v>1191</v>
      </c>
      <c r="N122">
        <v>1013</v>
      </c>
      <c r="O122" t="s">
        <v>725</v>
      </c>
      <c r="P122" t="s">
        <v>725</v>
      </c>
      <c r="Q122">
        <v>1</v>
      </c>
      <c r="X122">
        <v>0.01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21</v>
      </c>
      <c r="AG122">
        <v>1.15E-2</v>
      </c>
      <c r="AH122">
        <v>2</v>
      </c>
      <c r="AI122">
        <v>145040429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ROW(Source!A74)</f>
        <v>74</v>
      </c>
      <c r="B123">
        <v>145040430</v>
      </c>
      <c r="C123">
        <v>145040427</v>
      </c>
      <c r="D123">
        <v>140922951</v>
      </c>
      <c r="E123">
        <v>1</v>
      </c>
      <c r="F123">
        <v>1</v>
      </c>
      <c r="G123">
        <v>1</v>
      </c>
      <c r="H123">
        <v>2</v>
      </c>
      <c r="I123" t="s">
        <v>752</v>
      </c>
      <c r="J123" t="s">
        <v>753</v>
      </c>
      <c r="K123" t="s">
        <v>754</v>
      </c>
      <c r="L123">
        <v>1367</v>
      </c>
      <c r="N123">
        <v>1011</v>
      </c>
      <c r="O123" t="s">
        <v>79</v>
      </c>
      <c r="P123" t="s">
        <v>79</v>
      </c>
      <c r="Q123">
        <v>1</v>
      </c>
      <c r="X123">
        <v>4.0000000000000001E-3</v>
      </c>
      <c r="Y123">
        <v>0</v>
      </c>
      <c r="Z123">
        <v>115.4</v>
      </c>
      <c r="AA123">
        <v>13.5</v>
      </c>
      <c r="AB123">
        <v>0</v>
      </c>
      <c r="AC123">
        <v>0</v>
      </c>
      <c r="AD123">
        <v>1</v>
      </c>
      <c r="AE123">
        <v>0</v>
      </c>
      <c r="AF123" t="s">
        <v>21</v>
      </c>
      <c r="AG123">
        <v>4.5999999999999999E-3</v>
      </c>
      <c r="AH123">
        <v>2</v>
      </c>
      <c r="AI123">
        <v>145040430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ROW(Source!A74)</f>
        <v>74</v>
      </c>
      <c r="B124">
        <v>145040431</v>
      </c>
      <c r="C124">
        <v>145040427</v>
      </c>
      <c r="D124">
        <v>140923885</v>
      </c>
      <c r="E124">
        <v>1</v>
      </c>
      <c r="F124">
        <v>1</v>
      </c>
      <c r="G124">
        <v>1</v>
      </c>
      <c r="H124">
        <v>2</v>
      </c>
      <c r="I124" t="s">
        <v>732</v>
      </c>
      <c r="J124" t="s">
        <v>733</v>
      </c>
      <c r="K124" t="s">
        <v>734</v>
      </c>
      <c r="L124">
        <v>1367</v>
      </c>
      <c r="N124">
        <v>1011</v>
      </c>
      <c r="O124" t="s">
        <v>79</v>
      </c>
      <c r="P124" t="s">
        <v>79</v>
      </c>
      <c r="Q124">
        <v>1</v>
      </c>
      <c r="X124">
        <v>2.8E-3</v>
      </c>
      <c r="Y124">
        <v>0</v>
      </c>
      <c r="Z124">
        <v>65.709999999999994</v>
      </c>
      <c r="AA124">
        <v>11.6</v>
      </c>
      <c r="AB124">
        <v>0</v>
      </c>
      <c r="AC124">
        <v>0</v>
      </c>
      <c r="AD124">
        <v>1</v>
      </c>
      <c r="AE124">
        <v>0</v>
      </c>
      <c r="AF124" t="s">
        <v>21</v>
      </c>
      <c r="AG124">
        <v>3.2199999999999998E-3</v>
      </c>
      <c r="AH124">
        <v>2</v>
      </c>
      <c r="AI124">
        <v>145040431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ROW(Source!A74)</f>
        <v>74</v>
      </c>
      <c r="B125">
        <v>145040432</v>
      </c>
      <c r="C125">
        <v>145040427</v>
      </c>
      <c r="D125">
        <v>140924041</v>
      </c>
      <c r="E125">
        <v>1</v>
      </c>
      <c r="F125">
        <v>1</v>
      </c>
      <c r="G125">
        <v>1</v>
      </c>
      <c r="H125">
        <v>2</v>
      </c>
      <c r="I125" t="s">
        <v>777</v>
      </c>
      <c r="J125" t="s">
        <v>778</v>
      </c>
      <c r="K125" t="s">
        <v>779</v>
      </c>
      <c r="L125">
        <v>1367</v>
      </c>
      <c r="N125">
        <v>1011</v>
      </c>
      <c r="O125" t="s">
        <v>79</v>
      </c>
      <c r="P125" t="s">
        <v>79</v>
      </c>
      <c r="Q125">
        <v>1</v>
      </c>
      <c r="X125">
        <v>5.4</v>
      </c>
      <c r="Y125">
        <v>0</v>
      </c>
      <c r="Z125">
        <v>1.2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21</v>
      </c>
      <c r="AG125">
        <v>6.21</v>
      </c>
      <c r="AH125">
        <v>2</v>
      </c>
      <c r="AI125">
        <v>145040432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ROW(Source!A74)</f>
        <v>74</v>
      </c>
      <c r="B126">
        <v>145040433</v>
      </c>
      <c r="C126">
        <v>145040427</v>
      </c>
      <c r="D126">
        <v>140770987</v>
      </c>
      <c r="E126">
        <v>1</v>
      </c>
      <c r="F126">
        <v>1</v>
      </c>
      <c r="G126">
        <v>1</v>
      </c>
      <c r="H126">
        <v>3</v>
      </c>
      <c r="I126" t="s">
        <v>887</v>
      </c>
      <c r="J126" t="s">
        <v>888</v>
      </c>
      <c r="K126" t="s">
        <v>889</v>
      </c>
      <c r="L126">
        <v>1339</v>
      </c>
      <c r="N126">
        <v>1007</v>
      </c>
      <c r="O126" t="s">
        <v>66</v>
      </c>
      <c r="P126" t="s">
        <v>66</v>
      </c>
      <c r="Q126">
        <v>1</v>
      </c>
      <c r="X126">
        <v>3.36</v>
      </c>
      <c r="Y126">
        <v>38.51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3.36</v>
      </c>
      <c r="AH126">
        <v>2</v>
      </c>
      <c r="AI126">
        <v>145040433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ROW(Source!A74)</f>
        <v>74</v>
      </c>
      <c r="B127">
        <v>145040434</v>
      </c>
      <c r="C127">
        <v>145040427</v>
      </c>
      <c r="D127">
        <v>140771005</v>
      </c>
      <c r="E127">
        <v>1</v>
      </c>
      <c r="F127">
        <v>1</v>
      </c>
      <c r="G127">
        <v>1</v>
      </c>
      <c r="H127">
        <v>3</v>
      </c>
      <c r="I127" t="s">
        <v>786</v>
      </c>
      <c r="J127" t="s">
        <v>787</v>
      </c>
      <c r="K127" t="s">
        <v>788</v>
      </c>
      <c r="L127">
        <v>1339</v>
      </c>
      <c r="N127">
        <v>1007</v>
      </c>
      <c r="O127" t="s">
        <v>66</v>
      </c>
      <c r="P127" t="s">
        <v>66</v>
      </c>
      <c r="Q127">
        <v>1</v>
      </c>
      <c r="X127">
        <v>24.3</v>
      </c>
      <c r="Y127">
        <v>6.22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24.3</v>
      </c>
      <c r="AH127">
        <v>2</v>
      </c>
      <c r="AI127">
        <v>145040434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ROW(Source!A75)</f>
        <v>75</v>
      </c>
      <c r="B128">
        <v>145040461</v>
      </c>
      <c r="C128">
        <v>145040460</v>
      </c>
      <c r="D128">
        <v>140759979</v>
      </c>
      <c r="E128">
        <v>70</v>
      </c>
      <c r="F128">
        <v>1</v>
      </c>
      <c r="G128">
        <v>1</v>
      </c>
      <c r="H128">
        <v>1</v>
      </c>
      <c r="I128" t="s">
        <v>745</v>
      </c>
      <c r="J128" t="s">
        <v>3</v>
      </c>
      <c r="K128" t="s">
        <v>746</v>
      </c>
      <c r="L128">
        <v>1191</v>
      </c>
      <c r="N128">
        <v>1013</v>
      </c>
      <c r="O128" t="s">
        <v>725</v>
      </c>
      <c r="P128" t="s">
        <v>725</v>
      </c>
      <c r="Q128">
        <v>1</v>
      </c>
      <c r="X128">
        <v>11.26</v>
      </c>
      <c r="Y128">
        <v>0</v>
      </c>
      <c r="Z128">
        <v>0</v>
      </c>
      <c r="AA128">
        <v>0</v>
      </c>
      <c r="AB128">
        <v>8.5299999999999994</v>
      </c>
      <c r="AC128">
        <v>0</v>
      </c>
      <c r="AD128">
        <v>1</v>
      </c>
      <c r="AE128">
        <v>1</v>
      </c>
      <c r="AF128" t="s">
        <v>21</v>
      </c>
      <c r="AG128">
        <v>12.948999999999998</v>
      </c>
      <c r="AH128">
        <v>2</v>
      </c>
      <c r="AI128">
        <v>145040461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ROW(Source!A75)</f>
        <v>75</v>
      </c>
      <c r="B129">
        <v>145040462</v>
      </c>
      <c r="C129">
        <v>145040460</v>
      </c>
      <c r="D129">
        <v>140924117</v>
      </c>
      <c r="E129">
        <v>1</v>
      </c>
      <c r="F129">
        <v>1</v>
      </c>
      <c r="G129">
        <v>1</v>
      </c>
      <c r="H129">
        <v>2</v>
      </c>
      <c r="I129" t="s">
        <v>890</v>
      </c>
      <c r="J129" t="s">
        <v>891</v>
      </c>
      <c r="K129" t="s">
        <v>892</v>
      </c>
      <c r="L129">
        <v>1367</v>
      </c>
      <c r="N129">
        <v>1011</v>
      </c>
      <c r="O129" t="s">
        <v>79</v>
      </c>
      <c r="P129" t="s">
        <v>79</v>
      </c>
      <c r="Q129">
        <v>1</v>
      </c>
      <c r="X129">
        <v>0.41</v>
      </c>
      <c r="Y129">
        <v>0</v>
      </c>
      <c r="Z129">
        <v>32.5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21</v>
      </c>
      <c r="AG129">
        <v>0.47149999999999992</v>
      </c>
      <c r="AH129">
        <v>2</v>
      </c>
      <c r="AI129">
        <v>145040462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ROW(Source!A75)</f>
        <v>75</v>
      </c>
      <c r="B130">
        <v>145040463</v>
      </c>
      <c r="C130">
        <v>145040460</v>
      </c>
      <c r="D130">
        <v>140772696</v>
      </c>
      <c r="E130">
        <v>1</v>
      </c>
      <c r="F130">
        <v>1</v>
      </c>
      <c r="G130">
        <v>1</v>
      </c>
      <c r="H130">
        <v>3</v>
      </c>
      <c r="I130" t="s">
        <v>273</v>
      </c>
      <c r="J130" t="s">
        <v>276</v>
      </c>
      <c r="K130" t="s">
        <v>274</v>
      </c>
      <c r="L130">
        <v>1374</v>
      </c>
      <c r="N130">
        <v>1013</v>
      </c>
      <c r="O130" t="s">
        <v>275</v>
      </c>
      <c r="P130" t="s">
        <v>275</v>
      </c>
      <c r="Q130">
        <v>1</v>
      </c>
      <c r="X130">
        <v>1.92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3</v>
      </c>
      <c r="AG130">
        <v>1.92</v>
      </c>
      <c r="AH130">
        <v>2</v>
      </c>
      <c r="AI130">
        <v>145040463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ROW(Source!A75)</f>
        <v>75</v>
      </c>
      <c r="B131">
        <v>145040464</v>
      </c>
      <c r="C131">
        <v>145040460</v>
      </c>
      <c r="D131">
        <v>140760621</v>
      </c>
      <c r="E131">
        <v>70</v>
      </c>
      <c r="F131">
        <v>1</v>
      </c>
      <c r="G131">
        <v>1</v>
      </c>
      <c r="H131">
        <v>3</v>
      </c>
      <c r="I131" t="s">
        <v>893</v>
      </c>
      <c r="J131" t="s">
        <v>3</v>
      </c>
      <c r="K131" t="s">
        <v>894</v>
      </c>
      <c r="L131">
        <v>1348</v>
      </c>
      <c r="N131">
        <v>1009</v>
      </c>
      <c r="O131" t="s">
        <v>105</v>
      </c>
      <c r="P131" t="s">
        <v>105</v>
      </c>
      <c r="Q131">
        <v>1000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 t="s">
        <v>3</v>
      </c>
      <c r="AG131">
        <v>0</v>
      </c>
      <c r="AH131">
        <v>2</v>
      </c>
      <c r="AI131">
        <v>145040464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ROW(Source!A75)</f>
        <v>75</v>
      </c>
      <c r="B132">
        <v>145040465</v>
      </c>
      <c r="C132">
        <v>145040460</v>
      </c>
      <c r="D132">
        <v>140763232</v>
      </c>
      <c r="E132">
        <v>70</v>
      </c>
      <c r="F132">
        <v>1</v>
      </c>
      <c r="G132">
        <v>1</v>
      </c>
      <c r="H132">
        <v>3</v>
      </c>
      <c r="I132" t="s">
        <v>895</v>
      </c>
      <c r="J132" t="s">
        <v>3</v>
      </c>
      <c r="K132" t="s">
        <v>896</v>
      </c>
      <c r="L132">
        <v>1346</v>
      </c>
      <c r="N132">
        <v>1009</v>
      </c>
      <c r="O132" t="s">
        <v>43</v>
      </c>
      <c r="P132" t="s">
        <v>43</v>
      </c>
      <c r="Q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 t="s">
        <v>3</v>
      </c>
      <c r="AG132">
        <v>0</v>
      </c>
      <c r="AH132">
        <v>2</v>
      </c>
      <c r="AI132">
        <v>145040465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ROW(Source!A80)</f>
        <v>80</v>
      </c>
      <c r="B133">
        <v>145040282</v>
      </c>
      <c r="C133">
        <v>145040279</v>
      </c>
      <c r="D133">
        <v>140755423</v>
      </c>
      <c r="E133">
        <v>70</v>
      </c>
      <c r="F133">
        <v>1</v>
      </c>
      <c r="G133">
        <v>1</v>
      </c>
      <c r="H133">
        <v>1</v>
      </c>
      <c r="I133" t="s">
        <v>723</v>
      </c>
      <c r="J133" t="s">
        <v>3</v>
      </c>
      <c r="K133" t="s">
        <v>724</v>
      </c>
      <c r="L133">
        <v>1191</v>
      </c>
      <c r="N133">
        <v>1013</v>
      </c>
      <c r="O133" t="s">
        <v>725</v>
      </c>
      <c r="P133" t="s">
        <v>725</v>
      </c>
      <c r="Q133">
        <v>1</v>
      </c>
      <c r="X133">
        <v>22.82</v>
      </c>
      <c r="Y133">
        <v>0</v>
      </c>
      <c r="Z133">
        <v>0</v>
      </c>
      <c r="AA133">
        <v>0</v>
      </c>
      <c r="AB133">
        <v>7.8</v>
      </c>
      <c r="AC133">
        <v>0</v>
      </c>
      <c r="AD133">
        <v>1</v>
      </c>
      <c r="AE133">
        <v>1</v>
      </c>
      <c r="AF133" t="s">
        <v>21</v>
      </c>
      <c r="AG133">
        <v>26.242999999999999</v>
      </c>
      <c r="AH133">
        <v>2</v>
      </c>
      <c r="AI133">
        <v>145040280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ROW(Source!A80)</f>
        <v>80</v>
      </c>
      <c r="B134">
        <v>145040283</v>
      </c>
      <c r="C134">
        <v>145040279</v>
      </c>
      <c r="D134">
        <v>140765020</v>
      </c>
      <c r="E134">
        <v>70</v>
      </c>
      <c r="F134">
        <v>1</v>
      </c>
      <c r="G134">
        <v>1</v>
      </c>
      <c r="H134">
        <v>3</v>
      </c>
      <c r="I134" t="s">
        <v>726</v>
      </c>
      <c r="J134" t="s">
        <v>3</v>
      </c>
      <c r="K134" t="s">
        <v>727</v>
      </c>
      <c r="L134">
        <v>1348</v>
      </c>
      <c r="N134">
        <v>1009</v>
      </c>
      <c r="O134" t="s">
        <v>105</v>
      </c>
      <c r="P134" t="s">
        <v>105</v>
      </c>
      <c r="Q134">
        <v>1000</v>
      </c>
      <c r="X134">
        <v>4.5999999999999996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 t="s">
        <v>3</v>
      </c>
      <c r="AG134">
        <v>4.5999999999999996</v>
      </c>
      <c r="AH134">
        <v>2</v>
      </c>
      <c r="AI134">
        <v>145040281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ROW(Source!A81)</f>
        <v>81</v>
      </c>
      <c r="B135">
        <v>145040330</v>
      </c>
      <c r="C135">
        <v>145040329</v>
      </c>
      <c r="D135">
        <v>140760027</v>
      </c>
      <c r="E135">
        <v>70</v>
      </c>
      <c r="F135">
        <v>1</v>
      </c>
      <c r="G135">
        <v>1</v>
      </c>
      <c r="H135">
        <v>1</v>
      </c>
      <c r="I135" t="s">
        <v>728</v>
      </c>
      <c r="J135" t="s">
        <v>3</v>
      </c>
      <c r="K135" t="s">
        <v>729</v>
      </c>
      <c r="L135">
        <v>1191</v>
      </c>
      <c r="N135">
        <v>1013</v>
      </c>
      <c r="O135" t="s">
        <v>725</v>
      </c>
      <c r="P135" t="s">
        <v>725</v>
      </c>
      <c r="Q135">
        <v>1</v>
      </c>
      <c r="X135">
        <v>6</v>
      </c>
      <c r="Y135">
        <v>0</v>
      </c>
      <c r="Z135">
        <v>0</v>
      </c>
      <c r="AA135">
        <v>0</v>
      </c>
      <c r="AB135">
        <v>9.51</v>
      </c>
      <c r="AC135">
        <v>0</v>
      </c>
      <c r="AD135">
        <v>1</v>
      </c>
      <c r="AE135">
        <v>1</v>
      </c>
      <c r="AF135" t="s">
        <v>21</v>
      </c>
      <c r="AG135">
        <v>6.8999999999999995</v>
      </c>
      <c r="AH135">
        <v>2</v>
      </c>
      <c r="AI135">
        <v>145040330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ROW(Source!A81)</f>
        <v>81</v>
      </c>
      <c r="B136">
        <v>145040331</v>
      </c>
      <c r="C136">
        <v>145040329</v>
      </c>
      <c r="D136">
        <v>140760225</v>
      </c>
      <c r="E136">
        <v>70</v>
      </c>
      <c r="F136">
        <v>1</v>
      </c>
      <c r="G136">
        <v>1</v>
      </c>
      <c r="H136">
        <v>1</v>
      </c>
      <c r="I136" t="s">
        <v>730</v>
      </c>
      <c r="J136" t="s">
        <v>3</v>
      </c>
      <c r="K136" t="s">
        <v>731</v>
      </c>
      <c r="L136">
        <v>1191</v>
      </c>
      <c r="N136">
        <v>1013</v>
      </c>
      <c r="O136" t="s">
        <v>725</v>
      </c>
      <c r="P136" t="s">
        <v>725</v>
      </c>
      <c r="Q136">
        <v>1</v>
      </c>
      <c r="X136">
        <v>0.03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2</v>
      </c>
      <c r="AF136" t="s">
        <v>21</v>
      </c>
      <c r="AG136">
        <v>3.4499999999999996E-2</v>
      </c>
      <c r="AH136">
        <v>2</v>
      </c>
      <c r="AI136">
        <v>145040331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ROW(Source!A81)</f>
        <v>81</v>
      </c>
      <c r="B137">
        <v>145040332</v>
      </c>
      <c r="C137">
        <v>145040329</v>
      </c>
      <c r="D137">
        <v>140923885</v>
      </c>
      <c r="E137">
        <v>1</v>
      </c>
      <c r="F137">
        <v>1</v>
      </c>
      <c r="G137">
        <v>1</v>
      </c>
      <c r="H137">
        <v>2</v>
      </c>
      <c r="I137" t="s">
        <v>732</v>
      </c>
      <c r="J137" t="s">
        <v>733</v>
      </c>
      <c r="K137" t="s">
        <v>734</v>
      </c>
      <c r="L137">
        <v>1367</v>
      </c>
      <c r="N137">
        <v>1011</v>
      </c>
      <c r="O137" t="s">
        <v>79</v>
      </c>
      <c r="P137" t="s">
        <v>79</v>
      </c>
      <c r="Q137">
        <v>1</v>
      </c>
      <c r="X137">
        <v>0.03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21</v>
      </c>
      <c r="AG137">
        <v>3.4499999999999996E-2</v>
      </c>
      <c r="AH137">
        <v>2</v>
      </c>
      <c r="AI137">
        <v>145040332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ROW(Source!A81)</f>
        <v>81</v>
      </c>
      <c r="B138">
        <v>145040333</v>
      </c>
      <c r="C138">
        <v>145040329</v>
      </c>
      <c r="D138">
        <v>140772680</v>
      </c>
      <c r="E138">
        <v>1</v>
      </c>
      <c r="F138">
        <v>1</v>
      </c>
      <c r="G138">
        <v>1</v>
      </c>
      <c r="H138">
        <v>3</v>
      </c>
      <c r="I138" t="s">
        <v>735</v>
      </c>
      <c r="J138" t="s">
        <v>736</v>
      </c>
      <c r="K138" t="s">
        <v>737</v>
      </c>
      <c r="L138">
        <v>1339</v>
      </c>
      <c r="N138">
        <v>1007</v>
      </c>
      <c r="O138" t="s">
        <v>66</v>
      </c>
      <c r="P138" t="s">
        <v>66</v>
      </c>
      <c r="Q138">
        <v>1</v>
      </c>
      <c r="X138">
        <v>8.0000000000000002E-3</v>
      </c>
      <c r="Y138">
        <v>2.44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8.0000000000000002E-3</v>
      </c>
      <c r="AH138">
        <v>2</v>
      </c>
      <c r="AI138">
        <v>145040333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ROW(Source!A81)</f>
        <v>81</v>
      </c>
      <c r="B139">
        <v>145040334</v>
      </c>
      <c r="C139">
        <v>145040329</v>
      </c>
      <c r="D139">
        <v>140778438</v>
      </c>
      <c r="E139">
        <v>1</v>
      </c>
      <c r="F139">
        <v>1</v>
      </c>
      <c r="G139">
        <v>1</v>
      </c>
      <c r="H139">
        <v>3</v>
      </c>
      <c r="I139" t="s">
        <v>41</v>
      </c>
      <c r="J139" t="s">
        <v>44</v>
      </c>
      <c r="K139" t="s">
        <v>42</v>
      </c>
      <c r="L139">
        <v>1346</v>
      </c>
      <c r="N139">
        <v>1009</v>
      </c>
      <c r="O139" t="s">
        <v>43</v>
      </c>
      <c r="P139" t="s">
        <v>43</v>
      </c>
      <c r="Q139">
        <v>1</v>
      </c>
      <c r="X139">
        <v>27.75</v>
      </c>
      <c r="Y139">
        <v>60.36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27.75</v>
      </c>
      <c r="AH139">
        <v>2</v>
      </c>
      <c r="AI139">
        <v>145040334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ROW(Source!A84)</f>
        <v>84</v>
      </c>
      <c r="B140">
        <v>145040350</v>
      </c>
      <c r="C140">
        <v>145040349</v>
      </c>
      <c r="D140">
        <v>140759991</v>
      </c>
      <c r="E140">
        <v>70</v>
      </c>
      <c r="F140">
        <v>1</v>
      </c>
      <c r="G140">
        <v>1</v>
      </c>
      <c r="H140">
        <v>1</v>
      </c>
      <c r="I140" t="s">
        <v>738</v>
      </c>
      <c r="J140" t="s">
        <v>3</v>
      </c>
      <c r="K140" t="s">
        <v>739</v>
      </c>
      <c r="L140">
        <v>1191</v>
      </c>
      <c r="N140">
        <v>1013</v>
      </c>
      <c r="O140" t="s">
        <v>725</v>
      </c>
      <c r="P140" t="s">
        <v>725</v>
      </c>
      <c r="Q140">
        <v>1</v>
      </c>
      <c r="X140">
        <v>47.87</v>
      </c>
      <c r="Y140">
        <v>0</v>
      </c>
      <c r="Z140">
        <v>0</v>
      </c>
      <c r="AA140">
        <v>0</v>
      </c>
      <c r="AB140">
        <v>8.9700000000000006</v>
      </c>
      <c r="AC140">
        <v>0</v>
      </c>
      <c r="AD140">
        <v>1</v>
      </c>
      <c r="AE140">
        <v>1</v>
      </c>
      <c r="AF140" t="s">
        <v>21</v>
      </c>
      <c r="AG140">
        <v>55.050499999999992</v>
      </c>
      <c r="AH140">
        <v>2</v>
      </c>
      <c r="AI140">
        <v>145040350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ROW(Source!A84)</f>
        <v>84</v>
      </c>
      <c r="B141">
        <v>145040351</v>
      </c>
      <c r="C141">
        <v>145040349</v>
      </c>
      <c r="D141">
        <v>140760225</v>
      </c>
      <c r="E141">
        <v>70</v>
      </c>
      <c r="F141">
        <v>1</v>
      </c>
      <c r="G141">
        <v>1</v>
      </c>
      <c r="H141">
        <v>1</v>
      </c>
      <c r="I141" t="s">
        <v>730</v>
      </c>
      <c r="J141" t="s">
        <v>3</v>
      </c>
      <c r="K141" t="s">
        <v>731</v>
      </c>
      <c r="L141">
        <v>1191</v>
      </c>
      <c r="N141">
        <v>1013</v>
      </c>
      <c r="O141" t="s">
        <v>725</v>
      </c>
      <c r="P141" t="s">
        <v>725</v>
      </c>
      <c r="Q141">
        <v>1</v>
      </c>
      <c r="X141">
        <v>1.52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21</v>
      </c>
      <c r="AG141">
        <v>1.7479999999999998</v>
      </c>
      <c r="AH141">
        <v>2</v>
      </c>
      <c r="AI141">
        <v>145040351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ROW(Source!A84)</f>
        <v>84</v>
      </c>
      <c r="B142">
        <v>145040352</v>
      </c>
      <c r="C142">
        <v>145040349</v>
      </c>
      <c r="D142">
        <v>140923885</v>
      </c>
      <c r="E142">
        <v>1</v>
      </c>
      <c r="F142">
        <v>1</v>
      </c>
      <c r="G142">
        <v>1</v>
      </c>
      <c r="H142">
        <v>2</v>
      </c>
      <c r="I142" t="s">
        <v>732</v>
      </c>
      <c r="J142" t="s">
        <v>733</v>
      </c>
      <c r="K142" t="s">
        <v>734</v>
      </c>
      <c r="L142">
        <v>1367</v>
      </c>
      <c r="N142">
        <v>1011</v>
      </c>
      <c r="O142" t="s">
        <v>79</v>
      </c>
      <c r="P142" t="s">
        <v>79</v>
      </c>
      <c r="Q142">
        <v>1</v>
      </c>
      <c r="X142">
        <v>1.52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21</v>
      </c>
      <c r="AG142">
        <v>1.7479999999999998</v>
      </c>
      <c r="AH142">
        <v>2</v>
      </c>
      <c r="AI142">
        <v>145040352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ROW(Source!A84)</f>
        <v>84</v>
      </c>
      <c r="B143">
        <v>145040353</v>
      </c>
      <c r="C143">
        <v>145040349</v>
      </c>
      <c r="D143">
        <v>140772680</v>
      </c>
      <c r="E143">
        <v>1</v>
      </c>
      <c r="F143">
        <v>1</v>
      </c>
      <c r="G143">
        <v>1</v>
      </c>
      <c r="H143">
        <v>3</v>
      </c>
      <c r="I143" t="s">
        <v>735</v>
      </c>
      <c r="J143" t="s">
        <v>736</v>
      </c>
      <c r="K143" t="s">
        <v>737</v>
      </c>
      <c r="L143">
        <v>1339</v>
      </c>
      <c r="N143">
        <v>1007</v>
      </c>
      <c r="O143" t="s">
        <v>66</v>
      </c>
      <c r="P143" t="s">
        <v>66</v>
      </c>
      <c r="Q143">
        <v>1</v>
      </c>
      <c r="X143">
        <v>0</v>
      </c>
      <c r="Y143">
        <v>2.44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3</v>
      </c>
      <c r="AG143">
        <v>0</v>
      </c>
      <c r="AH143">
        <v>2</v>
      </c>
      <c r="AI143">
        <v>145040353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ROW(Source!A84)</f>
        <v>84</v>
      </c>
      <c r="B144">
        <v>145040354</v>
      </c>
      <c r="C144">
        <v>145040349</v>
      </c>
      <c r="D144">
        <v>140761147</v>
      </c>
      <c r="E144">
        <v>70</v>
      </c>
      <c r="F144">
        <v>1</v>
      </c>
      <c r="G144">
        <v>1</v>
      </c>
      <c r="H144">
        <v>3</v>
      </c>
      <c r="I144" t="s">
        <v>740</v>
      </c>
      <c r="J144" t="s">
        <v>3</v>
      </c>
      <c r="K144" t="s">
        <v>741</v>
      </c>
      <c r="L144">
        <v>1346</v>
      </c>
      <c r="N144">
        <v>1009</v>
      </c>
      <c r="O144" t="s">
        <v>43</v>
      </c>
      <c r="P144" t="s">
        <v>43</v>
      </c>
      <c r="Q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 t="s">
        <v>3</v>
      </c>
      <c r="AG144">
        <v>0</v>
      </c>
      <c r="AH144">
        <v>2</v>
      </c>
      <c r="AI144">
        <v>145040354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ROW(Source!A84)</f>
        <v>84</v>
      </c>
      <c r="B145">
        <v>145040355</v>
      </c>
      <c r="C145">
        <v>145040349</v>
      </c>
      <c r="D145">
        <v>140803795</v>
      </c>
      <c r="E145">
        <v>1</v>
      </c>
      <c r="F145">
        <v>1</v>
      </c>
      <c r="G145">
        <v>1</v>
      </c>
      <c r="H145">
        <v>3</v>
      </c>
      <c r="I145" t="s">
        <v>742</v>
      </c>
      <c r="J145" t="s">
        <v>743</v>
      </c>
      <c r="K145" t="s">
        <v>744</v>
      </c>
      <c r="L145">
        <v>1296</v>
      </c>
      <c r="N145">
        <v>1002</v>
      </c>
      <c r="O145" t="s">
        <v>147</v>
      </c>
      <c r="P145" t="s">
        <v>147</v>
      </c>
      <c r="Q145">
        <v>1</v>
      </c>
      <c r="X145">
        <v>0</v>
      </c>
      <c r="Y145">
        <v>46.86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 t="s">
        <v>3</v>
      </c>
      <c r="AG145">
        <v>0</v>
      </c>
      <c r="AH145">
        <v>2</v>
      </c>
      <c r="AI145">
        <v>145040355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ROW(Source!A85)</f>
        <v>85</v>
      </c>
      <c r="B146">
        <v>145040357</v>
      </c>
      <c r="C146">
        <v>145040356</v>
      </c>
      <c r="D146">
        <v>140759991</v>
      </c>
      <c r="E146">
        <v>70</v>
      </c>
      <c r="F146">
        <v>1</v>
      </c>
      <c r="G146">
        <v>1</v>
      </c>
      <c r="H146">
        <v>1</v>
      </c>
      <c r="I146" t="s">
        <v>738</v>
      </c>
      <c r="J146" t="s">
        <v>3</v>
      </c>
      <c r="K146" t="s">
        <v>739</v>
      </c>
      <c r="L146">
        <v>1191</v>
      </c>
      <c r="N146">
        <v>1013</v>
      </c>
      <c r="O146" t="s">
        <v>725</v>
      </c>
      <c r="P146" t="s">
        <v>725</v>
      </c>
      <c r="Q146">
        <v>1</v>
      </c>
      <c r="X146">
        <v>4.38</v>
      </c>
      <c r="Y146">
        <v>0</v>
      </c>
      <c r="Z146">
        <v>0</v>
      </c>
      <c r="AA146">
        <v>0</v>
      </c>
      <c r="AB146">
        <v>8.9700000000000006</v>
      </c>
      <c r="AC146">
        <v>0</v>
      </c>
      <c r="AD146">
        <v>1</v>
      </c>
      <c r="AE146">
        <v>1</v>
      </c>
      <c r="AF146" t="s">
        <v>21</v>
      </c>
      <c r="AG146">
        <v>5.0369999999999999</v>
      </c>
      <c r="AH146">
        <v>2</v>
      </c>
      <c r="AI146">
        <v>145040357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ROW(Source!A85)</f>
        <v>85</v>
      </c>
      <c r="B147">
        <v>145040358</v>
      </c>
      <c r="C147">
        <v>145040356</v>
      </c>
      <c r="D147">
        <v>140760225</v>
      </c>
      <c r="E147">
        <v>70</v>
      </c>
      <c r="F147">
        <v>1</v>
      </c>
      <c r="G147">
        <v>1</v>
      </c>
      <c r="H147">
        <v>1</v>
      </c>
      <c r="I147" t="s">
        <v>730</v>
      </c>
      <c r="J147" t="s">
        <v>3</v>
      </c>
      <c r="K147" t="s">
        <v>731</v>
      </c>
      <c r="L147">
        <v>1191</v>
      </c>
      <c r="N147">
        <v>1013</v>
      </c>
      <c r="O147" t="s">
        <v>725</v>
      </c>
      <c r="P147" t="s">
        <v>725</v>
      </c>
      <c r="Q147">
        <v>1</v>
      </c>
      <c r="X147">
        <v>0.38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21</v>
      </c>
      <c r="AG147">
        <v>0.43699999999999994</v>
      </c>
      <c r="AH147">
        <v>2</v>
      </c>
      <c r="AI147">
        <v>145040358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ROW(Source!A85)</f>
        <v>85</v>
      </c>
      <c r="B148">
        <v>145040359</v>
      </c>
      <c r="C148">
        <v>145040356</v>
      </c>
      <c r="D148">
        <v>140923885</v>
      </c>
      <c r="E148">
        <v>1</v>
      </c>
      <c r="F148">
        <v>1</v>
      </c>
      <c r="G148">
        <v>1</v>
      </c>
      <c r="H148">
        <v>2</v>
      </c>
      <c r="I148" t="s">
        <v>732</v>
      </c>
      <c r="J148" t="s">
        <v>733</v>
      </c>
      <c r="K148" t="s">
        <v>734</v>
      </c>
      <c r="L148">
        <v>1367</v>
      </c>
      <c r="N148">
        <v>1011</v>
      </c>
      <c r="O148" t="s">
        <v>79</v>
      </c>
      <c r="P148" t="s">
        <v>79</v>
      </c>
      <c r="Q148">
        <v>1</v>
      </c>
      <c r="X148">
        <v>0.38</v>
      </c>
      <c r="Y148">
        <v>0</v>
      </c>
      <c r="Z148">
        <v>65.709999999999994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21</v>
      </c>
      <c r="AG148">
        <v>0.43699999999999994</v>
      </c>
      <c r="AH148">
        <v>2</v>
      </c>
      <c r="AI148">
        <v>145040359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ROW(Source!A85)</f>
        <v>85</v>
      </c>
      <c r="B149">
        <v>145040360</v>
      </c>
      <c r="C149">
        <v>145040356</v>
      </c>
      <c r="D149">
        <v>140772680</v>
      </c>
      <c r="E149">
        <v>1</v>
      </c>
      <c r="F149">
        <v>1</v>
      </c>
      <c r="G149">
        <v>1</v>
      </c>
      <c r="H149">
        <v>3</v>
      </c>
      <c r="I149" t="s">
        <v>735</v>
      </c>
      <c r="J149" t="s">
        <v>736</v>
      </c>
      <c r="K149" t="s">
        <v>737</v>
      </c>
      <c r="L149">
        <v>1339</v>
      </c>
      <c r="N149">
        <v>1007</v>
      </c>
      <c r="O149" t="s">
        <v>66</v>
      </c>
      <c r="P149" t="s">
        <v>66</v>
      </c>
      <c r="Q149">
        <v>1</v>
      </c>
      <c r="X149">
        <v>0</v>
      </c>
      <c r="Y149">
        <v>2.44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3</v>
      </c>
      <c r="AG149">
        <v>0</v>
      </c>
      <c r="AH149">
        <v>2</v>
      </c>
      <c r="AI149">
        <v>145040360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ROW(Source!A85)</f>
        <v>85</v>
      </c>
      <c r="B150">
        <v>145040361</v>
      </c>
      <c r="C150">
        <v>145040356</v>
      </c>
      <c r="D150">
        <v>140761147</v>
      </c>
      <c r="E150">
        <v>70</v>
      </c>
      <c r="F150">
        <v>1</v>
      </c>
      <c r="G150">
        <v>1</v>
      </c>
      <c r="H150">
        <v>3</v>
      </c>
      <c r="I150" t="s">
        <v>740</v>
      </c>
      <c r="J150" t="s">
        <v>3</v>
      </c>
      <c r="K150" t="s">
        <v>741</v>
      </c>
      <c r="L150">
        <v>1346</v>
      </c>
      <c r="N150">
        <v>1009</v>
      </c>
      <c r="O150" t="s">
        <v>43</v>
      </c>
      <c r="P150" t="s">
        <v>43</v>
      </c>
      <c r="Q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 t="s">
        <v>3</v>
      </c>
      <c r="AG150">
        <v>0</v>
      </c>
      <c r="AH150">
        <v>2</v>
      </c>
      <c r="AI150">
        <v>145040361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ROW(Source!A86)</f>
        <v>86</v>
      </c>
      <c r="B151">
        <v>145040367</v>
      </c>
      <c r="C151">
        <v>145040363</v>
      </c>
      <c r="D151">
        <v>140755433</v>
      </c>
      <c r="E151">
        <v>70</v>
      </c>
      <c r="F151">
        <v>1</v>
      </c>
      <c r="G151">
        <v>1</v>
      </c>
      <c r="H151">
        <v>1</v>
      </c>
      <c r="I151" t="s">
        <v>745</v>
      </c>
      <c r="J151" t="s">
        <v>3</v>
      </c>
      <c r="K151" t="s">
        <v>746</v>
      </c>
      <c r="L151">
        <v>1191</v>
      </c>
      <c r="N151">
        <v>1013</v>
      </c>
      <c r="O151" t="s">
        <v>725</v>
      </c>
      <c r="P151" t="s">
        <v>725</v>
      </c>
      <c r="Q151">
        <v>1</v>
      </c>
      <c r="X151">
        <v>5.33</v>
      </c>
      <c r="Y151">
        <v>0</v>
      </c>
      <c r="Z151">
        <v>0</v>
      </c>
      <c r="AA151">
        <v>0</v>
      </c>
      <c r="AB151">
        <v>8.5299999999999994</v>
      </c>
      <c r="AC151">
        <v>0</v>
      </c>
      <c r="AD151">
        <v>1</v>
      </c>
      <c r="AE151">
        <v>1</v>
      </c>
      <c r="AF151" t="s">
        <v>21</v>
      </c>
      <c r="AG151">
        <v>6.1294999999999993</v>
      </c>
      <c r="AH151">
        <v>2</v>
      </c>
      <c r="AI151">
        <v>145040364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ROW(Source!A86)</f>
        <v>86</v>
      </c>
      <c r="B152">
        <v>145040368</v>
      </c>
      <c r="C152">
        <v>145040363</v>
      </c>
      <c r="D152">
        <v>140755491</v>
      </c>
      <c r="E152">
        <v>70</v>
      </c>
      <c r="F152">
        <v>1</v>
      </c>
      <c r="G152">
        <v>1</v>
      </c>
      <c r="H152">
        <v>1</v>
      </c>
      <c r="I152" t="s">
        <v>730</v>
      </c>
      <c r="J152" t="s">
        <v>3</v>
      </c>
      <c r="K152" t="s">
        <v>731</v>
      </c>
      <c r="L152">
        <v>1191</v>
      </c>
      <c r="N152">
        <v>1013</v>
      </c>
      <c r="O152" t="s">
        <v>725</v>
      </c>
      <c r="P152" t="s">
        <v>725</v>
      </c>
      <c r="Q152">
        <v>1</v>
      </c>
      <c r="X152">
        <v>3.56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21</v>
      </c>
      <c r="AG152">
        <v>4.0939999999999994</v>
      </c>
      <c r="AH152">
        <v>2</v>
      </c>
      <c r="AI152">
        <v>145040365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ROW(Source!A86)</f>
        <v>86</v>
      </c>
      <c r="B153">
        <v>145040369</v>
      </c>
      <c r="C153">
        <v>145040363</v>
      </c>
      <c r="D153">
        <v>140923268</v>
      </c>
      <c r="E153">
        <v>1</v>
      </c>
      <c r="F153">
        <v>1</v>
      </c>
      <c r="G153">
        <v>1</v>
      </c>
      <c r="H153">
        <v>2</v>
      </c>
      <c r="I153" t="s">
        <v>837</v>
      </c>
      <c r="J153" t="s">
        <v>838</v>
      </c>
      <c r="K153" t="s">
        <v>839</v>
      </c>
      <c r="L153">
        <v>1367</v>
      </c>
      <c r="N153">
        <v>1011</v>
      </c>
      <c r="O153" t="s">
        <v>79</v>
      </c>
      <c r="P153" t="s">
        <v>79</v>
      </c>
      <c r="Q153">
        <v>1</v>
      </c>
      <c r="X153">
        <v>3.56</v>
      </c>
      <c r="Y153">
        <v>0</v>
      </c>
      <c r="Z153">
        <v>12.39</v>
      </c>
      <c r="AA153">
        <v>10.06</v>
      </c>
      <c r="AB153">
        <v>0</v>
      </c>
      <c r="AC153">
        <v>0</v>
      </c>
      <c r="AD153">
        <v>1</v>
      </c>
      <c r="AE153">
        <v>0</v>
      </c>
      <c r="AF153" t="s">
        <v>21</v>
      </c>
      <c r="AG153">
        <v>4.0939999999999994</v>
      </c>
      <c r="AH153">
        <v>2</v>
      </c>
      <c r="AI153">
        <v>145040366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ROW(Source!A90)</f>
        <v>90</v>
      </c>
      <c r="B154">
        <v>145040864</v>
      </c>
      <c r="C154">
        <v>145040863</v>
      </c>
      <c r="D154">
        <v>140759988</v>
      </c>
      <c r="E154">
        <v>70</v>
      </c>
      <c r="F154">
        <v>1</v>
      </c>
      <c r="G154">
        <v>1</v>
      </c>
      <c r="H154">
        <v>1</v>
      </c>
      <c r="I154" t="s">
        <v>747</v>
      </c>
      <c r="J154" t="s">
        <v>3</v>
      </c>
      <c r="K154" t="s">
        <v>748</v>
      </c>
      <c r="L154">
        <v>1191</v>
      </c>
      <c r="N154">
        <v>1013</v>
      </c>
      <c r="O154" t="s">
        <v>725</v>
      </c>
      <c r="P154" t="s">
        <v>725</v>
      </c>
      <c r="Q154">
        <v>1</v>
      </c>
      <c r="X154">
        <v>156.4</v>
      </c>
      <c r="Y154">
        <v>0</v>
      </c>
      <c r="Z154">
        <v>0</v>
      </c>
      <c r="AA154">
        <v>0</v>
      </c>
      <c r="AB154">
        <v>8.86</v>
      </c>
      <c r="AC154">
        <v>0</v>
      </c>
      <c r="AD154">
        <v>1</v>
      </c>
      <c r="AE154">
        <v>1</v>
      </c>
      <c r="AF154" t="s">
        <v>300</v>
      </c>
      <c r="AG154">
        <v>143.88800000000001</v>
      </c>
      <c r="AH154">
        <v>2</v>
      </c>
      <c r="AI154">
        <v>145040864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ROW(Source!A90)</f>
        <v>90</v>
      </c>
      <c r="B155">
        <v>145040865</v>
      </c>
      <c r="C155">
        <v>145040863</v>
      </c>
      <c r="D155">
        <v>140760225</v>
      </c>
      <c r="E155">
        <v>70</v>
      </c>
      <c r="F155">
        <v>1</v>
      </c>
      <c r="G155">
        <v>1</v>
      </c>
      <c r="H155">
        <v>1</v>
      </c>
      <c r="I155" t="s">
        <v>730</v>
      </c>
      <c r="J155" t="s">
        <v>3</v>
      </c>
      <c r="K155" t="s">
        <v>731</v>
      </c>
      <c r="L155">
        <v>1191</v>
      </c>
      <c r="N155">
        <v>1013</v>
      </c>
      <c r="O155" t="s">
        <v>725</v>
      </c>
      <c r="P155" t="s">
        <v>725</v>
      </c>
      <c r="Q155">
        <v>1</v>
      </c>
      <c r="X155">
        <v>2.95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2</v>
      </c>
      <c r="AF155" t="s">
        <v>300</v>
      </c>
      <c r="AG155">
        <v>2.7140000000000004</v>
      </c>
      <c r="AH155">
        <v>2</v>
      </c>
      <c r="AI155">
        <v>145040865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ROW(Source!A90)</f>
        <v>90</v>
      </c>
      <c r="B156">
        <v>145040866</v>
      </c>
      <c r="C156">
        <v>145040863</v>
      </c>
      <c r="D156">
        <v>140922893</v>
      </c>
      <c r="E156">
        <v>1</v>
      </c>
      <c r="F156">
        <v>1</v>
      </c>
      <c r="G156">
        <v>1</v>
      </c>
      <c r="H156">
        <v>2</v>
      </c>
      <c r="I156" t="s">
        <v>749</v>
      </c>
      <c r="J156" t="s">
        <v>750</v>
      </c>
      <c r="K156" t="s">
        <v>751</v>
      </c>
      <c r="L156">
        <v>1367</v>
      </c>
      <c r="N156">
        <v>1011</v>
      </c>
      <c r="O156" t="s">
        <v>79</v>
      </c>
      <c r="P156" t="s">
        <v>79</v>
      </c>
      <c r="Q156">
        <v>1</v>
      </c>
      <c r="X156">
        <v>1.96</v>
      </c>
      <c r="Y156">
        <v>0</v>
      </c>
      <c r="Z156">
        <v>86.4</v>
      </c>
      <c r="AA156">
        <v>13.5</v>
      </c>
      <c r="AB156">
        <v>0</v>
      </c>
      <c r="AC156">
        <v>0</v>
      </c>
      <c r="AD156">
        <v>1</v>
      </c>
      <c r="AE156">
        <v>0</v>
      </c>
      <c r="AF156" t="s">
        <v>300</v>
      </c>
      <c r="AG156">
        <v>1.8032000000000001</v>
      </c>
      <c r="AH156">
        <v>2</v>
      </c>
      <c r="AI156">
        <v>145040866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ROW(Source!A90)</f>
        <v>90</v>
      </c>
      <c r="B157">
        <v>145040867</v>
      </c>
      <c r="C157">
        <v>145040863</v>
      </c>
      <c r="D157">
        <v>140923885</v>
      </c>
      <c r="E157">
        <v>1</v>
      </c>
      <c r="F157">
        <v>1</v>
      </c>
      <c r="G157">
        <v>1</v>
      </c>
      <c r="H157">
        <v>2</v>
      </c>
      <c r="I157" t="s">
        <v>732</v>
      </c>
      <c r="J157" t="s">
        <v>733</v>
      </c>
      <c r="K157" t="s">
        <v>734</v>
      </c>
      <c r="L157">
        <v>1367</v>
      </c>
      <c r="N157">
        <v>1011</v>
      </c>
      <c r="O157" t="s">
        <v>79</v>
      </c>
      <c r="P157" t="s">
        <v>79</v>
      </c>
      <c r="Q157">
        <v>1</v>
      </c>
      <c r="X157">
        <v>0.99</v>
      </c>
      <c r="Y157">
        <v>0</v>
      </c>
      <c r="Z157">
        <v>65.709999999999994</v>
      </c>
      <c r="AA157">
        <v>11.6</v>
      </c>
      <c r="AB157">
        <v>0</v>
      </c>
      <c r="AC157">
        <v>0</v>
      </c>
      <c r="AD157">
        <v>1</v>
      </c>
      <c r="AE157">
        <v>0</v>
      </c>
      <c r="AF157" t="s">
        <v>300</v>
      </c>
      <c r="AG157">
        <v>0.91079999999999994</v>
      </c>
      <c r="AH157">
        <v>2</v>
      </c>
      <c r="AI157">
        <v>145040867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ROW(Source!A90)</f>
        <v>90</v>
      </c>
      <c r="B158">
        <v>145040868</v>
      </c>
      <c r="C158">
        <v>145040863</v>
      </c>
      <c r="D158">
        <v>140776272</v>
      </c>
      <c r="E158">
        <v>1</v>
      </c>
      <c r="F158">
        <v>1</v>
      </c>
      <c r="G158">
        <v>1</v>
      </c>
      <c r="H158">
        <v>3</v>
      </c>
      <c r="I158" t="s">
        <v>897</v>
      </c>
      <c r="J158" t="s">
        <v>898</v>
      </c>
      <c r="K158" t="s">
        <v>899</v>
      </c>
      <c r="L158">
        <v>1407</v>
      </c>
      <c r="N158">
        <v>1013</v>
      </c>
      <c r="O158" t="s">
        <v>175</v>
      </c>
      <c r="P158" t="s">
        <v>175</v>
      </c>
      <c r="Q158">
        <v>1</v>
      </c>
      <c r="X158">
        <v>2.6</v>
      </c>
      <c r="Y158">
        <v>6893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299</v>
      </c>
      <c r="AG158">
        <v>0</v>
      </c>
      <c r="AH158">
        <v>2</v>
      </c>
      <c r="AI158">
        <v>145040868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ROW(Source!A90)</f>
        <v>90</v>
      </c>
      <c r="B159">
        <v>145040869</v>
      </c>
      <c r="C159">
        <v>145040863</v>
      </c>
      <c r="D159">
        <v>140778119</v>
      </c>
      <c r="E159">
        <v>1</v>
      </c>
      <c r="F159">
        <v>1</v>
      </c>
      <c r="G159">
        <v>1</v>
      </c>
      <c r="H159">
        <v>3</v>
      </c>
      <c r="I159" t="s">
        <v>900</v>
      </c>
      <c r="J159" t="s">
        <v>901</v>
      </c>
      <c r="K159" t="s">
        <v>902</v>
      </c>
      <c r="L159">
        <v>1339</v>
      </c>
      <c r="N159">
        <v>1007</v>
      </c>
      <c r="O159" t="s">
        <v>66</v>
      </c>
      <c r="P159" t="s">
        <v>66</v>
      </c>
      <c r="Q159">
        <v>1</v>
      </c>
      <c r="X159">
        <v>0.74</v>
      </c>
      <c r="Y159">
        <v>497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299</v>
      </c>
      <c r="AG159">
        <v>0</v>
      </c>
      <c r="AH159">
        <v>2</v>
      </c>
      <c r="AI159">
        <v>145040869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ROW(Source!A90)</f>
        <v>90</v>
      </c>
      <c r="B160">
        <v>145040870</v>
      </c>
      <c r="C160">
        <v>145040863</v>
      </c>
      <c r="D160">
        <v>140793244</v>
      </c>
      <c r="E160">
        <v>1</v>
      </c>
      <c r="F160">
        <v>1</v>
      </c>
      <c r="G160">
        <v>1</v>
      </c>
      <c r="H160">
        <v>3</v>
      </c>
      <c r="I160" t="s">
        <v>903</v>
      </c>
      <c r="J160" t="s">
        <v>904</v>
      </c>
      <c r="K160" t="s">
        <v>905</v>
      </c>
      <c r="L160">
        <v>1348</v>
      </c>
      <c r="N160">
        <v>1009</v>
      </c>
      <c r="O160" t="s">
        <v>105</v>
      </c>
      <c r="P160" t="s">
        <v>105</v>
      </c>
      <c r="Q160">
        <v>1000</v>
      </c>
      <c r="X160">
        <v>0.112</v>
      </c>
      <c r="Y160">
        <v>7418.82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299</v>
      </c>
      <c r="AG160">
        <v>0</v>
      </c>
      <c r="AH160">
        <v>2</v>
      </c>
      <c r="AI160">
        <v>145040870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ROW(Source!A91)</f>
        <v>91</v>
      </c>
      <c r="B161">
        <v>145040879</v>
      </c>
      <c r="C161">
        <v>145040878</v>
      </c>
      <c r="D161">
        <v>140759988</v>
      </c>
      <c r="E161">
        <v>70</v>
      </c>
      <c r="F161">
        <v>1</v>
      </c>
      <c r="G161">
        <v>1</v>
      </c>
      <c r="H161">
        <v>1</v>
      </c>
      <c r="I161" t="s">
        <v>747</v>
      </c>
      <c r="J161" t="s">
        <v>3</v>
      </c>
      <c r="K161" t="s">
        <v>748</v>
      </c>
      <c r="L161">
        <v>1191</v>
      </c>
      <c r="N161">
        <v>1013</v>
      </c>
      <c r="O161" t="s">
        <v>725</v>
      </c>
      <c r="P161" t="s">
        <v>725</v>
      </c>
      <c r="Q161">
        <v>1</v>
      </c>
      <c r="X161">
        <v>7.1</v>
      </c>
      <c r="Y161">
        <v>0</v>
      </c>
      <c r="Z161">
        <v>0</v>
      </c>
      <c r="AA161">
        <v>0</v>
      </c>
      <c r="AB161">
        <v>8.86</v>
      </c>
      <c r="AC161">
        <v>0</v>
      </c>
      <c r="AD161">
        <v>1</v>
      </c>
      <c r="AE161">
        <v>1</v>
      </c>
      <c r="AF161" t="s">
        <v>21</v>
      </c>
      <c r="AG161">
        <v>8.1649999999999991</v>
      </c>
      <c r="AH161">
        <v>2</v>
      </c>
      <c r="AI161">
        <v>145040879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ROW(Source!A91)</f>
        <v>91</v>
      </c>
      <c r="B162">
        <v>145040880</v>
      </c>
      <c r="C162">
        <v>145040878</v>
      </c>
      <c r="D162">
        <v>140924121</v>
      </c>
      <c r="E162">
        <v>1</v>
      </c>
      <c r="F162">
        <v>1</v>
      </c>
      <c r="G162">
        <v>1</v>
      </c>
      <c r="H162">
        <v>2</v>
      </c>
      <c r="I162" t="s">
        <v>906</v>
      </c>
      <c r="J162" t="s">
        <v>907</v>
      </c>
      <c r="K162" t="s">
        <v>908</v>
      </c>
      <c r="L162">
        <v>1367</v>
      </c>
      <c r="N162">
        <v>1011</v>
      </c>
      <c r="O162" t="s">
        <v>79</v>
      </c>
      <c r="P162" t="s">
        <v>79</v>
      </c>
      <c r="Q162">
        <v>1</v>
      </c>
      <c r="X162">
        <v>1.1499999999999999</v>
      </c>
      <c r="Y162">
        <v>0</v>
      </c>
      <c r="Z162">
        <v>48.81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21</v>
      </c>
      <c r="AG162">
        <v>1.3224999999999998</v>
      </c>
      <c r="AH162">
        <v>2</v>
      </c>
      <c r="AI162">
        <v>145040880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ROW(Source!A91)</f>
        <v>91</v>
      </c>
      <c r="B163">
        <v>145040881</v>
      </c>
      <c r="C163">
        <v>145040878</v>
      </c>
      <c r="D163">
        <v>140924577</v>
      </c>
      <c r="E163">
        <v>1</v>
      </c>
      <c r="F163">
        <v>1</v>
      </c>
      <c r="G163">
        <v>1</v>
      </c>
      <c r="H163">
        <v>2</v>
      </c>
      <c r="I163" t="s">
        <v>909</v>
      </c>
      <c r="J163" t="s">
        <v>910</v>
      </c>
      <c r="K163" t="s">
        <v>911</v>
      </c>
      <c r="L163">
        <v>1367</v>
      </c>
      <c r="N163">
        <v>1011</v>
      </c>
      <c r="O163" t="s">
        <v>79</v>
      </c>
      <c r="P163" t="s">
        <v>79</v>
      </c>
      <c r="Q163">
        <v>1</v>
      </c>
      <c r="X163">
        <v>2.2999999999999998</v>
      </c>
      <c r="Y163">
        <v>0</v>
      </c>
      <c r="Z163">
        <v>1.53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21</v>
      </c>
      <c r="AG163">
        <v>2.6449999999999996</v>
      </c>
      <c r="AH163">
        <v>2</v>
      </c>
      <c r="AI163">
        <v>145040881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ROW(Source!A92)</f>
        <v>92</v>
      </c>
      <c r="B164">
        <v>145040883</v>
      </c>
      <c r="C164">
        <v>145040882</v>
      </c>
      <c r="D164">
        <v>140759956</v>
      </c>
      <c r="E164">
        <v>70</v>
      </c>
      <c r="F164">
        <v>1</v>
      </c>
      <c r="G164">
        <v>1</v>
      </c>
      <c r="H164">
        <v>1</v>
      </c>
      <c r="I164" t="s">
        <v>912</v>
      </c>
      <c r="J164" t="s">
        <v>3</v>
      </c>
      <c r="K164" t="s">
        <v>913</v>
      </c>
      <c r="L164">
        <v>1191</v>
      </c>
      <c r="N164">
        <v>1013</v>
      </c>
      <c r="O164" t="s">
        <v>725</v>
      </c>
      <c r="P164" t="s">
        <v>725</v>
      </c>
      <c r="Q164">
        <v>1</v>
      </c>
      <c r="X164">
        <v>14.63</v>
      </c>
      <c r="Y164">
        <v>0</v>
      </c>
      <c r="Z164">
        <v>0</v>
      </c>
      <c r="AA164">
        <v>0</v>
      </c>
      <c r="AB164">
        <v>8.17</v>
      </c>
      <c r="AC164">
        <v>0</v>
      </c>
      <c r="AD164">
        <v>1</v>
      </c>
      <c r="AE164">
        <v>1</v>
      </c>
      <c r="AF164" t="s">
        <v>21</v>
      </c>
      <c r="AG164">
        <v>16.8245</v>
      </c>
      <c r="AH164">
        <v>2</v>
      </c>
      <c r="AI164">
        <v>145040883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ROW(Source!A92)</f>
        <v>92</v>
      </c>
      <c r="B165">
        <v>145040884</v>
      </c>
      <c r="C165">
        <v>145040882</v>
      </c>
      <c r="D165">
        <v>140923081</v>
      </c>
      <c r="E165">
        <v>1</v>
      </c>
      <c r="F165">
        <v>1</v>
      </c>
      <c r="G165">
        <v>1</v>
      </c>
      <c r="H165">
        <v>2</v>
      </c>
      <c r="I165" t="s">
        <v>914</v>
      </c>
      <c r="J165" t="s">
        <v>915</v>
      </c>
      <c r="K165" t="s">
        <v>916</v>
      </c>
      <c r="L165">
        <v>1367</v>
      </c>
      <c r="N165">
        <v>1011</v>
      </c>
      <c r="O165" t="s">
        <v>79</v>
      </c>
      <c r="P165" t="s">
        <v>79</v>
      </c>
      <c r="Q165">
        <v>1</v>
      </c>
      <c r="X165">
        <v>0.32</v>
      </c>
      <c r="Y165">
        <v>0</v>
      </c>
      <c r="Z165">
        <v>6.66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21</v>
      </c>
      <c r="AG165">
        <v>0.36799999999999999</v>
      </c>
      <c r="AH165">
        <v>2</v>
      </c>
      <c r="AI165">
        <v>145040884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ROW(Source!A92)</f>
        <v>92</v>
      </c>
      <c r="B166">
        <v>145040885</v>
      </c>
      <c r="C166">
        <v>145040882</v>
      </c>
      <c r="D166">
        <v>140778120</v>
      </c>
      <c r="E166">
        <v>1</v>
      </c>
      <c r="F166">
        <v>1</v>
      </c>
      <c r="G166">
        <v>1</v>
      </c>
      <c r="H166">
        <v>3</v>
      </c>
      <c r="I166" t="s">
        <v>311</v>
      </c>
      <c r="J166" t="s">
        <v>313</v>
      </c>
      <c r="K166" t="s">
        <v>312</v>
      </c>
      <c r="L166">
        <v>1339</v>
      </c>
      <c r="N166">
        <v>1007</v>
      </c>
      <c r="O166" t="s">
        <v>66</v>
      </c>
      <c r="P166" t="s">
        <v>66</v>
      </c>
      <c r="Q166">
        <v>1</v>
      </c>
      <c r="X166">
        <v>0.24</v>
      </c>
      <c r="Y166">
        <v>519.79999999999995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0.24</v>
      </c>
      <c r="AH166">
        <v>2</v>
      </c>
      <c r="AI166">
        <v>145040885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ROW(Source!A92)</f>
        <v>92</v>
      </c>
      <c r="B167">
        <v>145040886</v>
      </c>
      <c r="C167">
        <v>145040882</v>
      </c>
      <c r="D167">
        <v>140761785</v>
      </c>
      <c r="E167">
        <v>70</v>
      </c>
      <c r="F167">
        <v>1</v>
      </c>
      <c r="G167">
        <v>1</v>
      </c>
      <c r="H167">
        <v>3</v>
      </c>
      <c r="I167" t="s">
        <v>917</v>
      </c>
      <c r="J167" t="s">
        <v>3</v>
      </c>
      <c r="K167" t="s">
        <v>918</v>
      </c>
      <c r="L167">
        <v>1407</v>
      </c>
      <c r="N167">
        <v>1013</v>
      </c>
      <c r="O167" t="s">
        <v>175</v>
      </c>
      <c r="P167" t="s">
        <v>175</v>
      </c>
      <c r="Q167">
        <v>1</v>
      </c>
      <c r="X167">
        <v>0.4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 t="s">
        <v>3</v>
      </c>
      <c r="AG167">
        <v>0.4</v>
      </c>
      <c r="AH167">
        <v>2</v>
      </c>
      <c r="AI167">
        <v>145040886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ROW(Source!A96)</f>
        <v>96</v>
      </c>
      <c r="B168">
        <v>145040891</v>
      </c>
      <c r="C168">
        <v>145040890</v>
      </c>
      <c r="D168">
        <v>140759979</v>
      </c>
      <c r="E168">
        <v>70</v>
      </c>
      <c r="F168">
        <v>1</v>
      </c>
      <c r="G168">
        <v>1</v>
      </c>
      <c r="H168">
        <v>1</v>
      </c>
      <c r="I168" t="s">
        <v>745</v>
      </c>
      <c r="J168" t="s">
        <v>3</v>
      </c>
      <c r="K168" t="s">
        <v>746</v>
      </c>
      <c r="L168">
        <v>1191</v>
      </c>
      <c r="N168">
        <v>1013</v>
      </c>
      <c r="O168" t="s">
        <v>725</v>
      </c>
      <c r="P168" t="s">
        <v>725</v>
      </c>
      <c r="Q168">
        <v>1</v>
      </c>
      <c r="X168">
        <v>5.36</v>
      </c>
      <c r="Y168">
        <v>0</v>
      </c>
      <c r="Z168">
        <v>0</v>
      </c>
      <c r="AA168">
        <v>0</v>
      </c>
      <c r="AB168">
        <v>8.5299999999999994</v>
      </c>
      <c r="AC168">
        <v>0</v>
      </c>
      <c r="AD168">
        <v>1</v>
      </c>
      <c r="AE168">
        <v>1</v>
      </c>
      <c r="AF168" t="s">
        <v>21</v>
      </c>
      <c r="AG168">
        <v>6.1639999999999997</v>
      </c>
      <c r="AH168">
        <v>2</v>
      </c>
      <c r="AI168">
        <v>145040891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ROW(Source!A96)</f>
        <v>96</v>
      </c>
      <c r="B169">
        <v>145040892</v>
      </c>
      <c r="C169">
        <v>145040890</v>
      </c>
      <c r="D169">
        <v>140765020</v>
      </c>
      <c r="E169">
        <v>70</v>
      </c>
      <c r="F169">
        <v>1</v>
      </c>
      <c r="G169">
        <v>1</v>
      </c>
      <c r="H169">
        <v>3</v>
      </c>
      <c r="I169" t="s">
        <v>726</v>
      </c>
      <c r="J169" t="s">
        <v>3</v>
      </c>
      <c r="K169" t="s">
        <v>727</v>
      </c>
      <c r="L169">
        <v>1348</v>
      </c>
      <c r="N169">
        <v>1009</v>
      </c>
      <c r="O169" t="s">
        <v>105</v>
      </c>
      <c r="P169" t="s">
        <v>105</v>
      </c>
      <c r="Q169">
        <v>1000</v>
      </c>
      <c r="X169">
        <v>6.0000000000000001E-3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 t="s">
        <v>3</v>
      </c>
      <c r="AG169">
        <v>6.0000000000000001E-3</v>
      </c>
      <c r="AH169">
        <v>2</v>
      </c>
      <c r="AI169">
        <v>145040892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ROW(Source!A98)</f>
        <v>98</v>
      </c>
      <c r="B170">
        <v>145040906</v>
      </c>
      <c r="C170">
        <v>145040896</v>
      </c>
      <c r="D170">
        <v>140759956</v>
      </c>
      <c r="E170">
        <v>70</v>
      </c>
      <c r="F170">
        <v>1</v>
      </c>
      <c r="G170">
        <v>1</v>
      </c>
      <c r="H170">
        <v>1</v>
      </c>
      <c r="I170" t="s">
        <v>912</v>
      </c>
      <c r="J170" t="s">
        <v>3</v>
      </c>
      <c r="K170" t="s">
        <v>913</v>
      </c>
      <c r="L170">
        <v>1191</v>
      </c>
      <c r="N170">
        <v>1013</v>
      </c>
      <c r="O170" t="s">
        <v>725</v>
      </c>
      <c r="P170" t="s">
        <v>725</v>
      </c>
      <c r="Q170">
        <v>1</v>
      </c>
      <c r="X170">
        <v>7.1</v>
      </c>
      <c r="Y170">
        <v>0</v>
      </c>
      <c r="Z170">
        <v>0</v>
      </c>
      <c r="AA170">
        <v>0</v>
      </c>
      <c r="AB170">
        <v>8.17</v>
      </c>
      <c r="AC170">
        <v>0</v>
      </c>
      <c r="AD170">
        <v>1</v>
      </c>
      <c r="AE170">
        <v>1</v>
      </c>
      <c r="AF170" t="s">
        <v>21</v>
      </c>
      <c r="AG170">
        <v>8.1649999999999991</v>
      </c>
      <c r="AH170">
        <v>2</v>
      </c>
      <c r="AI170">
        <v>145040906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ROW(Source!A98)</f>
        <v>98</v>
      </c>
      <c r="B171">
        <v>145040907</v>
      </c>
      <c r="C171">
        <v>145040896</v>
      </c>
      <c r="D171">
        <v>140923081</v>
      </c>
      <c r="E171">
        <v>1</v>
      </c>
      <c r="F171">
        <v>1</v>
      </c>
      <c r="G171">
        <v>1</v>
      </c>
      <c r="H171">
        <v>2</v>
      </c>
      <c r="I171" t="s">
        <v>914</v>
      </c>
      <c r="J171" t="s">
        <v>915</v>
      </c>
      <c r="K171" t="s">
        <v>916</v>
      </c>
      <c r="L171">
        <v>1367</v>
      </c>
      <c r="N171">
        <v>1011</v>
      </c>
      <c r="O171" t="s">
        <v>79</v>
      </c>
      <c r="P171" t="s">
        <v>79</v>
      </c>
      <c r="Q171">
        <v>1</v>
      </c>
      <c r="X171">
        <v>0.32</v>
      </c>
      <c r="Y171">
        <v>0</v>
      </c>
      <c r="Z171">
        <v>6.66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21</v>
      </c>
      <c r="AG171">
        <v>0.36799999999999999</v>
      </c>
      <c r="AH171">
        <v>2</v>
      </c>
      <c r="AI171">
        <v>145040907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ROW(Source!A98)</f>
        <v>98</v>
      </c>
      <c r="B172">
        <v>145040908</v>
      </c>
      <c r="C172">
        <v>145040896</v>
      </c>
      <c r="D172">
        <v>140778120</v>
      </c>
      <c r="E172">
        <v>1</v>
      </c>
      <c r="F172">
        <v>1</v>
      </c>
      <c r="G172">
        <v>1</v>
      </c>
      <c r="H172">
        <v>3</v>
      </c>
      <c r="I172" t="s">
        <v>311</v>
      </c>
      <c r="J172" t="s">
        <v>313</v>
      </c>
      <c r="K172" t="s">
        <v>312</v>
      </c>
      <c r="L172">
        <v>1339</v>
      </c>
      <c r="N172">
        <v>1007</v>
      </c>
      <c r="O172" t="s">
        <v>66</v>
      </c>
      <c r="P172" t="s">
        <v>66</v>
      </c>
      <c r="Q172">
        <v>1</v>
      </c>
      <c r="X172">
        <v>0.24</v>
      </c>
      <c r="Y172">
        <v>519.79999999999995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0.24</v>
      </c>
      <c r="AH172">
        <v>2</v>
      </c>
      <c r="AI172">
        <v>145040908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ROW(Source!A98)</f>
        <v>98</v>
      </c>
      <c r="B173">
        <v>145040909</v>
      </c>
      <c r="C173">
        <v>145040896</v>
      </c>
      <c r="D173">
        <v>140761785</v>
      </c>
      <c r="E173">
        <v>70</v>
      </c>
      <c r="F173">
        <v>1</v>
      </c>
      <c r="G173">
        <v>1</v>
      </c>
      <c r="H173">
        <v>3</v>
      </c>
      <c r="I173" t="s">
        <v>917</v>
      </c>
      <c r="J173" t="s">
        <v>3</v>
      </c>
      <c r="K173" t="s">
        <v>918</v>
      </c>
      <c r="L173">
        <v>1407</v>
      </c>
      <c r="N173">
        <v>1013</v>
      </c>
      <c r="O173" t="s">
        <v>175</v>
      </c>
      <c r="P173" t="s">
        <v>175</v>
      </c>
      <c r="Q173">
        <v>1</v>
      </c>
      <c r="X173">
        <v>0.4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 t="s">
        <v>3</v>
      </c>
      <c r="AG173">
        <v>0.4</v>
      </c>
      <c r="AH173">
        <v>2</v>
      </c>
      <c r="AI173">
        <v>145040909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ROW(Source!A102)</f>
        <v>102</v>
      </c>
      <c r="B174">
        <v>145070828</v>
      </c>
      <c r="C174">
        <v>145070827</v>
      </c>
      <c r="D174">
        <v>140759985</v>
      </c>
      <c r="E174">
        <v>70</v>
      </c>
      <c r="F174">
        <v>1</v>
      </c>
      <c r="G174">
        <v>1</v>
      </c>
      <c r="H174">
        <v>1</v>
      </c>
      <c r="I174" t="s">
        <v>848</v>
      </c>
      <c r="J174" t="s">
        <v>3</v>
      </c>
      <c r="K174" t="s">
        <v>849</v>
      </c>
      <c r="L174">
        <v>1191</v>
      </c>
      <c r="N174">
        <v>1013</v>
      </c>
      <c r="O174" t="s">
        <v>725</v>
      </c>
      <c r="P174" t="s">
        <v>725</v>
      </c>
      <c r="Q174">
        <v>1</v>
      </c>
      <c r="X174">
        <v>134.72999999999999</v>
      </c>
      <c r="Y174">
        <v>0</v>
      </c>
      <c r="Z174">
        <v>0</v>
      </c>
      <c r="AA174">
        <v>0</v>
      </c>
      <c r="AB174">
        <v>8.74</v>
      </c>
      <c r="AC174">
        <v>0</v>
      </c>
      <c r="AD174">
        <v>1</v>
      </c>
      <c r="AE174">
        <v>1</v>
      </c>
      <c r="AF174" t="s">
        <v>91</v>
      </c>
      <c r="AG174">
        <v>178.18042499999996</v>
      </c>
      <c r="AH174">
        <v>2</v>
      </c>
      <c r="AI174">
        <v>145070828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ROW(Source!A102)</f>
        <v>102</v>
      </c>
      <c r="B175">
        <v>145070829</v>
      </c>
      <c r="C175">
        <v>145070827</v>
      </c>
      <c r="D175">
        <v>140760225</v>
      </c>
      <c r="E175">
        <v>70</v>
      </c>
      <c r="F175">
        <v>1</v>
      </c>
      <c r="G175">
        <v>1</v>
      </c>
      <c r="H175">
        <v>1</v>
      </c>
      <c r="I175" t="s">
        <v>730</v>
      </c>
      <c r="J175" t="s">
        <v>3</v>
      </c>
      <c r="K175" t="s">
        <v>731</v>
      </c>
      <c r="L175">
        <v>1191</v>
      </c>
      <c r="N175">
        <v>1013</v>
      </c>
      <c r="O175" t="s">
        <v>725</v>
      </c>
      <c r="P175" t="s">
        <v>725</v>
      </c>
      <c r="Q175">
        <v>1</v>
      </c>
      <c r="X175">
        <v>3.94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2</v>
      </c>
      <c r="AF175" t="s">
        <v>339</v>
      </c>
      <c r="AG175">
        <v>5.6637499999999994</v>
      </c>
      <c r="AH175">
        <v>2</v>
      </c>
      <c r="AI175">
        <v>145070829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ROW(Source!A102)</f>
        <v>102</v>
      </c>
      <c r="B176">
        <v>145070830</v>
      </c>
      <c r="C176">
        <v>145070827</v>
      </c>
      <c r="D176">
        <v>140923145</v>
      </c>
      <c r="E176">
        <v>1</v>
      </c>
      <c r="F176">
        <v>1</v>
      </c>
      <c r="G176">
        <v>1</v>
      </c>
      <c r="H176">
        <v>2</v>
      </c>
      <c r="I176" t="s">
        <v>826</v>
      </c>
      <c r="J176" t="s">
        <v>827</v>
      </c>
      <c r="K176" t="s">
        <v>828</v>
      </c>
      <c r="L176">
        <v>1367</v>
      </c>
      <c r="N176">
        <v>1011</v>
      </c>
      <c r="O176" t="s">
        <v>79</v>
      </c>
      <c r="P176" t="s">
        <v>79</v>
      </c>
      <c r="Q176">
        <v>1</v>
      </c>
      <c r="X176">
        <v>0.66</v>
      </c>
      <c r="Y176">
        <v>0</v>
      </c>
      <c r="Z176">
        <v>31.26</v>
      </c>
      <c r="AA176">
        <v>13.5</v>
      </c>
      <c r="AB176">
        <v>0</v>
      </c>
      <c r="AC176">
        <v>0</v>
      </c>
      <c r="AD176">
        <v>1</v>
      </c>
      <c r="AE176">
        <v>0</v>
      </c>
      <c r="AF176" t="s">
        <v>339</v>
      </c>
      <c r="AG176">
        <v>0.94874999999999998</v>
      </c>
      <c r="AH176">
        <v>2</v>
      </c>
      <c r="AI176">
        <v>145070830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ROW(Source!A102)</f>
        <v>102</v>
      </c>
      <c r="B177">
        <v>145070831</v>
      </c>
      <c r="C177">
        <v>145070827</v>
      </c>
      <c r="D177">
        <v>140923885</v>
      </c>
      <c r="E177">
        <v>1</v>
      </c>
      <c r="F177">
        <v>1</v>
      </c>
      <c r="G177">
        <v>1</v>
      </c>
      <c r="H177">
        <v>2</v>
      </c>
      <c r="I177" t="s">
        <v>732</v>
      </c>
      <c r="J177" t="s">
        <v>733</v>
      </c>
      <c r="K177" t="s">
        <v>734</v>
      </c>
      <c r="L177">
        <v>1367</v>
      </c>
      <c r="N177">
        <v>1011</v>
      </c>
      <c r="O177" t="s">
        <v>79</v>
      </c>
      <c r="P177" t="s">
        <v>79</v>
      </c>
      <c r="Q177">
        <v>1</v>
      </c>
      <c r="X177">
        <v>3.28</v>
      </c>
      <c r="Y177">
        <v>0</v>
      </c>
      <c r="Z177">
        <v>65.709999999999994</v>
      </c>
      <c r="AA177">
        <v>11.6</v>
      </c>
      <c r="AB177">
        <v>0</v>
      </c>
      <c r="AC177">
        <v>0</v>
      </c>
      <c r="AD177">
        <v>1</v>
      </c>
      <c r="AE177">
        <v>0</v>
      </c>
      <c r="AF177" t="s">
        <v>339</v>
      </c>
      <c r="AG177">
        <v>4.714999999999999</v>
      </c>
      <c r="AH177">
        <v>2</v>
      </c>
      <c r="AI177">
        <v>145070831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ROW(Source!A102)</f>
        <v>102</v>
      </c>
      <c r="B178">
        <v>145070832</v>
      </c>
      <c r="C178">
        <v>145070827</v>
      </c>
      <c r="D178">
        <v>140772930</v>
      </c>
      <c r="E178">
        <v>1</v>
      </c>
      <c r="F178">
        <v>1</v>
      </c>
      <c r="G178">
        <v>1</v>
      </c>
      <c r="H178">
        <v>3</v>
      </c>
      <c r="I178" t="s">
        <v>919</v>
      </c>
      <c r="J178" t="s">
        <v>920</v>
      </c>
      <c r="K178" t="s">
        <v>921</v>
      </c>
      <c r="L178">
        <v>1301</v>
      </c>
      <c r="N178">
        <v>1003</v>
      </c>
      <c r="O178" t="s">
        <v>213</v>
      </c>
      <c r="P178" t="s">
        <v>213</v>
      </c>
      <c r="Q178">
        <v>1</v>
      </c>
      <c r="X178">
        <v>230</v>
      </c>
      <c r="Y178">
        <v>6.38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230</v>
      </c>
      <c r="AH178">
        <v>2</v>
      </c>
      <c r="AI178">
        <v>145070832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ROW(Source!A102)</f>
        <v>102</v>
      </c>
      <c r="B179">
        <v>145070833</v>
      </c>
      <c r="C179">
        <v>145070827</v>
      </c>
      <c r="D179">
        <v>140772931</v>
      </c>
      <c r="E179">
        <v>1</v>
      </c>
      <c r="F179">
        <v>1</v>
      </c>
      <c r="G179">
        <v>1</v>
      </c>
      <c r="H179">
        <v>3</v>
      </c>
      <c r="I179" t="s">
        <v>922</v>
      </c>
      <c r="J179" t="s">
        <v>923</v>
      </c>
      <c r="K179" t="s">
        <v>924</v>
      </c>
      <c r="L179">
        <v>1301</v>
      </c>
      <c r="N179">
        <v>1003</v>
      </c>
      <c r="O179" t="s">
        <v>213</v>
      </c>
      <c r="P179" t="s">
        <v>213</v>
      </c>
      <c r="Q179">
        <v>1</v>
      </c>
      <c r="X179">
        <v>50</v>
      </c>
      <c r="Y179">
        <v>7.95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50</v>
      </c>
      <c r="AH179">
        <v>2</v>
      </c>
      <c r="AI179">
        <v>145070833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ROW(Source!A102)</f>
        <v>102</v>
      </c>
      <c r="B180">
        <v>145070834</v>
      </c>
      <c r="C180">
        <v>145070827</v>
      </c>
      <c r="D180">
        <v>140773017</v>
      </c>
      <c r="E180">
        <v>1</v>
      </c>
      <c r="F180">
        <v>1</v>
      </c>
      <c r="G180">
        <v>1</v>
      </c>
      <c r="H180">
        <v>3</v>
      </c>
      <c r="I180" t="s">
        <v>925</v>
      </c>
      <c r="J180" t="s">
        <v>926</v>
      </c>
      <c r="K180" t="s">
        <v>927</v>
      </c>
      <c r="L180">
        <v>1302</v>
      </c>
      <c r="N180">
        <v>1003</v>
      </c>
      <c r="O180" t="s">
        <v>928</v>
      </c>
      <c r="P180" t="s">
        <v>928</v>
      </c>
      <c r="Q180">
        <v>10</v>
      </c>
      <c r="X180">
        <v>15</v>
      </c>
      <c r="Y180">
        <v>64.099999999999994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15</v>
      </c>
      <c r="AH180">
        <v>2</v>
      </c>
      <c r="AI180">
        <v>145070834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ROW(Source!A102)</f>
        <v>102</v>
      </c>
      <c r="B181">
        <v>145070835</v>
      </c>
      <c r="C181">
        <v>145070827</v>
      </c>
      <c r="D181">
        <v>140775142</v>
      </c>
      <c r="E181">
        <v>1</v>
      </c>
      <c r="F181">
        <v>1</v>
      </c>
      <c r="G181">
        <v>1</v>
      </c>
      <c r="H181">
        <v>3</v>
      </c>
      <c r="I181" t="s">
        <v>929</v>
      </c>
      <c r="J181" t="s">
        <v>930</v>
      </c>
      <c r="K181" t="s">
        <v>931</v>
      </c>
      <c r="L181">
        <v>1455</v>
      </c>
      <c r="N181">
        <v>1013</v>
      </c>
      <c r="O181" t="s">
        <v>855</v>
      </c>
      <c r="P181" t="s">
        <v>855</v>
      </c>
      <c r="Q181">
        <v>1</v>
      </c>
      <c r="X181">
        <v>30</v>
      </c>
      <c r="Y181">
        <v>7.03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30</v>
      </c>
      <c r="AH181">
        <v>2</v>
      </c>
      <c r="AI181">
        <v>145070835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ROW(Source!A102)</f>
        <v>102</v>
      </c>
      <c r="B182">
        <v>145070836</v>
      </c>
      <c r="C182">
        <v>145070827</v>
      </c>
      <c r="D182">
        <v>140762772</v>
      </c>
      <c r="E182">
        <v>70</v>
      </c>
      <c r="F182">
        <v>1</v>
      </c>
      <c r="G182">
        <v>1</v>
      </c>
      <c r="H182">
        <v>3</v>
      </c>
      <c r="I182" t="s">
        <v>932</v>
      </c>
      <c r="J182" t="s">
        <v>3</v>
      </c>
      <c r="K182" t="s">
        <v>933</v>
      </c>
      <c r="L182">
        <v>1327</v>
      </c>
      <c r="N182">
        <v>1005</v>
      </c>
      <c r="O182" t="s">
        <v>131</v>
      </c>
      <c r="P182" t="s">
        <v>131</v>
      </c>
      <c r="Q182">
        <v>1</v>
      </c>
      <c r="X182">
        <v>100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 t="s">
        <v>3</v>
      </c>
      <c r="AG182">
        <v>100</v>
      </c>
      <c r="AH182">
        <v>2</v>
      </c>
      <c r="AI182">
        <v>145070836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ROW(Source!A102)</f>
        <v>102</v>
      </c>
      <c r="B183">
        <v>145070837</v>
      </c>
      <c r="C183">
        <v>145070827</v>
      </c>
      <c r="D183">
        <v>140798319</v>
      </c>
      <c r="E183">
        <v>1</v>
      </c>
      <c r="F183">
        <v>1</v>
      </c>
      <c r="G183">
        <v>1</v>
      </c>
      <c r="H183">
        <v>3</v>
      </c>
      <c r="I183" t="s">
        <v>934</v>
      </c>
      <c r="J183" t="s">
        <v>935</v>
      </c>
      <c r="K183" t="s">
        <v>936</v>
      </c>
      <c r="L183">
        <v>1425</v>
      </c>
      <c r="N183">
        <v>1013</v>
      </c>
      <c r="O183" t="s">
        <v>270</v>
      </c>
      <c r="P183" t="s">
        <v>270</v>
      </c>
      <c r="Q183">
        <v>1</v>
      </c>
      <c r="X183">
        <v>8</v>
      </c>
      <c r="Y183">
        <v>50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8</v>
      </c>
      <c r="AH183">
        <v>2</v>
      </c>
      <c r="AI183">
        <v>145070837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ROW(Source!A102)</f>
        <v>102</v>
      </c>
      <c r="B184">
        <v>145070838</v>
      </c>
      <c r="C184">
        <v>145070827</v>
      </c>
      <c r="D184">
        <v>140804861</v>
      </c>
      <c r="E184">
        <v>1</v>
      </c>
      <c r="F184">
        <v>1</v>
      </c>
      <c r="G184">
        <v>1</v>
      </c>
      <c r="H184">
        <v>3</v>
      </c>
      <c r="I184" t="s">
        <v>937</v>
      </c>
      <c r="J184" t="s">
        <v>938</v>
      </c>
      <c r="K184" t="s">
        <v>939</v>
      </c>
      <c r="L184">
        <v>1296</v>
      </c>
      <c r="N184">
        <v>1002</v>
      </c>
      <c r="O184" t="s">
        <v>147</v>
      </c>
      <c r="P184" t="s">
        <v>147</v>
      </c>
      <c r="Q184">
        <v>1</v>
      </c>
      <c r="X184">
        <v>49.5</v>
      </c>
      <c r="Y184">
        <v>46.86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49.5</v>
      </c>
      <c r="AH184">
        <v>2</v>
      </c>
      <c r="AI184">
        <v>145070838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ROW(Source!A104)</f>
        <v>104</v>
      </c>
      <c r="B185">
        <v>145070839</v>
      </c>
      <c r="C185">
        <v>145041065</v>
      </c>
      <c r="D185">
        <v>140759985</v>
      </c>
      <c r="E185">
        <v>70</v>
      </c>
      <c r="F185">
        <v>1</v>
      </c>
      <c r="G185">
        <v>1</v>
      </c>
      <c r="H185">
        <v>1</v>
      </c>
      <c r="I185" t="s">
        <v>848</v>
      </c>
      <c r="J185" t="s">
        <v>3</v>
      </c>
      <c r="K185" t="s">
        <v>849</v>
      </c>
      <c r="L185">
        <v>1191</v>
      </c>
      <c r="N185">
        <v>1013</v>
      </c>
      <c r="O185" t="s">
        <v>725</v>
      </c>
      <c r="P185" t="s">
        <v>725</v>
      </c>
      <c r="Q185">
        <v>1</v>
      </c>
      <c r="X185">
        <v>167.37</v>
      </c>
      <c r="Y185">
        <v>0</v>
      </c>
      <c r="Z185">
        <v>0</v>
      </c>
      <c r="AA185">
        <v>0</v>
      </c>
      <c r="AB185">
        <v>8.74</v>
      </c>
      <c r="AC185">
        <v>0</v>
      </c>
      <c r="AD185">
        <v>1</v>
      </c>
      <c r="AE185">
        <v>1</v>
      </c>
      <c r="AF185" t="s">
        <v>91</v>
      </c>
      <c r="AG185">
        <v>221.34682499999997</v>
      </c>
      <c r="AH185">
        <v>2</v>
      </c>
      <c r="AI185">
        <v>145070839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ROW(Source!A104)</f>
        <v>104</v>
      </c>
      <c r="B186">
        <v>145070840</v>
      </c>
      <c r="C186">
        <v>145041065</v>
      </c>
      <c r="D186">
        <v>140760225</v>
      </c>
      <c r="E186">
        <v>70</v>
      </c>
      <c r="F186">
        <v>1</v>
      </c>
      <c r="G186">
        <v>1</v>
      </c>
      <c r="H186">
        <v>1</v>
      </c>
      <c r="I186" t="s">
        <v>730</v>
      </c>
      <c r="J186" t="s">
        <v>3</v>
      </c>
      <c r="K186" t="s">
        <v>731</v>
      </c>
      <c r="L186">
        <v>1191</v>
      </c>
      <c r="N186">
        <v>1013</v>
      </c>
      <c r="O186" t="s">
        <v>725</v>
      </c>
      <c r="P186" t="s">
        <v>725</v>
      </c>
      <c r="Q186">
        <v>1</v>
      </c>
      <c r="X186">
        <v>5.04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2</v>
      </c>
      <c r="AF186" t="s">
        <v>339</v>
      </c>
      <c r="AG186">
        <v>7.2449999999999992</v>
      </c>
      <c r="AH186">
        <v>2</v>
      </c>
      <c r="AI186">
        <v>145070840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ROW(Source!A104)</f>
        <v>104</v>
      </c>
      <c r="B187">
        <v>145070841</v>
      </c>
      <c r="C187">
        <v>145041065</v>
      </c>
      <c r="D187">
        <v>140923145</v>
      </c>
      <c r="E187">
        <v>1</v>
      </c>
      <c r="F187">
        <v>1</v>
      </c>
      <c r="G187">
        <v>1</v>
      </c>
      <c r="H187">
        <v>2</v>
      </c>
      <c r="I187" t="s">
        <v>826</v>
      </c>
      <c r="J187" t="s">
        <v>827</v>
      </c>
      <c r="K187" t="s">
        <v>828</v>
      </c>
      <c r="L187">
        <v>1367</v>
      </c>
      <c r="N187">
        <v>1011</v>
      </c>
      <c r="O187" t="s">
        <v>79</v>
      </c>
      <c r="P187" t="s">
        <v>79</v>
      </c>
      <c r="Q187">
        <v>1</v>
      </c>
      <c r="X187">
        <v>1.76</v>
      </c>
      <c r="Y187">
        <v>0</v>
      </c>
      <c r="Z187">
        <v>31.26</v>
      </c>
      <c r="AA187">
        <v>13.5</v>
      </c>
      <c r="AB187">
        <v>0</v>
      </c>
      <c r="AC187">
        <v>0</v>
      </c>
      <c r="AD187">
        <v>1</v>
      </c>
      <c r="AE187">
        <v>0</v>
      </c>
      <c r="AF187" t="s">
        <v>339</v>
      </c>
      <c r="AG187">
        <v>2.5300000000000002</v>
      </c>
      <c r="AH187">
        <v>2</v>
      </c>
      <c r="AI187">
        <v>145070841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ROW(Source!A104)</f>
        <v>104</v>
      </c>
      <c r="B188">
        <v>145070842</v>
      </c>
      <c r="C188">
        <v>145041065</v>
      </c>
      <c r="D188">
        <v>140923885</v>
      </c>
      <c r="E188">
        <v>1</v>
      </c>
      <c r="F188">
        <v>1</v>
      </c>
      <c r="G188">
        <v>1</v>
      </c>
      <c r="H188">
        <v>2</v>
      </c>
      <c r="I188" t="s">
        <v>732</v>
      </c>
      <c r="J188" t="s">
        <v>733</v>
      </c>
      <c r="K188" t="s">
        <v>734</v>
      </c>
      <c r="L188">
        <v>1367</v>
      </c>
      <c r="N188">
        <v>1011</v>
      </c>
      <c r="O188" t="s">
        <v>79</v>
      </c>
      <c r="P188" t="s">
        <v>79</v>
      </c>
      <c r="Q188">
        <v>1</v>
      </c>
      <c r="X188">
        <v>3.28</v>
      </c>
      <c r="Y188">
        <v>0</v>
      </c>
      <c r="Z188">
        <v>65.709999999999994</v>
      </c>
      <c r="AA188">
        <v>11.6</v>
      </c>
      <c r="AB188">
        <v>0</v>
      </c>
      <c r="AC188">
        <v>0</v>
      </c>
      <c r="AD188">
        <v>1</v>
      </c>
      <c r="AE188">
        <v>0</v>
      </c>
      <c r="AF188" t="s">
        <v>339</v>
      </c>
      <c r="AG188">
        <v>4.714999999999999</v>
      </c>
      <c r="AH188">
        <v>2</v>
      </c>
      <c r="AI188">
        <v>145070842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ROW(Source!A104)</f>
        <v>104</v>
      </c>
      <c r="B189">
        <v>145070843</v>
      </c>
      <c r="C189">
        <v>145041065</v>
      </c>
      <c r="D189">
        <v>140772930</v>
      </c>
      <c r="E189">
        <v>1</v>
      </c>
      <c r="F189">
        <v>1</v>
      </c>
      <c r="G189">
        <v>1</v>
      </c>
      <c r="H189">
        <v>3</v>
      </c>
      <c r="I189" t="s">
        <v>919</v>
      </c>
      <c r="J189" t="s">
        <v>920</v>
      </c>
      <c r="K189" t="s">
        <v>921</v>
      </c>
      <c r="L189">
        <v>1301</v>
      </c>
      <c r="N189">
        <v>1003</v>
      </c>
      <c r="O189" t="s">
        <v>213</v>
      </c>
      <c r="P189" t="s">
        <v>213</v>
      </c>
      <c r="Q189">
        <v>1</v>
      </c>
      <c r="X189">
        <v>347</v>
      </c>
      <c r="Y189">
        <v>6.38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347</v>
      </c>
      <c r="AH189">
        <v>2</v>
      </c>
      <c r="AI189">
        <v>145070843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ROW(Source!A104)</f>
        <v>104</v>
      </c>
      <c r="B190">
        <v>145070844</v>
      </c>
      <c r="C190">
        <v>145041065</v>
      </c>
      <c r="D190">
        <v>140772931</v>
      </c>
      <c r="E190">
        <v>1</v>
      </c>
      <c r="F190">
        <v>1</v>
      </c>
      <c r="G190">
        <v>1</v>
      </c>
      <c r="H190">
        <v>3</v>
      </c>
      <c r="I190" t="s">
        <v>922</v>
      </c>
      <c r="J190" t="s">
        <v>923</v>
      </c>
      <c r="K190" t="s">
        <v>924</v>
      </c>
      <c r="L190">
        <v>1301</v>
      </c>
      <c r="N190">
        <v>1003</v>
      </c>
      <c r="O190" t="s">
        <v>213</v>
      </c>
      <c r="P190" t="s">
        <v>213</v>
      </c>
      <c r="Q190">
        <v>1</v>
      </c>
      <c r="X190">
        <v>71</v>
      </c>
      <c r="Y190">
        <v>7.95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71</v>
      </c>
      <c r="AH190">
        <v>2</v>
      </c>
      <c r="AI190">
        <v>145070844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ROW(Source!A104)</f>
        <v>104</v>
      </c>
      <c r="B191">
        <v>145070845</v>
      </c>
      <c r="C191">
        <v>145041065</v>
      </c>
      <c r="D191">
        <v>140773017</v>
      </c>
      <c r="E191">
        <v>1</v>
      </c>
      <c r="F191">
        <v>1</v>
      </c>
      <c r="G191">
        <v>1</v>
      </c>
      <c r="H191">
        <v>3</v>
      </c>
      <c r="I191" t="s">
        <v>925</v>
      </c>
      <c r="J191" t="s">
        <v>926</v>
      </c>
      <c r="K191" t="s">
        <v>927</v>
      </c>
      <c r="L191">
        <v>1302</v>
      </c>
      <c r="N191">
        <v>1003</v>
      </c>
      <c r="O191" t="s">
        <v>928</v>
      </c>
      <c r="P191" t="s">
        <v>928</v>
      </c>
      <c r="Q191">
        <v>10</v>
      </c>
      <c r="X191">
        <v>21.4</v>
      </c>
      <c r="Y191">
        <v>64.099999999999994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21.4</v>
      </c>
      <c r="AH191">
        <v>2</v>
      </c>
      <c r="AI191">
        <v>145070845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ROW(Source!A104)</f>
        <v>104</v>
      </c>
      <c r="B192">
        <v>145070846</v>
      </c>
      <c r="C192">
        <v>145041065</v>
      </c>
      <c r="D192">
        <v>140775142</v>
      </c>
      <c r="E192">
        <v>1</v>
      </c>
      <c r="F192">
        <v>1</v>
      </c>
      <c r="G192">
        <v>1</v>
      </c>
      <c r="H192">
        <v>3</v>
      </c>
      <c r="I192" t="s">
        <v>929</v>
      </c>
      <c r="J192" t="s">
        <v>930</v>
      </c>
      <c r="K192" t="s">
        <v>931</v>
      </c>
      <c r="L192">
        <v>1455</v>
      </c>
      <c r="N192">
        <v>1013</v>
      </c>
      <c r="O192" t="s">
        <v>855</v>
      </c>
      <c r="P192" t="s">
        <v>855</v>
      </c>
      <c r="Q192">
        <v>1</v>
      </c>
      <c r="X192">
        <v>30.6</v>
      </c>
      <c r="Y192">
        <v>7.03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30.6</v>
      </c>
      <c r="AH192">
        <v>2</v>
      </c>
      <c r="AI192">
        <v>145070846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ROW(Source!A104)</f>
        <v>104</v>
      </c>
      <c r="B193">
        <v>145070847</v>
      </c>
      <c r="C193">
        <v>145041065</v>
      </c>
      <c r="D193">
        <v>140762772</v>
      </c>
      <c r="E193">
        <v>70</v>
      </c>
      <c r="F193">
        <v>1</v>
      </c>
      <c r="G193">
        <v>1</v>
      </c>
      <c r="H193">
        <v>3</v>
      </c>
      <c r="I193" t="s">
        <v>932</v>
      </c>
      <c r="J193" t="s">
        <v>3</v>
      </c>
      <c r="K193" t="s">
        <v>933</v>
      </c>
      <c r="L193">
        <v>1327</v>
      </c>
      <c r="N193">
        <v>1005</v>
      </c>
      <c r="O193" t="s">
        <v>131</v>
      </c>
      <c r="P193" t="s">
        <v>131</v>
      </c>
      <c r="Q193">
        <v>1</v>
      </c>
      <c r="X193">
        <v>100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 t="s">
        <v>3</v>
      </c>
      <c r="AG193">
        <v>100</v>
      </c>
      <c r="AH193">
        <v>2</v>
      </c>
      <c r="AI193">
        <v>145070847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ROW(Source!A104)</f>
        <v>104</v>
      </c>
      <c r="B194">
        <v>145070848</v>
      </c>
      <c r="C194">
        <v>145041065</v>
      </c>
      <c r="D194">
        <v>140798319</v>
      </c>
      <c r="E194">
        <v>1</v>
      </c>
      <c r="F194">
        <v>1</v>
      </c>
      <c r="G194">
        <v>1</v>
      </c>
      <c r="H194">
        <v>3</v>
      </c>
      <c r="I194" t="s">
        <v>934</v>
      </c>
      <c r="J194" t="s">
        <v>935</v>
      </c>
      <c r="K194" t="s">
        <v>936</v>
      </c>
      <c r="L194">
        <v>1425</v>
      </c>
      <c r="N194">
        <v>1013</v>
      </c>
      <c r="O194" t="s">
        <v>270</v>
      </c>
      <c r="P194" t="s">
        <v>270</v>
      </c>
      <c r="Q194">
        <v>1</v>
      </c>
      <c r="X194">
        <v>8</v>
      </c>
      <c r="Y194">
        <v>50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8</v>
      </c>
      <c r="AH194">
        <v>2</v>
      </c>
      <c r="AI194">
        <v>145070848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ROW(Source!A104)</f>
        <v>104</v>
      </c>
      <c r="B195">
        <v>145070849</v>
      </c>
      <c r="C195">
        <v>145041065</v>
      </c>
      <c r="D195">
        <v>140804861</v>
      </c>
      <c r="E195">
        <v>1</v>
      </c>
      <c r="F195">
        <v>1</v>
      </c>
      <c r="G195">
        <v>1</v>
      </c>
      <c r="H195">
        <v>3</v>
      </c>
      <c r="I195" t="s">
        <v>937</v>
      </c>
      <c r="J195" t="s">
        <v>938</v>
      </c>
      <c r="K195" t="s">
        <v>939</v>
      </c>
      <c r="L195">
        <v>1296</v>
      </c>
      <c r="N195">
        <v>1002</v>
      </c>
      <c r="O195" t="s">
        <v>147</v>
      </c>
      <c r="P195" t="s">
        <v>147</v>
      </c>
      <c r="Q195">
        <v>1</v>
      </c>
      <c r="X195">
        <v>69</v>
      </c>
      <c r="Y195">
        <v>46.86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69</v>
      </c>
      <c r="AH195">
        <v>2</v>
      </c>
      <c r="AI195">
        <v>145070849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ROW(Source!A106)</f>
        <v>106</v>
      </c>
      <c r="B196">
        <v>145041105</v>
      </c>
      <c r="C196">
        <v>145041104</v>
      </c>
      <c r="D196">
        <v>140759909</v>
      </c>
      <c r="E196">
        <v>70</v>
      </c>
      <c r="F196">
        <v>1</v>
      </c>
      <c r="G196">
        <v>1</v>
      </c>
      <c r="H196">
        <v>1</v>
      </c>
      <c r="I196" t="s">
        <v>808</v>
      </c>
      <c r="J196" t="s">
        <v>3</v>
      </c>
      <c r="K196" t="s">
        <v>809</v>
      </c>
      <c r="L196">
        <v>1191</v>
      </c>
      <c r="N196">
        <v>1013</v>
      </c>
      <c r="O196" t="s">
        <v>725</v>
      </c>
      <c r="P196" t="s">
        <v>725</v>
      </c>
      <c r="Q196">
        <v>1</v>
      </c>
      <c r="X196">
        <v>0.57999999999999996</v>
      </c>
      <c r="Y196">
        <v>0</v>
      </c>
      <c r="Z196">
        <v>0</v>
      </c>
      <c r="AA196">
        <v>0</v>
      </c>
      <c r="AB196">
        <v>7.56</v>
      </c>
      <c r="AC196">
        <v>0</v>
      </c>
      <c r="AD196">
        <v>1</v>
      </c>
      <c r="AE196">
        <v>1</v>
      </c>
      <c r="AF196" t="s">
        <v>21</v>
      </c>
      <c r="AG196">
        <v>0.66699999999999993</v>
      </c>
      <c r="AH196">
        <v>2</v>
      </c>
      <c r="AI196">
        <v>145041105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ROW(Source!A107)</f>
        <v>107</v>
      </c>
      <c r="B197">
        <v>145041127</v>
      </c>
      <c r="C197">
        <v>145041126</v>
      </c>
      <c r="D197">
        <v>140759979</v>
      </c>
      <c r="E197">
        <v>70</v>
      </c>
      <c r="F197">
        <v>1</v>
      </c>
      <c r="G197">
        <v>1</v>
      </c>
      <c r="H197">
        <v>1</v>
      </c>
      <c r="I197" t="s">
        <v>745</v>
      </c>
      <c r="J197" t="s">
        <v>3</v>
      </c>
      <c r="K197" t="s">
        <v>746</v>
      </c>
      <c r="L197">
        <v>1191</v>
      </c>
      <c r="N197">
        <v>1013</v>
      </c>
      <c r="O197" t="s">
        <v>725</v>
      </c>
      <c r="P197" t="s">
        <v>725</v>
      </c>
      <c r="Q197">
        <v>1</v>
      </c>
      <c r="X197">
        <v>83.67</v>
      </c>
      <c r="Y197">
        <v>0</v>
      </c>
      <c r="Z197">
        <v>0</v>
      </c>
      <c r="AA197">
        <v>0</v>
      </c>
      <c r="AB197">
        <v>8.5299999999999994</v>
      </c>
      <c r="AC197">
        <v>0</v>
      </c>
      <c r="AD197">
        <v>1</v>
      </c>
      <c r="AE197">
        <v>1</v>
      </c>
      <c r="AF197" t="s">
        <v>91</v>
      </c>
      <c r="AG197">
        <v>110.65357499999999</v>
      </c>
      <c r="AH197">
        <v>2</v>
      </c>
      <c r="AI197">
        <v>145041127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ROW(Source!A107)</f>
        <v>107</v>
      </c>
      <c r="B198">
        <v>145041128</v>
      </c>
      <c r="C198">
        <v>145041126</v>
      </c>
      <c r="D198">
        <v>140760225</v>
      </c>
      <c r="E198">
        <v>70</v>
      </c>
      <c r="F198">
        <v>1</v>
      </c>
      <c r="G198">
        <v>1</v>
      </c>
      <c r="H198">
        <v>1</v>
      </c>
      <c r="I198" t="s">
        <v>730</v>
      </c>
      <c r="J198" t="s">
        <v>3</v>
      </c>
      <c r="K198" t="s">
        <v>731</v>
      </c>
      <c r="L198">
        <v>1191</v>
      </c>
      <c r="N198">
        <v>1013</v>
      </c>
      <c r="O198" t="s">
        <v>725</v>
      </c>
      <c r="P198" t="s">
        <v>725</v>
      </c>
      <c r="Q198">
        <v>1</v>
      </c>
      <c r="X198">
        <v>1.34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2</v>
      </c>
      <c r="AF198" t="s">
        <v>90</v>
      </c>
      <c r="AG198">
        <v>1.9262499999999998</v>
      </c>
      <c r="AH198">
        <v>2</v>
      </c>
      <c r="AI198">
        <v>145041128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ROW(Source!A107)</f>
        <v>107</v>
      </c>
      <c r="B199">
        <v>145041129</v>
      </c>
      <c r="C199">
        <v>145041126</v>
      </c>
      <c r="D199">
        <v>140923105</v>
      </c>
      <c r="E199">
        <v>1</v>
      </c>
      <c r="F199">
        <v>1</v>
      </c>
      <c r="G199">
        <v>1</v>
      </c>
      <c r="H199">
        <v>2</v>
      </c>
      <c r="I199" t="s">
        <v>823</v>
      </c>
      <c r="J199" t="s">
        <v>824</v>
      </c>
      <c r="K199" t="s">
        <v>825</v>
      </c>
      <c r="L199">
        <v>1367</v>
      </c>
      <c r="N199">
        <v>1011</v>
      </c>
      <c r="O199" t="s">
        <v>79</v>
      </c>
      <c r="P199" t="s">
        <v>79</v>
      </c>
      <c r="Q199">
        <v>1</v>
      </c>
      <c r="X199">
        <v>0.02</v>
      </c>
      <c r="Y199">
        <v>0</v>
      </c>
      <c r="Z199">
        <v>89.99</v>
      </c>
      <c r="AA199">
        <v>10.06</v>
      </c>
      <c r="AB199">
        <v>0</v>
      </c>
      <c r="AC199">
        <v>0</v>
      </c>
      <c r="AD199">
        <v>1</v>
      </c>
      <c r="AE199">
        <v>0</v>
      </c>
      <c r="AF199" t="s">
        <v>90</v>
      </c>
      <c r="AG199">
        <v>2.8749999999999998E-2</v>
      </c>
      <c r="AH199">
        <v>2</v>
      </c>
      <c r="AI199">
        <v>145041129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ROW(Source!A107)</f>
        <v>107</v>
      </c>
      <c r="B200">
        <v>145041130</v>
      </c>
      <c r="C200">
        <v>145041126</v>
      </c>
      <c r="D200">
        <v>140923145</v>
      </c>
      <c r="E200">
        <v>1</v>
      </c>
      <c r="F200">
        <v>1</v>
      </c>
      <c r="G200">
        <v>1</v>
      </c>
      <c r="H200">
        <v>2</v>
      </c>
      <c r="I200" t="s">
        <v>826</v>
      </c>
      <c r="J200" t="s">
        <v>827</v>
      </c>
      <c r="K200" t="s">
        <v>828</v>
      </c>
      <c r="L200">
        <v>1367</v>
      </c>
      <c r="N200">
        <v>1011</v>
      </c>
      <c r="O200" t="s">
        <v>79</v>
      </c>
      <c r="P200" t="s">
        <v>79</v>
      </c>
      <c r="Q200">
        <v>1</v>
      </c>
      <c r="X200">
        <v>0.3</v>
      </c>
      <c r="Y200">
        <v>0</v>
      </c>
      <c r="Z200">
        <v>31.26</v>
      </c>
      <c r="AA200">
        <v>13.5</v>
      </c>
      <c r="AB200">
        <v>0</v>
      </c>
      <c r="AC200">
        <v>0</v>
      </c>
      <c r="AD200">
        <v>1</v>
      </c>
      <c r="AE200">
        <v>0</v>
      </c>
      <c r="AF200" t="s">
        <v>90</v>
      </c>
      <c r="AG200">
        <v>0.43124999999999997</v>
      </c>
      <c r="AH200">
        <v>2</v>
      </c>
      <c r="AI200">
        <v>145041130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ROW(Source!A107)</f>
        <v>107</v>
      </c>
      <c r="B201">
        <v>145041131</v>
      </c>
      <c r="C201">
        <v>145041126</v>
      </c>
      <c r="D201">
        <v>140923268</v>
      </c>
      <c r="E201">
        <v>1</v>
      </c>
      <c r="F201">
        <v>1</v>
      </c>
      <c r="G201">
        <v>1</v>
      </c>
      <c r="H201">
        <v>2</v>
      </c>
      <c r="I201" t="s">
        <v>837</v>
      </c>
      <c r="J201" t="s">
        <v>838</v>
      </c>
      <c r="K201" t="s">
        <v>839</v>
      </c>
      <c r="L201">
        <v>1367</v>
      </c>
      <c r="N201">
        <v>1011</v>
      </c>
      <c r="O201" t="s">
        <v>79</v>
      </c>
      <c r="P201" t="s">
        <v>79</v>
      </c>
      <c r="Q201">
        <v>1</v>
      </c>
      <c r="X201">
        <v>1.02</v>
      </c>
      <c r="Y201">
        <v>0</v>
      </c>
      <c r="Z201">
        <v>12.39</v>
      </c>
      <c r="AA201">
        <v>10.06</v>
      </c>
      <c r="AB201">
        <v>0</v>
      </c>
      <c r="AC201">
        <v>0</v>
      </c>
      <c r="AD201">
        <v>1</v>
      </c>
      <c r="AE201">
        <v>0</v>
      </c>
      <c r="AF201" t="s">
        <v>90</v>
      </c>
      <c r="AG201">
        <v>1.4662499999999998</v>
      </c>
      <c r="AH201">
        <v>2</v>
      </c>
      <c r="AI201">
        <v>145041131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ROW(Source!A107)</f>
        <v>107</v>
      </c>
      <c r="B202">
        <v>145041132</v>
      </c>
      <c r="C202">
        <v>145041126</v>
      </c>
      <c r="D202">
        <v>140772680</v>
      </c>
      <c r="E202">
        <v>1</v>
      </c>
      <c r="F202">
        <v>1</v>
      </c>
      <c r="G202">
        <v>1</v>
      </c>
      <c r="H202">
        <v>3</v>
      </c>
      <c r="I202" t="s">
        <v>735</v>
      </c>
      <c r="J202" t="s">
        <v>736</v>
      </c>
      <c r="K202" t="s">
        <v>737</v>
      </c>
      <c r="L202">
        <v>1339</v>
      </c>
      <c r="N202">
        <v>1007</v>
      </c>
      <c r="O202" t="s">
        <v>66</v>
      </c>
      <c r="P202" t="s">
        <v>66</v>
      </c>
      <c r="Q202">
        <v>1</v>
      </c>
      <c r="X202">
        <v>0.74</v>
      </c>
      <c r="Y202">
        <v>2.44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0.74</v>
      </c>
      <c r="AH202">
        <v>2</v>
      </c>
      <c r="AI202">
        <v>145041132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ROW(Source!A107)</f>
        <v>107</v>
      </c>
      <c r="B203">
        <v>145041133</v>
      </c>
      <c r="C203">
        <v>145041126</v>
      </c>
      <c r="D203">
        <v>140761160</v>
      </c>
      <c r="E203">
        <v>70</v>
      </c>
      <c r="F203">
        <v>1</v>
      </c>
      <c r="G203">
        <v>1</v>
      </c>
      <c r="H203">
        <v>3</v>
      </c>
      <c r="I203" t="s">
        <v>843</v>
      </c>
      <c r="J203" t="s">
        <v>3</v>
      </c>
      <c r="K203" t="s">
        <v>844</v>
      </c>
      <c r="L203">
        <v>1348</v>
      </c>
      <c r="N203">
        <v>1009</v>
      </c>
      <c r="O203" t="s">
        <v>105</v>
      </c>
      <c r="P203" t="s">
        <v>105</v>
      </c>
      <c r="Q203">
        <v>1000</v>
      </c>
      <c r="X203">
        <v>1.23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 t="s">
        <v>3</v>
      </c>
      <c r="AG203">
        <v>1.23</v>
      </c>
      <c r="AH203">
        <v>2</v>
      </c>
      <c r="AI203">
        <v>145041133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ROW(Source!A107)</f>
        <v>107</v>
      </c>
      <c r="B204">
        <v>145041134</v>
      </c>
      <c r="C204">
        <v>145041126</v>
      </c>
      <c r="D204">
        <v>140763302</v>
      </c>
      <c r="E204">
        <v>70</v>
      </c>
      <c r="F204">
        <v>1</v>
      </c>
      <c r="G204">
        <v>1</v>
      </c>
      <c r="H204">
        <v>3</v>
      </c>
      <c r="I204" t="s">
        <v>940</v>
      </c>
      <c r="J204" t="s">
        <v>3</v>
      </c>
      <c r="K204" t="s">
        <v>941</v>
      </c>
      <c r="L204">
        <v>1348</v>
      </c>
      <c r="N204">
        <v>1009</v>
      </c>
      <c r="O204" t="s">
        <v>105</v>
      </c>
      <c r="P204" t="s">
        <v>105</v>
      </c>
      <c r="Q204">
        <v>1000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 t="s">
        <v>3</v>
      </c>
      <c r="AG204">
        <v>0</v>
      </c>
      <c r="AH204">
        <v>2</v>
      </c>
      <c r="AI204">
        <v>145041134</v>
      </c>
      <c r="AJ204">
        <v>204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ROW(Source!A108)</f>
        <v>108</v>
      </c>
      <c r="B205">
        <v>145041831</v>
      </c>
      <c r="C205">
        <v>145041830</v>
      </c>
      <c r="D205">
        <v>140759979</v>
      </c>
      <c r="E205">
        <v>70</v>
      </c>
      <c r="F205">
        <v>1</v>
      </c>
      <c r="G205">
        <v>1</v>
      </c>
      <c r="H205">
        <v>1</v>
      </c>
      <c r="I205" t="s">
        <v>745</v>
      </c>
      <c r="J205" t="s">
        <v>3</v>
      </c>
      <c r="K205" t="s">
        <v>746</v>
      </c>
      <c r="L205">
        <v>1191</v>
      </c>
      <c r="N205">
        <v>1013</v>
      </c>
      <c r="O205" t="s">
        <v>725</v>
      </c>
      <c r="P205" t="s">
        <v>725</v>
      </c>
      <c r="Q205">
        <v>1</v>
      </c>
      <c r="X205">
        <v>8.2200000000000006</v>
      </c>
      <c r="Y205">
        <v>0</v>
      </c>
      <c r="Z205">
        <v>0</v>
      </c>
      <c r="AA205">
        <v>0</v>
      </c>
      <c r="AB205">
        <v>8.5299999999999994</v>
      </c>
      <c r="AC205">
        <v>0</v>
      </c>
      <c r="AD205">
        <v>1</v>
      </c>
      <c r="AE205">
        <v>1</v>
      </c>
      <c r="AF205" t="s">
        <v>366</v>
      </c>
      <c r="AG205">
        <v>54.354749999999996</v>
      </c>
      <c r="AH205">
        <v>2</v>
      </c>
      <c r="AI205">
        <v>145041831</v>
      </c>
      <c r="AJ205">
        <v>205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ROW(Source!A108)</f>
        <v>108</v>
      </c>
      <c r="B206">
        <v>145041832</v>
      </c>
      <c r="C206">
        <v>145041830</v>
      </c>
      <c r="D206">
        <v>140760225</v>
      </c>
      <c r="E206">
        <v>70</v>
      </c>
      <c r="F206">
        <v>1</v>
      </c>
      <c r="G206">
        <v>1</v>
      </c>
      <c r="H206">
        <v>1</v>
      </c>
      <c r="I206" t="s">
        <v>730</v>
      </c>
      <c r="J206" t="s">
        <v>3</v>
      </c>
      <c r="K206" t="s">
        <v>731</v>
      </c>
      <c r="L206">
        <v>1191</v>
      </c>
      <c r="N206">
        <v>1013</v>
      </c>
      <c r="O206" t="s">
        <v>725</v>
      </c>
      <c r="P206" t="s">
        <v>725</v>
      </c>
      <c r="Q206">
        <v>1</v>
      </c>
      <c r="X206">
        <v>0.13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365</v>
      </c>
      <c r="AG206">
        <v>0.93437499999999996</v>
      </c>
      <c r="AH206">
        <v>2</v>
      </c>
      <c r="AI206">
        <v>145041832</v>
      </c>
      <c r="AJ206">
        <v>206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ROW(Source!A108)</f>
        <v>108</v>
      </c>
      <c r="B207">
        <v>145041833</v>
      </c>
      <c r="C207">
        <v>145041830</v>
      </c>
      <c r="D207">
        <v>140923105</v>
      </c>
      <c r="E207">
        <v>1</v>
      </c>
      <c r="F207">
        <v>1</v>
      </c>
      <c r="G207">
        <v>1</v>
      </c>
      <c r="H207">
        <v>2</v>
      </c>
      <c r="I207" t="s">
        <v>823</v>
      </c>
      <c r="J207" t="s">
        <v>824</v>
      </c>
      <c r="K207" t="s">
        <v>825</v>
      </c>
      <c r="L207">
        <v>1367</v>
      </c>
      <c r="N207">
        <v>1011</v>
      </c>
      <c r="O207" t="s">
        <v>79</v>
      </c>
      <c r="P207" t="s">
        <v>79</v>
      </c>
      <c r="Q207">
        <v>1</v>
      </c>
      <c r="X207">
        <v>2E-3</v>
      </c>
      <c r="Y207">
        <v>0</v>
      </c>
      <c r="Z207">
        <v>89.99</v>
      </c>
      <c r="AA207">
        <v>10.06</v>
      </c>
      <c r="AB207">
        <v>0</v>
      </c>
      <c r="AC207">
        <v>0</v>
      </c>
      <c r="AD207">
        <v>1</v>
      </c>
      <c r="AE207">
        <v>0</v>
      </c>
      <c r="AF207" t="s">
        <v>365</v>
      </c>
      <c r="AG207">
        <v>1.4374999999999999E-2</v>
      </c>
      <c r="AH207">
        <v>2</v>
      </c>
      <c r="AI207">
        <v>145041833</v>
      </c>
      <c r="AJ207">
        <v>207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ROW(Source!A108)</f>
        <v>108</v>
      </c>
      <c r="B208">
        <v>145041834</v>
      </c>
      <c r="C208">
        <v>145041830</v>
      </c>
      <c r="D208">
        <v>140923145</v>
      </c>
      <c r="E208">
        <v>1</v>
      </c>
      <c r="F208">
        <v>1</v>
      </c>
      <c r="G208">
        <v>1</v>
      </c>
      <c r="H208">
        <v>2</v>
      </c>
      <c r="I208" t="s">
        <v>826</v>
      </c>
      <c r="J208" t="s">
        <v>827</v>
      </c>
      <c r="K208" t="s">
        <v>828</v>
      </c>
      <c r="L208">
        <v>1367</v>
      </c>
      <c r="N208">
        <v>1011</v>
      </c>
      <c r="O208" t="s">
        <v>79</v>
      </c>
      <c r="P208" t="s">
        <v>79</v>
      </c>
      <c r="Q208">
        <v>1</v>
      </c>
      <c r="X208">
        <v>0.03</v>
      </c>
      <c r="Y208">
        <v>0</v>
      </c>
      <c r="Z208">
        <v>31.26</v>
      </c>
      <c r="AA208">
        <v>13.5</v>
      </c>
      <c r="AB208">
        <v>0</v>
      </c>
      <c r="AC208">
        <v>0</v>
      </c>
      <c r="AD208">
        <v>1</v>
      </c>
      <c r="AE208">
        <v>0</v>
      </c>
      <c r="AF208" t="s">
        <v>365</v>
      </c>
      <c r="AG208">
        <v>0.21562499999999998</v>
      </c>
      <c r="AH208">
        <v>2</v>
      </c>
      <c r="AI208">
        <v>145041834</v>
      </c>
      <c r="AJ208">
        <v>208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ROW(Source!A108)</f>
        <v>108</v>
      </c>
      <c r="B209">
        <v>145041835</v>
      </c>
      <c r="C209">
        <v>145041830</v>
      </c>
      <c r="D209">
        <v>140923268</v>
      </c>
      <c r="E209">
        <v>1</v>
      </c>
      <c r="F209">
        <v>1</v>
      </c>
      <c r="G209">
        <v>1</v>
      </c>
      <c r="H209">
        <v>2</v>
      </c>
      <c r="I209" t="s">
        <v>837</v>
      </c>
      <c r="J209" t="s">
        <v>838</v>
      </c>
      <c r="K209" t="s">
        <v>839</v>
      </c>
      <c r="L209">
        <v>1367</v>
      </c>
      <c r="N209">
        <v>1011</v>
      </c>
      <c r="O209" t="s">
        <v>79</v>
      </c>
      <c r="P209" t="s">
        <v>79</v>
      </c>
      <c r="Q209">
        <v>1</v>
      </c>
      <c r="X209">
        <v>0.1</v>
      </c>
      <c r="Y209">
        <v>0</v>
      </c>
      <c r="Z209">
        <v>12.39</v>
      </c>
      <c r="AA209">
        <v>10.06</v>
      </c>
      <c r="AB209">
        <v>0</v>
      </c>
      <c r="AC209">
        <v>0</v>
      </c>
      <c r="AD209">
        <v>1</v>
      </c>
      <c r="AE209">
        <v>0</v>
      </c>
      <c r="AF209" t="s">
        <v>365</v>
      </c>
      <c r="AG209">
        <v>0.71875</v>
      </c>
      <c r="AH209">
        <v>2</v>
      </c>
      <c r="AI209">
        <v>145041835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ROW(Source!A108)</f>
        <v>108</v>
      </c>
      <c r="B210">
        <v>145041836</v>
      </c>
      <c r="C210">
        <v>145041830</v>
      </c>
      <c r="D210">
        <v>140772680</v>
      </c>
      <c r="E210">
        <v>1</v>
      </c>
      <c r="F210">
        <v>1</v>
      </c>
      <c r="G210">
        <v>1</v>
      </c>
      <c r="H210">
        <v>3</v>
      </c>
      <c r="I210" t="s">
        <v>735</v>
      </c>
      <c r="J210" t="s">
        <v>736</v>
      </c>
      <c r="K210" t="s">
        <v>737</v>
      </c>
      <c r="L210">
        <v>1339</v>
      </c>
      <c r="N210">
        <v>1007</v>
      </c>
      <c r="O210" t="s">
        <v>66</v>
      </c>
      <c r="P210" t="s">
        <v>66</v>
      </c>
      <c r="Q210">
        <v>1</v>
      </c>
      <c r="X210">
        <v>7.3999999999999996E-2</v>
      </c>
      <c r="Y210">
        <v>2.44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364</v>
      </c>
      <c r="AG210">
        <v>0.37</v>
      </c>
      <c r="AH210">
        <v>2</v>
      </c>
      <c r="AI210">
        <v>145041836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ROW(Source!A108)</f>
        <v>108</v>
      </c>
      <c r="B211">
        <v>145041837</v>
      </c>
      <c r="C211">
        <v>145041830</v>
      </c>
      <c r="D211">
        <v>140761160</v>
      </c>
      <c r="E211">
        <v>70</v>
      </c>
      <c r="F211">
        <v>1</v>
      </c>
      <c r="G211">
        <v>1</v>
      </c>
      <c r="H211">
        <v>3</v>
      </c>
      <c r="I211" t="s">
        <v>843</v>
      </c>
      <c r="J211" t="s">
        <v>3</v>
      </c>
      <c r="K211" t="s">
        <v>844</v>
      </c>
      <c r="L211">
        <v>1348</v>
      </c>
      <c r="N211">
        <v>1009</v>
      </c>
      <c r="O211" t="s">
        <v>105</v>
      </c>
      <c r="P211" t="s">
        <v>105</v>
      </c>
      <c r="Q211">
        <v>1000</v>
      </c>
      <c r="X211">
        <v>0.123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 t="s">
        <v>364</v>
      </c>
      <c r="AG211">
        <v>0.61499999999999999</v>
      </c>
      <c r="AH211">
        <v>2</v>
      </c>
      <c r="AI211">
        <v>145041837</v>
      </c>
      <c r="AJ211">
        <v>211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ROW(Source!A111)</f>
        <v>111</v>
      </c>
      <c r="B212">
        <v>145041841</v>
      </c>
      <c r="C212">
        <v>145041840</v>
      </c>
      <c r="D212">
        <v>140759979</v>
      </c>
      <c r="E212">
        <v>70</v>
      </c>
      <c r="F212">
        <v>1</v>
      </c>
      <c r="G212">
        <v>1</v>
      </c>
      <c r="H212">
        <v>1</v>
      </c>
      <c r="I212" t="s">
        <v>745</v>
      </c>
      <c r="J212" t="s">
        <v>3</v>
      </c>
      <c r="K212" t="s">
        <v>746</v>
      </c>
      <c r="L212">
        <v>1191</v>
      </c>
      <c r="N212">
        <v>1013</v>
      </c>
      <c r="O212" t="s">
        <v>725</v>
      </c>
      <c r="P212" t="s">
        <v>725</v>
      </c>
      <c r="Q212">
        <v>1</v>
      </c>
      <c r="X212">
        <v>100.55</v>
      </c>
      <c r="Y212">
        <v>0</v>
      </c>
      <c r="Z212">
        <v>0</v>
      </c>
      <c r="AA212">
        <v>0</v>
      </c>
      <c r="AB212">
        <v>8.5299999999999994</v>
      </c>
      <c r="AC212">
        <v>0</v>
      </c>
      <c r="AD212">
        <v>1</v>
      </c>
      <c r="AE212">
        <v>1</v>
      </c>
      <c r="AF212" t="s">
        <v>91</v>
      </c>
      <c r="AG212">
        <v>132.97737499999999</v>
      </c>
      <c r="AH212">
        <v>2</v>
      </c>
      <c r="AI212">
        <v>145041841</v>
      </c>
      <c r="AJ212">
        <v>212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ROW(Source!A111)</f>
        <v>111</v>
      </c>
      <c r="B213">
        <v>145041842</v>
      </c>
      <c r="C213">
        <v>145041840</v>
      </c>
      <c r="D213">
        <v>140760225</v>
      </c>
      <c r="E213">
        <v>70</v>
      </c>
      <c r="F213">
        <v>1</v>
      </c>
      <c r="G213">
        <v>1</v>
      </c>
      <c r="H213">
        <v>1</v>
      </c>
      <c r="I213" t="s">
        <v>730</v>
      </c>
      <c r="J213" t="s">
        <v>3</v>
      </c>
      <c r="K213" t="s">
        <v>731</v>
      </c>
      <c r="L213">
        <v>1191</v>
      </c>
      <c r="N213">
        <v>1013</v>
      </c>
      <c r="O213" t="s">
        <v>725</v>
      </c>
      <c r="P213" t="s">
        <v>725</v>
      </c>
      <c r="Q213">
        <v>1</v>
      </c>
      <c r="X213">
        <v>0.43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2</v>
      </c>
      <c r="AF213" t="s">
        <v>90</v>
      </c>
      <c r="AG213">
        <v>0.61812499999999992</v>
      </c>
      <c r="AH213">
        <v>2</v>
      </c>
      <c r="AI213">
        <v>145041842</v>
      </c>
      <c r="AJ213">
        <v>213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ROW(Source!A111)</f>
        <v>111</v>
      </c>
      <c r="B214">
        <v>145041843</v>
      </c>
      <c r="C214">
        <v>145041840</v>
      </c>
      <c r="D214">
        <v>140922893</v>
      </c>
      <c r="E214">
        <v>1</v>
      </c>
      <c r="F214">
        <v>1</v>
      </c>
      <c r="G214">
        <v>1</v>
      </c>
      <c r="H214">
        <v>2</v>
      </c>
      <c r="I214" t="s">
        <v>749</v>
      </c>
      <c r="J214" t="s">
        <v>750</v>
      </c>
      <c r="K214" t="s">
        <v>751</v>
      </c>
      <c r="L214">
        <v>1367</v>
      </c>
      <c r="N214">
        <v>1011</v>
      </c>
      <c r="O214" t="s">
        <v>79</v>
      </c>
      <c r="P214" t="s">
        <v>79</v>
      </c>
      <c r="Q214">
        <v>1</v>
      </c>
      <c r="X214">
        <v>0.11</v>
      </c>
      <c r="Y214">
        <v>0</v>
      </c>
      <c r="Z214">
        <v>86.4</v>
      </c>
      <c r="AA214">
        <v>13.5</v>
      </c>
      <c r="AB214">
        <v>0</v>
      </c>
      <c r="AC214">
        <v>0</v>
      </c>
      <c r="AD214">
        <v>1</v>
      </c>
      <c r="AE214">
        <v>0</v>
      </c>
      <c r="AF214" t="s">
        <v>90</v>
      </c>
      <c r="AG214">
        <v>0.15812499999999999</v>
      </c>
      <c r="AH214">
        <v>2</v>
      </c>
      <c r="AI214">
        <v>145041843</v>
      </c>
      <c r="AJ214">
        <v>214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ROW(Source!A111)</f>
        <v>111</v>
      </c>
      <c r="B215">
        <v>145041844</v>
      </c>
      <c r="C215">
        <v>145041840</v>
      </c>
      <c r="D215">
        <v>140923885</v>
      </c>
      <c r="E215">
        <v>1</v>
      </c>
      <c r="F215">
        <v>1</v>
      </c>
      <c r="G215">
        <v>1</v>
      </c>
      <c r="H215">
        <v>2</v>
      </c>
      <c r="I215" t="s">
        <v>732</v>
      </c>
      <c r="J215" t="s">
        <v>733</v>
      </c>
      <c r="K215" t="s">
        <v>734</v>
      </c>
      <c r="L215">
        <v>1367</v>
      </c>
      <c r="N215">
        <v>1011</v>
      </c>
      <c r="O215" t="s">
        <v>79</v>
      </c>
      <c r="P215" t="s">
        <v>79</v>
      </c>
      <c r="Q215">
        <v>1</v>
      </c>
      <c r="X215">
        <v>0.32</v>
      </c>
      <c r="Y215">
        <v>0</v>
      </c>
      <c r="Z215">
        <v>65.709999999999994</v>
      </c>
      <c r="AA215">
        <v>11.6</v>
      </c>
      <c r="AB215">
        <v>0</v>
      </c>
      <c r="AC215">
        <v>0</v>
      </c>
      <c r="AD215">
        <v>1</v>
      </c>
      <c r="AE215">
        <v>0</v>
      </c>
      <c r="AF215" t="s">
        <v>90</v>
      </c>
      <c r="AG215">
        <v>0.45999999999999996</v>
      </c>
      <c r="AH215">
        <v>2</v>
      </c>
      <c r="AI215">
        <v>145041844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ROW(Source!A111)</f>
        <v>111</v>
      </c>
      <c r="B216">
        <v>145041845</v>
      </c>
      <c r="C216">
        <v>145041840</v>
      </c>
      <c r="D216">
        <v>140772692</v>
      </c>
      <c r="E216">
        <v>1</v>
      </c>
      <c r="F216">
        <v>1</v>
      </c>
      <c r="G216">
        <v>1</v>
      </c>
      <c r="H216">
        <v>3</v>
      </c>
      <c r="I216" t="s">
        <v>869</v>
      </c>
      <c r="J216" t="s">
        <v>870</v>
      </c>
      <c r="K216" t="s">
        <v>871</v>
      </c>
      <c r="L216">
        <v>1383</v>
      </c>
      <c r="N216">
        <v>1013</v>
      </c>
      <c r="O216" t="s">
        <v>872</v>
      </c>
      <c r="P216" t="s">
        <v>872</v>
      </c>
      <c r="Q216">
        <v>1</v>
      </c>
      <c r="X216">
        <v>25.54</v>
      </c>
      <c r="Y216">
        <v>0.4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25.54</v>
      </c>
      <c r="AH216">
        <v>2</v>
      </c>
      <c r="AI216">
        <v>145041845</v>
      </c>
      <c r="AJ216">
        <v>216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ROW(Source!A111)</f>
        <v>111</v>
      </c>
      <c r="B217">
        <v>145041846</v>
      </c>
      <c r="C217">
        <v>145041840</v>
      </c>
      <c r="D217">
        <v>140760653</v>
      </c>
      <c r="E217">
        <v>70</v>
      </c>
      <c r="F217">
        <v>1</v>
      </c>
      <c r="G217">
        <v>1</v>
      </c>
      <c r="H217">
        <v>3</v>
      </c>
      <c r="I217" t="s">
        <v>942</v>
      </c>
      <c r="J217" t="s">
        <v>3</v>
      </c>
      <c r="K217" t="s">
        <v>943</v>
      </c>
      <c r="L217">
        <v>1425</v>
      </c>
      <c r="N217">
        <v>1013</v>
      </c>
      <c r="O217" t="s">
        <v>270</v>
      </c>
      <c r="P217" t="s">
        <v>270</v>
      </c>
      <c r="Q217">
        <v>1</v>
      </c>
      <c r="X217">
        <v>33.28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 t="s">
        <v>3</v>
      </c>
      <c r="AG217">
        <v>33.28</v>
      </c>
      <c r="AH217">
        <v>2</v>
      </c>
      <c r="AI217">
        <v>145041846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ROW(Source!A111)</f>
        <v>111</v>
      </c>
      <c r="B218">
        <v>145041847</v>
      </c>
      <c r="C218">
        <v>145041840</v>
      </c>
      <c r="D218">
        <v>140760664</v>
      </c>
      <c r="E218">
        <v>70</v>
      </c>
      <c r="F218">
        <v>1</v>
      </c>
      <c r="G218">
        <v>1</v>
      </c>
      <c r="H218">
        <v>3</v>
      </c>
      <c r="I218" t="s">
        <v>944</v>
      </c>
      <c r="J218" t="s">
        <v>3</v>
      </c>
      <c r="K218" t="s">
        <v>945</v>
      </c>
      <c r="L218">
        <v>1425</v>
      </c>
      <c r="N218">
        <v>1013</v>
      </c>
      <c r="O218" t="s">
        <v>270</v>
      </c>
      <c r="P218" t="s">
        <v>270</v>
      </c>
      <c r="Q218">
        <v>1</v>
      </c>
      <c r="X218">
        <v>6.89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 t="s">
        <v>3</v>
      </c>
      <c r="AG218">
        <v>6.89</v>
      </c>
      <c r="AH218">
        <v>2</v>
      </c>
      <c r="AI218">
        <v>145041847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ROW(Source!A111)</f>
        <v>111</v>
      </c>
      <c r="B219">
        <v>145041848</v>
      </c>
      <c r="C219">
        <v>145041840</v>
      </c>
      <c r="D219">
        <v>140760703</v>
      </c>
      <c r="E219">
        <v>70</v>
      </c>
      <c r="F219">
        <v>1</v>
      </c>
      <c r="G219">
        <v>1</v>
      </c>
      <c r="H219">
        <v>3</v>
      </c>
      <c r="I219" t="s">
        <v>946</v>
      </c>
      <c r="J219" t="s">
        <v>3</v>
      </c>
      <c r="K219" t="s">
        <v>947</v>
      </c>
      <c r="L219">
        <v>1371</v>
      </c>
      <c r="N219">
        <v>1013</v>
      </c>
      <c r="O219" t="s">
        <v>222</v>
      </c>
      <c r="P219" t="s">
        <v>222</v>
      </c>
      <c r="Q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3</v>
      </c>
      <c r="AG219">
        <v>0</v>
      </c>
      <c r="AH219">
        <v>2</v>
      </c>
      <c r="AI219">
        <v>145041848</v>
      </c>
      <c r="AJ219">
        <v>219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ROW(Source!A111)</f>
        <v>111</v>
      </c>
      <c r="B220">
        <v>145041849</v>
      </c>
      <c r="C220">
        <v>145041840</v>
      </c>
      <c r="D220">
        <v>140760728</v>
      </c>
      <c r="E220">
        <v>70</v>
      </c>
      <c r="F220">
        <v>1</v>
      </c>
      <c r="G220">
        <v>1</v>
      </c>
      <c r="H220">
        <v>3</v>
      </c>
      <c r="I220" t="s">
        <v>856</v>
      </c>
      <c r="J220" t="s">
        <v>3</v>
      </c>
      <c r="K220" t="s">
        <v>948</v>
      </c>
      <c r="L220">
        <v>1371</v>
      </c>
      <c r="N220">
        <v>1013</v>
      </c>
      <c r="O220" t="s">
        <v>222</v>
      </c>
      <c r="P220" t="s">
        <v>222</v>
      </c>
      <c r="Q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3</v>
      </c>
      <c r="AG220">
        <v>0</v>
      </c>
      <c r="AH220">
        <v>2</v>
      </c>
      <c r="AI220">
        <v>145041849</v>
      </c>
      <c r="AJ220">
        <v>220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ROW(Source!A111)</f>
        <v>111</v>
      </c>
      <c r="B221">
        <v>145041850</v>
      </c>
      <c r="C221">
        <v>145041840</v>
      </c>
      <c r="D221">
        <v>140760732</v>
      </c>
      <c r="E221">
        <v>70</v>
      </c>
      <c r="F221">
        <v>1</v>
      </c>
      <c r="G221">
        <v>1</v>
      </c>
      <c r="H221">
        <v>3</v>
      </c>
      <c r="I221" t="s">
        <v>856</v>
      </c>
      <c r="J221" t="s">
        <v>3</v>
      </c>
      <c r="K221" t="s">
        <v>949</v>
      </c>
      <c r="L221">
        <v>1371</v>
      </c>
      <c r="N221">
        <v>1013</v>
      </c>
      <c r="O221" t="s">
        <v>222</v>
      </c>
      <c r="P221" t="s">
        <v>222</v>
      </c>
      <c r="Q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 t="s">
        <v>3</v>
      </c>
      <c r="AG221">
        <v>0</v>
      </c>
      <c r="AH221">
        <v>2</v>
      </c>
      <c r="AI221">
        <v>145041850</v>
      </c>
      <c r="AJ221">
        <v>221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ROW(Source!A111)</f>
        <v>111</v>
      </c>
      <c r="B222">
        <v>145041851</v>
      </c>
      <c r="C222">
        <v>145041840</v>
      </c>
      <c r="D222">
        <v>140789545</v>
      </c>
      <c r="E222">
        <v>1</v>
      </c>
      <c r="F222">
        <v>1</v>
      </c>
      <c r="G222">
        <v>1</v>
      </c>
      <c r="H222">
        <v>3</v>
      </c>
      <c r="I222" t="s">
        <v>950</v>
      </c>
      <c r="J222" t="s">
        <v>951</v>
      </c>
      <c r="K222" t="s">
        <v>952</v>
      </c>
      <c r="L222">
        <v>1301</v>
      </c>
      <c r="N222">
        <v>1003</v>
      </c>
      <c r="O222" t="s">
        <v>213</v>
      </c>
      <c r="P222" t="s">
        <v>213</v>
      </c>
      <c r="Q222">
        <v>1</v>
      </c>
      <c r="X222">
        <v>197.05</v>
      </c>
      <c r="Y222">
        <v>23.61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197.05</v>
      </c>
      <c r="AH222">
        <v>2</v>
      </c>
      <c r="AI222">
        <v>145041851</v>
      </c>
      <c r="AJ222">
        <v>222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ROW(Source!A111)</f>
        <v>111</v>
      </c>
      <c r="B223">
        <v>145041852</v>
      </c>
      <c r="C223">
        <v>145041840</v>
      </c>
      <c r="D223">
        <v>140790797</v>
      </c>
      <c r="E223">
        <v>1</v>
      </c>
      <c r="F223">
        <v>1</v>
      </c>
      <c r="G223">
        <v>1</v>
      </c>
      <c r="H223">
        <v>3</v>
      </c>
      <c r="I223" t="s">
        <v>374</v>
      </c>
      <c r="J223" t="s">
        <v>376</v>
      </c>
      <c r="K223" t="s">
        <v>375</v>
      </c>
      <c r="L223">
        <v>1327</v>
      </c>
      <c r="N223">
        <v>1005</v>
      </c>
      <c r="O223" t="s">
        <v>131</v>
      </c>
      <c r="P223" t="s">
        <v>131</v>
      </c>
      <c r="Q223">
        <v>1</v>
      </c>
      <c r="X223">
        <v>110.23</v>
      </c>
      <c r="Y223">
        <v>127.19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110.23</v>
      </c>
      <c r="AH223">
        <v>2</v>
      </c>
      <c r="AI223">
        <v>145041852</v>
      </c>
      <c r="AJ223">
        <v>223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ROW(Source!A114)</f>
        <v>114</v>
      </c>
      <c r="B224">
        <v>145041863</v>
      </c>
      <c r="C224">
        <v>145041862</v>
      </c>
      <c r="D224">
        <v>140759982</v>
      </c>
      <c r="E224">
        <v>70</v>
      </c>
      <c r="F224">
        <v>1</v>
      </c>
      <c r="G224">
        <v>1</v>
      </c>
      <c r="H224">
        <v>1</v>
      </c>
      <c r="I224" t="s">
        <v>797</v>
      </c>
      <c r="J224" t="s">
        <v>3</v>
      </c>
      <c r="K224" t="s">
        <v>798</v>
      </c>
      <c r="L224">
        <v>1191</v>
      </c>
      <c r="N224">
        <v>1013</v>
      </c>
      <c r="O224" t="s">
        <v>725</v>
      </c>
      <c r="P224" t="s">
        <v>725</v>
      </c>
      <c r="Q224">
        <v>1</v>
      </c>
      <c r="X224">
        <v>165.88</v>
      </c>
      <c r="Y224">
        <v>0</v>
      </c>
      <c r="Z224">
        <v>0</v>
      </c>
      <c r="AA224">
        <v>0</v>
      </c>
      <c r="AB224">
        <v>8.64</v>
      </c>
      <c r="AC224">
        <v>0</v>
      </c>
      <c r="AD224">
        <v>1</v>
      </c>
      <c r="AE224">
        <v>1</v>
      </c>
      <c r="AF224" t="s">
        <v>21</v>
      </c>
      <c r="AG224">
        <v>190.76199999999997</v>
      </c>
      <c r="AH224">
        <v>2</v>
      </c>
      <c r="AI224">
        <v>145041863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ROW(Source!A114)</f>
        <v>114</v>
      </c>
      <c r="B225">
        <v>145041864</v>
      </c>
      <c r="C225">
        <v>145041862</v>
      </c>
      <c r="D225">
        <v>140760225</v>
      </c>
      <c r="E225">
        <v>70</v>
      </c>
      <c r="F225">
        <v>1</v>
      </c>
      <c r="G225">
        <v>1</v>
      </c>
      <c r="H225">
        <v>1</v>
      </c>
      <c r="I225" t="s">
        <v>730</v>
      </c>
      <c r="J225" t="s">
        <v>3</v>
      </c>
      <c r="K225" t="s">
        <v>731</v>
      </c>
      <c r="L225">
        <v>1191</v>
      </c>
      <c r="N225">
        <v>1013</v>
      </c>
      <c r="O225" t="s">
        <v>725</v>
      </c>
      <c r="P225" t="s">
        <v>725</v>
      </c>
      <c r="Q225">
        <v>1</v>
      </c>
      <c r="X225">
        <v>0.67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2</v>
      </c>
      <c r="AF225" t="s">
        <v>21</v>
      </c>
      <c r="AG225">
        <v>0.77049999999999996</v>
      </c>
      <c r="AH225">
        <v>2</v>
      </c>
      <c r="AI225">
        <v>145041864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ROW(Source!A114)</f>
        <v>114</v>
      </c>
      <c r="B226">
        <v>145041865</v>
      </c>
      <c r="C226">
        <v>145041862</v>
      </c>
      <c r="D226">
        <v>140923086</v>
      </c>
      <c r="E226">
        <v>1</v>
      </c>
      <c r="F226">
        <v>1</v>
      </c>
      <c r="G226">
        <v>1</v>
      </c>
      <c r="H226">
        <v>2</v>
      </c>
      <c r="I226" t="s">
        <v>953</v>
      </c>
      <c r="J226" t="s">
        <v>954</v>
      </c>
      <c r="K226" t="s">
        <v>955</v>
      </c>
      <c r="L226">
        <v>1367</v>
      </c>
      <c r="N226">
        <v>1011</v>
      </c>
      <c r="O226" t="s">
        <v>79</v>
      </c>
      <c r="P226" t="s">
        <v>79</v>
      </c>
      <c r="Q226">
        <v>1</v>
      </c>
      <c r="X226">
        <v>0.16</v>
      </c>
      <c r="Y226">
        <v>0</v>
      </c>
      <c r="Z226">
        <v>1.7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21</v>
      </c>
      <c r="AG226">
        <v>0.184</v>
      </c>
      <c r="AH226">
        <v>2</v>
      </c>
      <c r="AI226">
        <v>145041865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ROW(Source!A114)</f>
        <v>114</v>
      </c>
      <c r="B227">
        <v>145041866</v>
      </c>
      <c r="C227">
        <v>145041862</v>
      </c>
      <c r="D227">
        <v>140923885</v>
      </c>
      <c r="E227">
        <v>1</v>
      </c>
      <c r="F227">
        <v>1</v>
      </c>
      <c r="G227">
        <v>1</v>
      </c>
      <c r="H227">
        <v>2</v>
      </c>
      <c r="I227" t="s">
        <v>732</v>
      </c>
      <c r="J227" t="s">
        <v>733</v>
      </c>
      <c r="K227" t="s">
        <v>734</v>
      </c>
      <c r="L227">
        <v>1367</v>
      </c>
      <c r="N227">
        <v>1011</v>
      </c>
      <c r="O227" t="s">
        <v>79</v>
      </c>
      <c r="P227" t="s">
        <v>79</v>
      </c>
      <c r="Q227">
        <v>1</v>
      </c>
      <c r="X227">
        <v>0.2</v>
      </c>
      <c r="Y227">
        <v>0</v>
      </c>
      <c r="Z227">
        <v>65.709999999999994</v>
      </c>
      <c r="AA227">
        <v>11.6</v>
      </c>
      <c r="AB227">
        <v>0</v>
      </c>
      <c r="AC227">
        <v>0</v>
      </c>
      <c r="AD227">
        <v>1</v>
      </c>
      <c r="AE227">
        <v>0</v>
      </c>
      <c r="AF227" t="s">
        <v>21</v>
      </c>
      <c r="AG227">
        <v>0.22999999999999998</v>
      </c>
      <c r="AH227">
        <v>2</v>
      </c>
      <c r="AI227">
        <v>145041866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ROW(Source!A114)</f>
        <v>114</v>
      </c>
      <c r="B228">
        <v>145041867</v>
      </c>
      <c r="C228">
        <v>145041862</v>
      </c>
      <c r="D228">
        <v>140924098</v>
      </c>
      <c r="E228">
        <v>1</v>
      </c>
      <c r="F228">
        <v>1</v>
      </c>
      <c r="G228">
        <v>1</v>
      </c>
      <c r="H228">
        <v>2</v>
      </c>
      <c r="I228" t="s">
        <v>755</v>
      </c>
      <c r="J228" t="s">
        <v>756</v>
      </c>
      <c r="K228" t="s">
        <v>757</v>
      </c>
      <c r="L228">
        <v>1367</v>
      </c>
      <c r="N228">
        <v>1011</v>
      </c>
      <c r="O228" t="s">
        <v>79</v>
      </c>
      <c r="P228" t="s">
        <v>79</v>
      </c>
      <c r="Q228">
        <v>1</v>
      </c>
      <c r="X228">
        <v>0.74</v>
      </c>
      <c r="Y228">
        <v>0</v>
      </c>
      <c r="Z228">
        <v>8.1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21</v>
      </c>
      <c r="AG228">
        <v>0.85099999999999998</v>
      </c>
      <c r="AH228">
        <v>2</v>
      </c>
      <c r="AI228">
        <v>145041867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ROW(Source!A114)</f>
        <v>114</v>
      </c>
      <c r="B229">
        <v>145041868</v>
      </c>
      <c r="C229">
        <v>145041862</v>
      </c>
      <c r="D229">
        <v>140924112</v>
      </c>
      <c r="E229">
        <v>1</v>
      </c>
      <c r="F229">
        <v>1</v>
      </c>
      <c r="G229">
        <v>1</v>
      </c>
      <c r="H229">
        <v>2</v>
      </c>
      <c r="I229" t="s">
        <v>956</v>
      </c>
      <c r="J229" t="s">
        <v>957</v>
      </c>
      <c r="K229" t="s">
        <v>958</v>
      </c>
      <c r="L229">
        <v>1367</v>
      </c>
      <c r="N229">
        <v>1011</v>
      </c>
      <c r="O229" t="s">
        <v>79</v>
      </c>
      <c r="P229" t="s">
        <v>79</v>
      </c>
      <c r="Q229">
        <v>1</v>
      </c>
      <c r="X229">
        <v>0.47</v>
      </c>
      <c r="Y229">
        <v>0</v>
      </c>
      <c r="Z229">
        <v>90</v>
      </c>
      <c r="AA229">
        <v>10.06</v>
      </c>
      <c r="AB229">
        <v>0</v>
      </c>
      <c r="AC229">
        <v>0</v>
      </c>
      <c r="AD229">
        <v>1</v>
      </c>
      <c r="AE229">
        <v>0</v>
      </c>
      <c r="AF229" t="s">
        <v>21</v>
      </c>
      <c r="AG229">
        <v>0.54049999999999998</v>
      </c>
      <c r="AH229">
        <v>2</v>
      </c>
      <c r="AI229">
        <v>145041868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ROW(Source!A114)</f>
        <v>114</v>
      </c>
      <c r="B230">
        <v>145041869</v>
      </c>
      <c r="C230">
        <v>145041862</v>
      </c>
      <c r="D230">
        <v>140924577</v>
      </c>
      <c r="E230">
        <v>1</v>
      </c>
      <c r="F230">
        <v>1</v>
      </c>
      <c r="G230">
        <v>1</v>
      </c>
      <c r="H230">
        <v>2</v>
      </c>
      <c r="I230" t="s">
        <v>909</v>
      </c>
      <c r="J230" t="s">
        <v>910</v>
      </c>
      <c r="K230" t="s">
        <v>911</v>
      </c>
      <c r="L230">
        <v>1367</v>
      </c>
      <c r="N230">
        <v>1011</v>
      </c>
      <c r="O230" t="s">
        <v>79</v>
      </c>
      <c r="P230" t="s">
        <v>79</v>
      </c>
      <c r="Q230">
        <v>1</v>
      </c>
      <c r="X230">
        <v>0.92</v>
      </c>
      <c r="Y230">
        <v>0</v>
      </c>
      <c r="Z230">
        <v>1.53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21</v>
      </c>
      <c r="AG230">
        <v>1.0580000000000001</v>
      </c>
      <c r="AH230">
        <v>2</v>
      </c>
      <c r="AI230">
        <v>145041869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ROW(Source!A114)</f>
        <v>114</v>
      </c>
      <c r="B231">
        <v>145041870</v>
      </c>
      <c r="C231">
        <v>145041862</v>
      </c>
      <c r="D231">
        <v>140773798</v>
      </c>
      <c r="E231">
        <v>1</v>
      </c>
      <c r="F231">
        <v>1</v>
      </c>
      <c r="G231">
        <v>1</v>
      </c>
      <c r="H231">
        <v>3</v>
      </c>
      <c r="I231" t="s">
        <v>758</v>
      </c>
      <c r="J231" t="s">
        <v>759</v>
      </c>
      <c r="K231" t="s">
        <v>760</v>
      </c>
      <c r="L231">
        <v>1348</v>
      </c>
      <c r="N231">
        <v>1009</v>
      </c>
      <c r="O231" t="s">
        <v>105</v>
      </c>
      <c r="P231" t="s">
        <v>105</v>
      </c>
      <c r="Q231">
        <v>1000</v>
      </c>
      <c r="X231">
        <v>8.9999999999999993E-3</v>
      </c>
      <c r="Y231">
        <v>9424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8.9999999999999993E-3</v>
      </c>
      <c r="AH231">
        <v>2</v>
      </c>
      <c r="AI231">
        <v>145041870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ROW(Source!A114)</f>
        <v>114</v>
      </c>
      <c r="B232">
        <v>145041871</v>
      </c>
      <c r="C232">
        <v>145041862</v>
      </c>
      <c r="D232">
        <v>140778120</v>
      </c>
      <c r="E232">
        <v>1</v>
      </c>
      <c r="F232">
        <v>1</v>
      </c>
      <c r="G232">
        <v>1</v>
      </c>
      <c r="H232">
        <v>3</v>
      </c>
      <c r="I232" t="s">
        <v>311</v>
      </c>
      <c r="J232" t="s">
        <v>313</v>
      </c>
      <c r="K232" t="s">
        <v>312</v>
      </c>
      <c r="L232">
        <v>1339</v>
      </c>
      <c r="N232">
        <v>1007</v>
      </c>
      <c r="O232" t="s">
        <v>66</v>
      </c>
      <c r="P232" t="s">
        <v>66</v>
      </c>
      <c r="Q232">
        <v>1</v>
      </c>
      <c r="X232">
        <v>0.54</v>
      </c>
      <c r="Y232">
        <v>519.79999999999995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0.54</v>
      </c>
      <c r="AH232">
        <v>2</v>
      </c>
      <c r="AI232">
        <v>145041871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ROW(Source!A114)</f>
        <v>114</v>
      </c>
      <c r="B233">
        <v>145041872</v>
      </c>
      <c r="C233">
        <v>145041862</v>
      </c>
      <c r="D233">
        <v>140787923</v>
      </c>
      <c r="E233">
        <v>1</v>
      </c>
      <c r="F233">
        <v>1</v>
      </c>
      <c r="G233">
        <v>1</v>
      </c>
      <c r="H233">
        <v>3</v>
      </c>
      <c r="I233" t="s">
        <v>386</v>
      </c>
      <c r="J233" t="s">
        <v>388</v>
      </c>
      <c r="K233" t="s">
        <v>387</v>
      </c>
      <c r="L233">
        <v>1407</v>
      </c>
      <c r="N233">
        <v>1013</v>
      </c>
      <c r="O233" t="s">
        <v>175</v>
      </c>
      <c r="P233" t="s">
        <v>175</v>
      </c>
      <c r="Q233">
        <v>1</v>
      </c>
      <c r="X233">
        <v>0.56999999999999995</v>
      </c>
      <c r="Y233">
        <v>1752.6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0.56999999999999995</v>
      </c>
      <c r="AH233">
        <v>2</v>
      </c>
      <c r="AI233">
        <v>145041872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ROW(Source!A114)</f>
        <v>114</v>
      </c>
      <c r="B234">
        <v>145041873</v>
      </c>
      <c r="C234">
        <v>145041862</v>
      </c>
      <c r="D234">
        <v>140762020</v>
      </c>
      <c r="E234">
        <v>70</v>
      </c>
      <c r="F234">
        <v>1</v>
      </c>
      <c r="G234">
        <v>1</v>
      </c>
      <c r="H234">
        <v>3</v>
      </c>
      <c r="I234" t="s">
        <v>959</v>
      </c>
      <c r="J234" t="s">
        <v>3</v>
      </c>
      <c r="K234" t="s">
        <v>960</v>
      </c>
      <c r="L234">
        <v>1348</v>
      </c>
      <c r="N234">
        <v>1009</v>
      </c>
      <c r="O234" t="s">
        <v>105</v>
      </c>
      <c r="P234" t="s">
        <v>105</v>
      </c>
      <c r="Q234">
        <v>1000</v>
      </c>
      <c r="X234">
        <v>1.04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 t="s">
        <v>3</v>
      </c>
      <c r="AG234">
        <v>1.04</v>
      </c>
      <c r="AH234">
        <v>2</v>
      </c>
      <c r="AI234">
        <v>145041873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ROW(Source!A121)</f>
        <v>121</v>
      </c>
      <c r="B235">
        <v>145051216</v>
      </c>
      <c r="C235">
        <v>145051215</v>
      </c>
      <c r="D235">
        <v>136021821</v>
      </c>
      <c r="E235">
        <v>58</v>
      </c>
      <c r="F235">
        <v>1</v>
      </c>
      <c r="G235">
        <v>1</v>
      </c>
      <c r="H235">
        <v>1</v>
      </c>
      <c r="I235" t="s">
        <v>808</v>
      </c>
      <c r="J235" t="s">
        <v>3</v>
      </c>
      <c r="K235" t="s">
        <v>961</v>
      </c>
      <c r="L235">
        <v>1191</v>
      </c>
      <c r="N235">
        <v>1013</v>
      </c>
      <c r="O235" t="s">
        <v>725</v>
      </c>
      <c r="P235" t="s">
        <v>725</v>
      </c>
      <c r="Q235">
        <v>1</v>
      </c>
      <c r="X235">
        <v>0.57999999999999996</v>
      </c>
      <c r="Y235">
        <v>0</v>
      </c>
      <c r="Z235">
        <v>0</v>
      </c>
      <c r="AA235">
        <v>0</v>
      </c>
      <c r="AB235">
        <v>7.56</v>
      </c>
      <c r="AC235">
        <v>0</v>
      </c>
      <c r="AD235">
        <v>1</v>
      </c>
      <c r="AE235">
        <v>1</v>
      </c>
      <c r="AF235" t="s">
        <v>21</v>
      </c>
      <c r="AG235">
        <v>0.66699999999999993</v>
      </c>
      <c r="AH235">
        <v>2</v>
      </c>
      <c r="AI235">
        <v>145051216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ROW(Source!A122)</f>
        <v>122</v>
      </c>
      <c r="B236">
        <v>145051219</v>
      </c>
      <c r="C236">
        <v>145051218</v>
      </c>
      <c r="D236">
        <v>140760051</v>
      </c>
      <c r="E236">
        <v>70</v>
      </c>
      <c r="F236">
        <v>1</v>
      </c>
      <c r="G236">
        <v>1</v>
      </c>
      <c r="H236">
        <v>1</v>
      </c>
      <c r="I236" t="s">
        <v>859</v>
      </c>
      <c r="J236" t="s">
        <v>3</v>
      </c>
      <c r="K236" t="s">
        <v>860</v>
      </c>
      <c r="L236">
        <v>1191</v>
      </c>
      <c r="N236">
        <v>1013</v>
      </c>
      <c r="O236" t="s">
        <v>725</v>
      </c>
      <c r="P236" t="s">
        <v>725</v>
      </c>
      <c r="Q236">
        <v>1</v>
      </c>
      <c r="X236">
        <v>19.8</v>
      </c>
      <c r="Y236">
        <v>0</v>
      </c>
      <c r="Z236">
        <v>0</v>
      </c>
      <c r="AA236">
        <v>0</v>
      </c>
      <c r="AB236">
        <v>10.210000000000001</v>
      </c>
      <c r="AC236">
        <v>0</v>
      </c>
      <c r="AD236">
        <v>1</v>
      </c>
      <c r="AE236">
        <v>1</v>
      </c>
      <c r="AF236" t="s">
        <v>404</v>
      </c>
      <c r="AG236">
        <v>15.938999999999998</v>
      </c>
      <c r="AH236">
        <v>2</v>
      </c>
      <c r="AI236">
        <v>145051219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ROW(Source!A122)</f>
        <v>122</v>
      </c>
      <c r="B237">
        <v>145051220</v>
      </c>
      <c r="C237">
        <v>145051218</v>
      </c>
      <c r="D237">
        <v>140760225</v>
      </c>
      <c r="E237">
        <v>70</v>
      </c>
      <c r="F237">
        <v>1</v>
      </c>
      <c r="G237">
        <v>1</v>
      </c>
      <c r="H237">
        <v>1</v>
      </c>
      <c r="I237" t="s">
        <v>730</v>
      </c>
      <c r="J237" t="s">
        <v>3</v>
      </c>
      <c r="K237" t="s">
        <v>731</v>
      </c>
      <c r="L237">
        <v>1191</v>
      </c>
      <c r="N237">
        <v>1013</v>
      </c>
      <c r="O237" t="s">
        <v>725</v>
      </c>
      <c r="P237" t="s">
        <v>725</v>
      </c>
      <c r="Q237">
        <v>1</v>
      </c>
      <c r="X237">
        <v>2.08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2</v>
      </c>
      <c r="AF237" t="s">
        <v>404</v>
      </c>
      <c r="AG237">
        <v>1.6743999999999999</v>
      </c>
      <c r="AH237">
        <v>2</v>
      </c>
      <c r="AI237">
        <v>145051220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ROW(Source!A122)</f>
        <v>122</v>
      </c>
      <c r="B238">
        <v>145051221</v>
      </c>
      <c r="C238">
        <v>145051218</v>
      </c>
      <c r="D238">
        <v>140922906</v>
      </c>
      <c r="E238">
        <v>1</v>
      </c>
      <c r="F238">
        <v>1</v>
      </c>
      <c r="G238">
        <v>1</v>
      </c>
      <c r="H238">
        <v>2</v>
      </c>
      <c r="I238" t="s">
        <v>962</v>
      </c>
      <c r="J238" t="s">
        <v>963</v>
      </c>
      <c r="K238" t="s">
        <v>964</v>
      </c>
      <c r="L238">
        <v>1367</v>
      </c>
      <c r="N238">
        <v>1011</v>
      </c>
      <c r="O238" t="s">
        <v>79</v>
      </c>
      <c r="P238" t="s">
        <v>79</v>
      </c>
      <c r="Q238">
        <v>1</v>
      </c>
      <c r="X238">
        <v>0.08</v>
      </c>
      <c r="Y238">
        <v>0</v>
      </c>
      <c r="Z238">
        <v>120.24</v>
      </c>
      <c r="AA238">
        <v>15.42</v>
      </c>
      <c r="AB238">
        <v>0</v>
      </c>
      <c r="AC238">
        <v>0</v>
      </c>
      <c r="AD238">
        <v>1</v>
      </c>
      <c r="AE238">
        <v>0</v>
      </c>
      <c r="AF238" t="s">
        <v>404</v>
      </c>
      <c r="AG238">
        <v>6.4399999999999999E-2</v>
      </c>
      <c r="AH238">
        <v>2</v>
      </c>
      <c r="AI238">
        <v>145051221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ROW(Source!A122)</f>
        <v>122</v>
      </c>
      <c r="B239">
        <v>145051222</v>
      </c>
      <c r="C239">
        <v>145051218</v>
      </c>
      <c r="D239">
        <v>140922951</v>
      </c>
      <c r="E239">
        <v>1</v>
      </c>
      <c r="F239">
        <v>1</v>
      </c>
      <c r="G239">
        <v>1</v>
      </c>
      <c r="H239">
        <v>2</v>
      </c>
      <c r="I239" t="s">
        <v>752</v>
      </c>
      <c r="J239" t="s">
        <v>753</v>
      </c>
      <c r="K239" t="s">
        <v>754</v>
      </c>
      <c r="L239">
        <v>1367</v>
      </c>
      <c r="N239">
        <v>1011</v>
      </c>
      <c r="O239" t="s">
        <v>79</v>
      </c>
      <c r="P239" t="s">
        <v>79</v>
      </c>
      <c r="Q239">
        <v>1</v>
      </c>
      <c r="X239">
        <v>0.12</v>
      </c>
      <c r="Y239">
        <v>0</v>
      </c>
      <c r="Z239">
        <v>115.4</v>
      </c>
      <c r="AA239">
        <v>13.5</v>
      </c>
      <c r="AB239">
        <v>0</v>
      </c>
      <c r="AC239">
        <v>0</v>
      </c>
      <c r="AD239">
        <v>1</v>
      </c>
      <c r="AE239">
        <v>0</v>
      </c>
      <c r="AF239" t="s">
        <v>404</v>
      </c>
      <c r="AG239">
        <v>9.6599999999999978E-2</v>
      </c>
      <c r="AH239">
        <v>2</v>
      </c>
      <c r="AI239">
        <v>145051222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ROW(Source!A122)</f>
        <v>122</v>
      </c>
      <c r="B240">
        <v>145051223</v>
      </c>
      <c r="C240">
        <v>145051218</v>
      </c>
      <c r="D240">
        <v>140922957</v>
      </c>
      <c r="E240">
        <v>1</v>
      </c>
      <c r="F240">
        <v>1</v>
      </c>
      <c r="G240">
        <v>1</v>
      </c>
      <c r="H240">
        <v>2</v>
      </c>
      <c r="I240" t="s">
        <v>965</v>
      </c>
      <c r="J240" t="s">
        <v>966</v>
      </c>
      <c r="K240" t="s">
        <v>967</v>
      </c>
      <c r="L240">
        <v>1367</v>
      </c>
      <c r="N240">
        <v>1011</v>
      </c>
      <c r="O240" t="s">
        <v>79</v>
      </c>
      <c r="P240" t="s">
        <v>79</v>
      </c>
      <c r="Q240">
        <v>1</v>
      </c>
      <c r="X240">
        <v>1.69</v>
      </c>
      <c r="Y240">
        <v>0</v>
      </c>
      <c r="Z240">
        <v>120.04</v>
      </c>
      <c r="AA240">
        <v>13.5</v>
      </c>
      <c r="AB240">
        <v>0</v>
      </c>
      <c r="AC240">
        <v>0</v>
      </c>
      <c r="AD240">
        <v>1</v>
      </c>
      <c r="AE240">
        <v>0</v>
      </c>
      <c r="AF240" t="s">
        <v>404</v>
      </c>
      <c r="AG240">
        <v>1.3604499999999997</v>
      </c>
      <c r="AH240">
        <v>2</v>
      </c>
      <c r="AI240">
        <v>145051223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ROW(Source!A122)</f>
        <v>122</v>
      </c>
      <c r="B241">
        <v>145051224</v>
      </c>
      <c r="C241">
        <v>145051218</v>
      </c>
      <c r="D241">
        <v>140923032</v>
      </c>
      <c r="E241">
        <v>1</v>
      </c>
      <c r="F241">
        <v>1</v>
      </c>
      <c r="G241">
        <v>1</v>
      </c>
      <c r="H241">
        <v>2</v>
      </c>
      <c r="I241" t="s">
        <v>968</v>
      </c>
      <c r="J241" t="s">
        <v>969</v>
      </c>
      <c r="K241" t="s">
        <v>970</v>
      </c>
      <c r="L241">
        <v>1367</v>
      </c>
      <c r="N241">
        <v>1011</v>
      </c>
      <c r="O241" t="s">
        <v>79</v>
      </c>
      <c r="P241" t="s">
        <v>79</v>
      </c>
      <c r="Q241">
        <v>1</v>
      </c>
      <c r="X241">
        <v>0.12</v>
      </c>
      <c r="Y241">
        <v>0</v>
      </c>
      <c r="Z241">
        <v>0.9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404</v>
      </c>
      <c r="AG241">
        <v>9.6599999999999978E-2</v>
      </c>
      <c r="AH241">
        <v>2</v>
      </c>
      <c r="AI241">
        <v>145051224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ROW(Source!A122)</f>
        <v>122</v>
      </c>
      <c r="B242">
        <v>145051225</v>
      </c>
      <c r="C242">
        <v>145051218</v>
      </c>
      <c r="D242">
        <v>140923885</v>
      </c>
      <c r="E242">
        <v>1</v>
      </c>
      <c r="F242">
        <v>1</v>
      </c>
      <c r="G242">
        <v>1</v>
      </c>
      <c r="H242">
        <v>2</v>
      </c>
      <c r="I242" t="s">
        <v>732</v>
      </c>
      <c r="J242" t="s">
        <v>733</v>
      </c>
      <c r="K242" t="s">
        <v>734</v>
      </c>
      <c r="L242">
        <v>1367</v>
      </c>
      <c r="N242">
        <v>1011</v>
      </c>
      <c r="O242" t="s">
        <v>79</v>
      </c>
      <c r="P242" t="s">
        <v>79</v>
      </c>
      <c r="Q242">
        <v>1</v>
      </c>
      <c r="X242">
        <v>0.19</v>
      </c>
      <c r="Y242">
        <v>0</v>
      </c>
      <c r="Z242">
        <v>65.709999999999994</v>
      </c>
      <c r="AA242">
        <v>11.6</v>
      </c>
      <c r="AB242">
        <v>0</v>
      </c>
      <c r="AC242">
        <v>0</v>
      </c>
      <c r="AD242">
        <v>1</v>
      </c>
      <c r="AE242">
        <v>0</v>
      </c>
      <c r="AF242" t="s">
        <v>404</v>
      </c>
      <c r="AG242">
        <v>0.15294999999999997</v>
      </c>
      <c r="AH242">
        <v>2</v>
      </c>
      <c r="AI242">
        <v>145051225</v>
      </c>
      <c r="AJ242">
        <v>242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ROW(Source!A122)</f>
        <v>122</v>
      </c>
      <c r="B243">
        <v>145051226</v>
      </c>
      <c r="C243">
        <v>145051218</v>
      </c>
      <c r="D243">
        <v>140924041</v>
      </c>
      <c r="E243">
        <v>1</v>
      </c>
      <c r="F243">
        <v>1</v>
      </c>
      <c r="G243">
        <v>1</v>
      </c>
      <c r="H243">
        <v>2</v>
      </c>
      <c r="I243" t="s">
        <v>777</v>
      </c>
      <c r="J243" t="s">
        <v>778</v>
      </c>
      <c r="K243" t="s">
        <v>779</v>
      </c>
      <c r="L243">
        <v>1367</v>
      </c>
      <c r="N243">
        <v>1011</v>
      </c>
      <c r="O243" t="s">
        <v>79</v>
      </c>
      <c r="P243" t="s">
        <v>79</v>
      </c>
      <c r="Q243">
        <v>1</v>
      </c>
      <c r="X243">
        <v>1.79</v>
      </c>
      <c r="Y243">
        <v>0</v>
      </c>
      <c r="Z243">
        <v>1.2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404</v>
      </c>
      <c r="AG243">
        <v>1.44095</v>
      </c>
      <c r="AH243">
        <v>2</v>
      </c>
      <c r="AI243">
        <v>145051226</v>
      </c>
      <c r="AJ243">
        <v>243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ROW(Source!A122)</f>
        <v>122</v>
      </c>
      <c r="B244">
        <v>145051227</v>
      </c>
      <c r="C244">
        <v>145051218</v>
      </c>
      <c r="D244">
        <v>140924084</v>
      </c>
      <c r="E244">
        <v>1</v>
      </c>
      <c r="F244">
        <v>1</v>
      </c>
      <c r="G244">
        <v>1</v>
      </c>
      <c r="H244">
        <v>2</v>
      </c>
      <c r="I244" t="s">
        <v>971</v>
      </c>
      <c r="J244" t="s">
        <v>972</v>
      </c>
      <c r="K244" t="s">
        <v>973</v>
      </c>
      <c r="L244">
        <v>1367</v>
      </c>
      <c r="N244">
        <v>1011</v>
      </c>
      <c r="O244" t="s">
        <v>79</v>
      </c>
      <c r="P244" t="s">
        <v>79</v>
      </c>
      <c r="Q244">
        <v>1</v>
      </c>
      <c r="X244">
        <v>6.8</v>
      </c>
      <c r="Y244">
        <v>0</v>
      </c>
      <c r="Z244">
        <v>12.31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404</v>
      </c>
      <c r="AG244">
        <v>5.4739999999999993</v>
      </c>
      <c r="AH244">
        <v>2</v>
      </c>
      <c r="AI244">
        <v>145051227</v>
      </c>
      <c r="AJ244">
        <v>244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ROW(Source!A122)</f>
        <v>122</v>
      </c>
      <c r="B245">
        <v>145051228</v>
      </c>
      <c r="C245">
        <v>145051218</v>
      </c>
      <c r="D245">
        <v>140771005</v>
      </c>
      <c r="E245">
        <v>1</v>
      </c>
      <c r="F245">
        <v>1</v>
      </c>
      <c r="G245">
        <v>1</v>
      </c>
      <c r="H245">
        <v>3</v>
      </c>
      <c r="I245" t="s">
        <v>786</v>
      </c>
      <c r="J245" t="s">
        <v>787</v>
      </c>
      <c r="K245" t="s">
        <v>788</v>
      </c>
      <c r="L245">
        <v>1339</v>
      </c>
      <c r="N245">
        <v>1007</v>
      </c>
      <c r="O245" t="s">
        <v>66</v>
      </c>
      <c r="P245" t="s">
        <v>66</v>
      </c>
      <c r="Q245">
        <v>1</v>
      </c>
      <c r="X245">
        <v>1.4</v>
      </c>
      <c r="Y245">
        <v>6.22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299</v>
      </c>
      <c r="AG245">
        <v>0</v>
      </c>
      <c r="AH245">
        <v>2</v>
      </c>
      <c r="AI245">
        <v>145051228</v>
      </c>
      <c r="AJ245">
        <v>245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ROW(Source!A122)</f>
        <v>122</v>
      </c>
      <c r="B246">
        <v>145051229</v>
      </c>
      <c r="C246">
        <v>145051218</v>
      </c>
      <c r="D246">
        <v>140771011</v>
      </c>
      <c r="E246">
        <v>1</v>
      </c>
      <c r="F246">
        <v>1</v>
      </c>
      <c r="G246">
        <v>1</v>
      </c>
      <c r="H246">
        <v>3</v>
      </c>
      <c r="I246" t="s">
        <v>789</v>
      </c>
      <c r="J246" t="s">
        <v>790</v>
      </c>
      <c r="K246" t="s">
        <v>791</v>
      </c>
      <c r="L246">
        <v>1346</v>
      </c>
      <c r="N246">
        <v>1009</v>
      </c>
      <c r="O246" t="s">
        <v>43</v>
      </c>
      <c r="P246" t="s">
        <v>43</v>
      </c>
      <c r="Q246">
        <v>1</v>
      </c>
      <c r="X246">
        <v>0.42</v>
      </c>
      <c r="Y246">
        <v>6.09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299</v>
      </c>
      <c r="AG246">
        <v>0</v>
      </c>
      <c r="AH246">
        <v>2</v>
      </c>
      <c r="AI246">
        <v>145051229</v>
      </c>
      <c r="AJ246">
        <v>246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ROW(Source!A122)</f>
        <v>122</v>
      </c>
      <c r="B247">
        <v>145051230</v>
      </c>
      <c r="C247">
        <v>145051218</v>
      </c>
      <c r="D247">
        <v>140773780</v>
      </c>
      <c r="E247">
        <v>1</v>
      </c>
      <c r="F247">
        <v>1</v>
      </c>
      <c r="G247">
        <v>1</v>
      </c>
      <c r="H247">
        <v>3</v>
      </c>
      <c r="I247" t="s">
        <v>974</v>
      </c>
      <c r="J247" t="s">
        <v>975</v>
      </c>
      <c r="K247" t="s">
        <v>976</v>
      </c>
      <c r="L247">
        <v>1346</v>
      </c>
      <c r="N247">
        <v>1009</v>
      </c>
      <c r="O247" t="s">
        <v>43</v>
      </c>
      <c r="P247" t="s">
        <v>43</v>
      </c>
      <c r="Q247">
        <v>1</v>
      </c>
      <c r="X247">
        <v>4</v>
      </c>
      <c r="Y247">
        <v>10.75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299</v>
      </c>
      <c r="AG247">
        <v>0</v>
      </c>
      <c r="AH247">
        <v>2</v>
      </c>
      <c r="AI247">
        <v>145051230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ROW(Source!A122)</f>
        <v>122</v>
      </c>
      <c r="B248">
        <v>145051231</v>
      </c>
      <c r="C248">
        <v>145051218</v>
      </c>
      <c r="D248">
        <v>140775017</v>
      </c>
      <c r="E248">
        <v>1</v>
      </c>
      <c r="F248">
        <v>1</v>
      </c>
      <c r="G248">
        <v>1</v>
      </c>
      <c r="H248">
        <v>3</v>
      </c>
      <c r="I248" t="s">
        <v>977</v>
      </c>
      <c r="J248" t="s">
        <v>978</v>
      </c>
      <c r="K248" t="s">
        <v>979</v>
      </c>
      <c r="L248">
        <v>1346</v>
      </c>
      <c r="N248">
        <v>1009</v>
      </c>
      <c r="O248" t="s">
        <v>43</v>
      </c>
      <c r="P248" t="s">
        <v>43</v>
      </c>
      <c r="Q248">
        <v>1</v>
      </c>
      <c r="X248">
        <v>0</v>
      </c>
      <c r="Y248">
        <v>9.0399999999999991</v>
      </c>
      <c r="Z248">
        <v>0</v>
      </c>
      <c r="AA248">
        <v>0</v>
      </c>
      <c r="AB248">
        <v>0</v>
      </c>
      <c r="AC248">
        <v>1</v>
      </c>
      <c r="AD248">
        <v>0</v>
      </c>
      <c r="AE248">
        <v>0</v>
      </c>
      <c r="AF248" t="s">
        <v>299</v>
      </c>
      <c r="AG248">
        <v>0</v>
      </c>
      <c r="AH248">
        <v>2</v>
      </c>
      <c r="AI248">
        <v>145051231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ROW(Source!A122)</f>
        <v>122</v>
      </c>
      <c r="B249">
        <v>145051232</v>
      </c>
      <c r="C249">
        <v>145051218</v>
      </c>
      <c r="D249">
        <v>140775118</v>
      </c>
      <c r="E249">
        <v>1</v>
      </c>
      <c r="F249">
        <v>1</v>
      </c>
      <c r="G249">
        <v>1</v>
      </c>
      <c r="H249">
        <v>3</v>
      </c>
      <c r="I249" t="s">
        <v>980</v>
      </c>
      <c r="J249" t="s">
        <v>981</v>
      </c>
      <c r="K249" t="s">
        <v>982</v>
      </c>
      <c r="L249">
        <v>1348</v>
      </c>
      <c r="N249">
        <v>1009</v>
      </c>
      <c r="O249" t="s">
        <v>105</v>
      </c>
      <c r="P249" t="s">
        <v>105</v>
      </c>
      <c r="Q249">
        <v>1000</v>
      </c>
      <c r="X249">
        <v>1.0000000000000001E-5</v>
      </c>
      <c r="Y249">
        <v>11978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299</v>
      </c>
      <c r="AG249">
        <v>0</v>
      </c>
      <c r="AH249">
        <v>2</v>
      </c>
      <c r="AI249">
        <v>145051232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ROW(Source!A122)</f>
        <v>122</v>
      </c>
      <c r="B250">
        <v>145051233</v>
      </c>
      <c r="C250">
        <v>145051218</v>
      </c>
      <c r="D250">
        <v>140776229</v>
      </c>
      <c r="E250">
        <v>1</v>
      </c>
      <c r="F250">
        <v>1</v>
      </c>
      <c r="G250">
        <v>1</v>
      </c>
      <c r="H250">
        <v>3</v>
      </c>
      <c r="I250" t="s">
        <v>983</v>
      </c>
      <c r="J250" t="s">
        <v>984</v>
      </c>
      <c r="K250" t="s">
        <v>985</v>
      </c>
      <c r="L250">
        <v>1348</v>
      </c>
      <c r="N250">
        <v>1009</v>
      </c>
      <c r="O250" t="s">
        <v>105</v>
      </c>
      <c r="P250" t="s">
        <v>105</v>
      </c>
      <c r="Q250">
        <v>1000</v>
      </c>
      <c r="X250">
        <v>1E-4</v>
      </c>
      <c r="Y250">
        <v>37900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299</v>
      </c>
      <c r="AG250">
        <v>0</v>
      </c>
      <c r="AH250">
        <v>2</v>
      </c>
      <c r="AI250">
        <v>145051233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ROW(Source!A122)</f>
        <v>122</v>
      </c>
      <c r="B251">
        <v>145051234</v>
      </c>
      <c r="C251">
        <v>145051218</v>
      </c>
      <c r="D251">
        <v>140762020</v>
      </c>
      <c r="E251">
        <v>70</v>
      </c>
      <c r="F251">
        <v>1</v>
      </c>
      <c r="G251">
        <v>1</v>
      </c>
      <c r="H251">
        <v>3</v>
      </c>
      <c r="I251" t="s">
        <v>959</v>
      </c>
      <c r="J251" t="s">
        <v>3</v>
      </c>
      <c r="K251" t="s">
        <v>960</v>
      </c>
      <c r="L251">
        <v>1348</v>
      </c>
      <c r="N251">
        <v>1009</v>
      </c>
      <c r="O251" t="s">
        <v>105</v>
      </c>
      <c r="P251" t="s">
        <v>105</v>
      </c>
      <c r="Q251">
        <v>1000</v>
      </c>
      <c r="X251">
        <v>1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 t="s">
        <v>299</v>
      </c>
      <c r="AG251">
        <v>0</v>
      </c>
      <c r="AH251">
        <v>2</v>
      </c>
      <c r="AI251">
        <v>145051234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ROW(Source!A122)</f>
        <v>122</v>
      </c>
      <c r="B252">
        <v>145051235</v>
      </c>
      <c r="C252">
        <v>145051218</v>
      </c>
      <c r="D252">
        <v>140789856</v>
      </c>
      <c r="E252">
        <v>1</v>
      </c>
      <c r="F252">
        <v>1</v>
      </c>
      <c r="G252">
        <v>1</v>
      </c>
      <c r="H252">
        <v>3</v>
      </c>
      <c r="I252" t="s">
        <v>986</v>
      </c>
      <c r="J252" t="s">
        <v>987</v>
      </c>
      <c r="K252" t="s">
        <v>988</v>
      </c>
      <c r="L252">
        <v>1348</v>
      </c>
      <c r="N252">
        <v>1009</v>
      </c>
      <c r="O252" t="s">
        <v>105</v>
      </c>
      <c r="P252" t="s">
        <v>105</v>
      </c>
      <c r="Q252">
        <v>1000</v>
      </c>
      <c r="X252">
        <v>2E-3</v>
      </c>
      <c r="Y252">
        <v>7712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299</v>
      </c>
      <c r="AG252">
        <v>0</v>
      </c>
      <c r="AH252">
        <v>2</v>
      </c>
      <c r="AI252">
        <v>145051235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ROW(Source!A122)</f>
        <v>122</v>
      </c>
      <c r="B253">
        <v>145051236</v>
      </c>
      <c r="C253">
        <v>145051218</v>
      </c>
      <c r="D253">
        <v>140791984</v>
      </c>
      <c r="E253">
        <v>1</v>
      </c>
      <c r="F253">
        <v>1</v>
      </c>
      <c r="G253">
        <v>1</v>
      </c>
      <c r="H253">
        <v>3</v>
      </c>
      <c r="I253" t="s">
        <v>989</v>
      </c>
      <c r="J253" t="s">
        <v>990</v>
      </c>
      <c r="K253" t="s">
        <v>991</v>
      </c>
      <c r="L253">
        <v>1302</v>
      </c>
      <c r="N253">
        <v>1003</v>
      </c>
      <c r="O253" t="s">
        <v>928</v>
      </c>
      <c r="P253" t="s">
        <v>928</v>
      </c>
      <c r="Q253">
        <v>10</v>
      </c>
      <c r="X253">
        <v>1.8700000000000001E-2</v>
      </c>
      <c r="Y253">
        <v>50.24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299</v>
      </c>
      <c r="AG253">
        <v>0</v>
      </c>
      <c r="AH253">
        <v>2</v>
      </c>
      <c r="AI253">
        <v>145051236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ROW(Source!A122)</f>
        <v>122</v>
      </c>
      <c r="B254">
        <v>145051237</v>
      </c>
      <c r="C254">
        <v>145051218</v>
      </c>
      <c r="D254">
        <v>140792339</v>
      </c>
      <c r="E254">
        <v>1</v>
      </c>
      <c r="F254">
        <v>1</v>
      </c>
      <c r="G254">
        <v>1</v>
      </c>
      <c r="H254">
        <v>3</v>
      </c>
      <c r="I254" t="s">
        <v>832</v>
      </c>
      <c r="J254" t="s">
        <v>833</v>
      </c>
      <c r="K254" t="s">
        <v>834</v>
      </c>
      <c r="L254">
        <v>1348</v>
      </c>
      <c r="N254">
        <v>1009</v>
      </c>
      <c r="O254" t="s">
        <v>105</v>
      </c>
      <c r="P254" t="s">
        <v>105</v>
      </c>
      <c r="Q254">
        <v>1000</v>
      </c>
      <c r="X254">
        <v>3.0000000000000001E-5</v>
      </c>
      <c r="Y254">
        <v>4455.2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299</v>
      </c>
      <c r="AG254">
        <v>0</v>
      </c>
      <c r="AH254">
        <v>2</v>
      </c>
      <c r="AI254">
        <v>145051237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ROW(Source!A122)</f>
        <v>122</v>
      </c>
      <c r="B255">
        <v>145051238</v>
      </c>
      <c r="C255">
        <v>145051218</v>
      </c>
      <c r="D255">
        <v>140793072</v>
      </c>
      <c r="E255">
        <v>1</v>
      </c>
      <c r="F255">
        <v>1</v>
      </c>
      <c r="G255">
        <v>1</v>
      </c>
      <c r="H255">
        <v>3</v>
      </c>
      <c r="I255" t="s">
        <v>992</v>
      </c>
      <c r="J255" t="s">
        <v>993</v>
      </c>
      <c r="K255" t="s">
        <v>994</v>
      </c>
      <c r="L255">
        <v>1348</v>
      </c>
      <c r="N255">
        <v>1009</v>
      </c>
      <c r="O255" t="s">
        <v>105</v>
      </c>
      <c r="P255" t="s">
        <v>105</v>
      </c>
      <c r="Q255">
        <v>1000</v>
      </c>
      <c r="X255">
        <v>1.9400000000000001E-3</v>
      </c>
      <c r="Y255">
        <v>4920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299</v>
      </c>
      <c r="AG255">
        <v>0</v>
      </c>
      <c r="AH255">
        <v>2</v>
      </c>
      <c r="AI255">
        <v>145051238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ROW(Source!A122)</f>
        <v>122</v>
      </c>
      <c r="B256">
        <v>145051239</v>
      </c>
      <c r="C256">
        <v>145051218</v>
      </c>
      <c r="D256">
        <v>140796351</v>
      </c>
      <c r="E256">
        <v>1</v>
      </c>
      <c r="F256">
        <v>1</v>
      </c>
      <c r="G256">
        <v>1</v>
      </c>
      <c r="H256">
        <v>3</v>
      </c>
      <c r="I256" t="s">
        <v>995</v>
      </c>
      <c r="J256" t="s">
        <v>996</v>
      </c>
      <c r="K256" t="s">
        <v>997</v>
      </c>
      <c r="L256">
        <v>1339</v>
      </c>
      <c r="N256">
        <v>1007</v>
      </c>
      <c r="O256" t="s">
        <v>66</v>
      </c>
      <c r="P256" t="s">
        <v>66</v>
      </c>
      <c r="Q256">
        <v>1</v>
      </c>
      <c r="X256">
        <v>1.0300000000000001E-3</v>
      </c>
      <c r="Y256">
        <v>1700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299</v>
      </c>
      <c r="AG256">
        <v>0</v>
      </c>
      <c r="AH256">
        <v>2</v>
      </c>
      <c r="AI256">
        <v>145051239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ROW(Source!A122)</f>
        <v>122</v>
      </c>
      <c r="B257">
        <v>145051240</v>
      </c>
      <c r="C257">
        <v>145051218</v>
      </c>
      <c r="D257">
        <v>140804058</v>
      </c>
      <c r="E257">
        <v>1</v>
      </c>
      <c r="F257">
        <v>1</v>
      </c>
      <c r="G257">
        <v>1</v>
      </c>
      <c r="H257">
        <v>3</v>
      </c>
      <c r="I257" t="s">
        <v>998</v>
      </c>
      <c r="J257" t="s">
        <v>999</v>
      </c>
      <c r="K257" t="s">
        <v>1000</v>
      </c>
      <c r="L257">
        <v>1348</v>
      </c>
      <c r="N257">
        <v>1009</v>
      </c>
      <c r="O257" t="s">
        <v>105</v>
      </c>
      <c r="P257" t="s">
        <v>105</v>
      </c>
      <c r="Q257">
        <v>1000</v>
      </c>
      <c r="X257">
        <v>3.1E-4</v>
      </c>
      <c r="Y257">
        <v>15620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299</v>
      </c>
      <c r="AG257">
        <v>0</v>
      </c>
      <c r="AH257">
        <v>2</v>
      </c>
      <c r="AI257">
        <v>145051240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ROW(Source!A122)</f>
        <v>122</v>
      </c>
      <c r="B258">
        <v>145051241</v>
      </c>
      <c r="C258">
        <v>145051218</v>
      </c>
      <c r="D258">
        <v>140805182</v>
      </c>
      <c r="E258">
        <v>1</v>
      </c>
      <c r="F258">
        <v>1</v>
      </c>
      <c r="G258">
        <v>1</v>
      </c>
      <c r="H258">
        <v>3</v>
      </c>
      <c r="I258" t="s">
        <v>1001</v>
      </c>
      <c r="J258" t="s">
        <v>1002</v>
      </c>
      <c r="K258" t="s">
        <v>1003</v>
      </c>
      <c r="L258">
        <v>1346</v>
      </c>
      <c r="N258">
        <v>1009</v>
      </c>
      <c r="O258" t="s">
        <v>43</v>
      </c>
      <c r="P258" t="s">
        <v>43</v>
      </c>
      <c r="Q258">
        <v>1</v>
      </c>
      <c r="X258">
        <v>0.6</v>
      </c>
      <c r="Y258">
        <v>9.42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299</v>
      </c>
      <c r="AG258">
        <v>0</v>
      </c>
      <c r="AH258">
        <v>2</v>
      </c>
      <c r="AI258">
        <v>145051241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ROW(Source!A123)</f>
        <v>123</v>
      </c>
      <c r="B259">
        <v>145051243</v>
      </c>
      <c r="C259">
        <v>145051242</v>
      </c>
      <c r="D259">
        <v>140759974</v>
      </c>
      <c r="E259">
        <v>70</v>
      </c>
      <c r="F259">
        <v>1</v>
      </c>
      <c r="G259">
        <v>1</v>
      </c>
      <c r="H259">
        <v>1</v>
      </c>
      <c r="I259" t="s">
        <v>1004</v>
      </c>
      <c r="J259" t="s">
        <v>3</v>
      </c>
      <c r="K259" t="s">
        <v>1005</v>
      </c>
      <c r="L259">
        <v>1191</v>
      </c>
      <c r="N259">
        <v>1013</v>
      </c>
      <c r="O259" t="s">
        <v>725</v>
      </c>
      <c r="P259" t="s">
        <v>725</v>
      </c>
      <c r="Q259">
        <v>1</v>
      </c>
      <c r="X259">
        <v>24.61</v>
      </c>
      <c r="Y259">
        <v>0</v>
      </c>
      <c r="Z259">
        <v>0</v>
      </c>
      <c r="AA259">
        <v>0</v>
      </c>
      <c r="AB259">
        <v>8.4600000000000009</v>
      </c>
      <c r="AC259">
        <v>0</v>
      </c>
      <c r="AD259">
        <v>1</v>
      </c>
      <c r="AE259">
        <v>1</v>
      </c>
      <c r="AF259" t="s">
        <v>21</v>
      </c>
      <c r="AG259">
        <v>28.301499999999997</v>
      </c>
      <c r="AH259">
        <v>2</v>
      </c>
      <c r="AI259">
        <v>145051243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ROW(Source!A123)</f>
        <v>123</v>
      </c>
      <c r="B260">
        <v>145051244</v>
      </c>
      <c r="C260">
        <v>145051242</v>
      </c>
      <c r="D260">
        <v>140760225</v>
      </c>
      <c r="E260">
        <v>70</v>
      </c>
      <c r="F260">
        <v>1</v>
      </c>
      <c r="G260">
        <v>1</v>
      </c>
      <c r="H260">
        <v>1</v>
      </c>
      <c r="I260" t="s">
        <v>730</v>
      </c>
      <c r="J260" t="s">
        <v>3</v>
      </c>
      <c r="K260" t="s">
        <v>731</v>
      </c>
      <c r="L260">
        <v>1191</v>
      </c>
      <c r="N260">
        <v>1013</v>
      </c>
      <c r="O260" t="s">
        <v>725</v>
      </c>
      <c r="P260" t="s">
        <v>725</v>
      </c>
      <c r="Q260">
        <v>1</v>
      </c>
      <c r="X260">
        <v>0.35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2</v>
      </c>
      <c r="AF260" t="s">
        <v>21</v>
      </c>
      <c r="AG260">
        <v>0.40249999999999997</v>
      </c>
      <c r="AH260">
        <v>2</v>
      </c>
      <c r="AI260">
        <v>145051244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ROW(Source!A123)</f>
        <v>123</v>
      </c>
      <c r="B261">
        <v>145051245</v>
      </c>
      <c r="C261">
        <v>145051242</v>
      </c>
      <c r="D261">
        <v>140922951</v>
      </c>
      <c r="E261">
        <v>1</v>
      </c>
      <c r="F261">
        <v>1</v>
      </c>
      <c r="G261">
        <v>1</v>
      </c>
      <c r="H261">
        <v>2</v>
      </c>
      <c r="I261" t="s">
        <v>752</v>
      </c>
      <c r="J261" t="s">
        <v>753</v>
      </c>
      <c r="K261" t="s">
        <v>754</v>
      </c>
      <c r="L261">
        <v>1367</v>
      </c>
      <c r="N261">
        <v>1011</v>
      </c>
      <c r="O261" t="s">
        <v>79</v>
      </c>
      <c r="P261" t="s">
        <v>79</v>
      </c>
      <c r="Q261">
        <v>1</v>
      </c>
      <c r="X261">
        <v>0.14000000000000001</v>
      </c>
      <c r="Y261">
        <v>0</v>
      </c>
      <c r="Z261">
        <v>115.4</v>
      </c>
      <c r="AA261">
        <v>13.5</v>
      </c>
      <c r="AB261">
        <v>0</v>
      </c>
      <c r="AC261">
        <v>0</v>
      </c>
      <c r="AD261">
        <v>1</v>
      </c>
      <c r="AE261">
        <v>0</v>
      </c>
      <c r="AF261" t="s">
        <v>21</v>
      </c>
      <c r="AG261">
        <v>0.161</v>
      </c>
      <c r="AH261">
        <v>2</v>
      </c>
      <c r="AI261">
        <v>145051245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ROW(Source!A123)</f>
        <v>123</v>
      </c>
      <c r="B262">
        <v>145051246</v>
      </c>
      <c r="C262">
        <v>145051242</v>
      </c>
      <c r="D262">
        <v>140923229</v>
      </c>
      <c r="E262">
        <v>1</v>
      </c>
      <c r="F262">
        <v>1</v>
      </c>
      <c r="G262">
        <v>1</v>
      </c>
      <c r="H262">
        <v>2</v>
      </c>
      <c r="I262" t="s">
        <v>1006</v>
      </c>
      <c r="J262" t="s">
        <v>1007</v>
      </c>
      <c r="K262" t="s">
        <v>1008</v>
      </c>
      <c r="L262">
        <v>1367</v>
      </c>
      <c r="N262">
        <v>1011</v>
      </c>
      <c r="O262" t="s">
        <v>79</v>
      </c>
      <c r="P262" t="s">
        <v>79</v>
      </c>
      <c r="Q262">
        <v>1</v>
      </c>
      <c r="X262">
        <v>0.27</v>
      </c>
      <c r="Y262">
        <v>0</v>
      </c>
      <c r="Z262">
        <v>0.5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21</v>
      </c>
      <c r="AG262">
        <v>0.3105</v>
      </c>
      <c r="AH262">
        <v>2</v>
      </c>
      <c r="AI262">
        <v>145051246</v>
      </c>
      <c r="AJ262">
        <v>262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ROW(Source!A123)</f>
        <v>123</v>
      </c>
      <c r="B263">
        <v>145051247</v>
      </c>
      <c r="C263">
        <v>145051242</v>
      </c>
      <c r="D263">
        <v>140923885</v>
      </c>
      <c r="E263">
        <v>1</v>
      </c>
      <c r="F263">
        <v>1</v>
      </c>
      <c r="G263">
        <v>1</v>
      </c>
      <c r="H263">
        <v>2</v>
      </c>
      <c r="I263" t="s">
        <v>732</v>
      </c>
      <c r="J263" t="s">
        <v>733</v>
      </c>
      <c r="K263" t="s">
        <v>734</v>
      </c>
      <c r="L263">
        <v>1367</v>
      </c>
      <c r="N263">
        <v>1011</v>
      </c>
      <c r="O263" t="s">
        <v>79</v>
      </c>
      <c r="P263" t="s">
        <v>79</v>
      </c>
      <c r="Q263">
        <v>1</v>
      </c>
      <c r="X263">
        <v>0.21</v>
      </c>
      <c r="Y263">
        <v>0</v>
      </c>
      <c r="Z263">
        <v>65.709999999999994</v>
      </c>
      <c r="AA263">
        <v>11.6</v>
      </c>
      <c r="AB263">
        <v>0</v>
      </c>
      <c r="AC263">
        <v>0</v>
      </c>
      <c r="AD263">
        <v>1</v>
      </c>
      <c r="AE263">
        <v>0</v>
      </c>
      <c r="AF263" t="s">
        <v>21</v>
      </c>
      <c r="AG263">
        <v>0.24149999999999996</v>
      </c>
      <c r="AH263">
        <v>2</v>
      </c>
      <c r="AI263">
        <v>145051247</v>
      </c>
      <c r="AJ263">
        <v>263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ROW(Source!A123)</f>
        <v>123</v>
      </c>
      <c r="B264">
        <v>145051248</v>
      </c>
      <c r="C264">
        <v>145051242</v>
      </c>
      <c r="D264">
        <v>140772680</v>
      </c>
      <c r="E264">
        <v>1</v>
      </c>
      <c r="F264">
        <v>1</v>
      </c>
      <c r="G264">
        <v>1</v>
      </c>
      <c r="H264">
        <v>3</v>
      </c>
      <c r="I264" t="s">
        <v>735</v>
      </c>
      <c r="J264" t="s">
        <v>736</v>
      </c>
      <c r="K264" t="s">
        <v>737</v>
      </c>
      <c r="L264">
        <v>1339</v>
      </c>
      <c r="N264">
        <v>1007</v>
      </c>
      <c r="O264" t="s">
        <v>66</v>
      </c>
      <c r="P264" t="s">
        <v>66</v>
      </c>
      <c r="Q264">
        <v>1</v>
      </c>
      <c r="X264">
        <v>8.0999999999999996E-3</v>
      </c>
      <c r="Y264">
        <v>2.44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8.0999999999999996E-3</v>
      </c>
      <c r="AH264">
        <v>2</v>
      </c>
      <c r="AI264">
        <v>145051248</v>
      </c>
      <c r="AJ264">
        <v>264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ROW(Source!A123)</f>
        <v>123</v>
      </c>
      <c r="B265">
        <v>145051249</v>
      </c>
      <c r="C265">
        <v>145051242</v>
      </c>
      <c r="D265">
        <v>140775118</v>
      </c>
      <c r="E265">
        <v>1</v>
      </c>
      <c r="F265">
        <v>1</v>
      </c>
      <c r="G265">
        <v>1</v>
      </c>
      <c r="H265">
        <v>3</v>
      </c>
      <c r="I265" t="s">
        <v>980</v>
      </c>
      <c r="J265" t="s">
        <v>981</v>
      </c>
      <c r="K265" t="s">
        <v>982</v>
      </c>
      <c r="L265">
        <v>1348</v>
      </c>
      <c r="N265">
        <v>1009</v>
      </c>
      <c r="O265" t="s">
        <v>105</v>
      </c>
      <c r="P265" t="s">
        <v>105</v>
      </c>
      <c r="Q265">
        <v>1000</v>
      </c>
      <c r="X265">
        <v>1.9E-3</v>
      </c>
      <c r="Y265">
        <v>11978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1.9E-3</v>
      </c>
      <c r="AH265">
        <v>2</v>
      </c>
      <c r="AI265">
        <v>145051249</v>
      </c>
      <c r="AJ265">
        <v>265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ROW(Source!A123)</f>
        <v>123</v>
      </c>
      <c r="B266">
        <v>145051250</v>
      </c>
      <c r="C266">
        <v>145051242</v>
      </c>
      <c r="D266">
        <v>140777278</v>
      </c>
      <c r="E266">
        <v>1</v>
      </c>
      <c r="F266">
        <v>1</v>
      </c>
      <c r="G266">
        <v>1</v>
      </c>
      <c r="H266">
        <v>3</v>
      </c>
      <c r="I266" t="s">
        <v>1009</v>
      </c>
      <c r="J266" t="s">
        <v>1010</v>
      </c>
      <c r="K266" t="s">
        <v>1011</v>
      </c>
      <c r="L266">
        <v>1348</v>
      </c>
      <c r="N266">
        <v>1009</v>
      </c>
      <c r="O266" t="s">
        <v>105</v>
      </c>
      <c r="P266" t="s">
        <v>105</v>
      </c>
      <c r="Q266">
        <v>1000</v>
      </c>
      <c r="X266">
        <v>2.8999999999999998E-3</v>
      </c>
      <c r="Y266">
        <v>734.5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2.8999999999999998E-3</v>
      </c>
      <c r="AH266">
        <v>2</v>
      </c>
      <c r="AI266">
        <v>145051250</v>
      </c>
      <c r="AJ266">
        <v>266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ROW(Source!A123)</f>
        <v>123</v>
      </c>
      <c r="B267">
        <v>145051251</v>
      </c>
      <c r="C267">
        <v>145051242</v>
      </c>
      <c r="D267">
        <v>140761051</v>
      </c>
      <c r="E267">
        <v>70</v>
      </c>
      <c r="F267">
        <v>1</v>
      </c>
      <c r="G267">
        <v>1</v>
      </c>
      <c r="H267">
        <v>3</v>
      </c>
      <c r="I267" t="s">
        <v>1012</v>
      </c>
      <c r="J267" t="s">
        <v>3</v>
      </c>
      <c r="K267" t="s">
        <v>1013</v>
      </c>
      <c r="L267">
        <v>1339</v>
      </c>
      <c r="N267">
        <v>1007</v>
      </c>
      <c r="O267" t="s">
        <v>66</v>
      </c>
      <c r="P267" t="s">
        <v>66</v>
      </c>
      <c r="Q267">
        <v>1</v>
      </c>
      <c r="X267">
        <v>1.02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 t="s">
        <v>3</v>
      </c>
      <c r="AG267">
        <v>1.02</v>
      </c>
      <c r="AH267">
        <v>2</v>
      </c>
      <c r="AI267">
        <v>145051251</v>
      </c>
      <c r="AJ267">
        <v>267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ROW(Source!A123)</f>
        <v>123</v>
      </c>
      <c r="B268">
        <v>145051252</v>
      </c>
      <c r="C268">
        <v>145051242</v>
      </c>
      <c r="D268">
        <v>140778119</v>
      </c>
      <c r="E268">
        <v>1</v>
      </c>
      <c r="F268">
        <v>1</v>
      </c>
      <c r="G268">
        <v>1</v>
      </c>
      <c r="H268">
        <v>3</v>
      </c>
      <c r="I268" t="s">
        <v>900</v>
      </c>
      <c r="J268" t="s">
        <v>901</v>
      </c>
      <c r="K268" t="s">
        <v>902</v>
      </c>
      <c r="L268">
        <v>1339</v>
      </c>
      <c r="N268">
        <v>1007</v>
      </c>
      <c r="O268" t="s">
        <v>66</v>
      </c>
      <c r="P268" t="s">
        <v>66</v>
      </c>
      <c r="Q268">
        <v>1</v>
      </c>
      <c r="X268">
        <v>0.09</v>
      </c>
      <c r="Y268">
        <v>497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0.09</v>
      </c>
      <c r="AH268">
        <v>2</v>
      </c>
      <c r="AI268">
        <v>145051252</v>
      </c>
      <c r="AJ268">
        <v>268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ROW(Source!A123)</f>
        <v>123</v>
      </c>
      <c r="B269">
        <v>145051253</v>
      </c>
      <c r="C269">
        <v>145051242</v>
      </c>
      <c r="D269">
        <v>140790834</v>
      </c>
      <c r="E269">
        <v>1</v>
      </c>
      <c r="F269">
        <v>1</v>
      </c>
      <c r="G269">
        <v>1</v>
      </c>
      <c r="H269">
        <v>3</v>
      </c>
      <c r="I269" t="s">
        <v>1014</v>
      </c>
      <c r="J269" t="s">
        <v>1015</v>
      </c>
      <c r="K269" t="s">
        <v>1016</v>
      </c>
      <c r="L269">
        <v>1348</v>
      </c>
      <c r="N269">
        <v>1009</v>
      </c>
      <c r="O269" t="s">
        <v>105</v>
      </c>
      <c r="P269" t="s">
        <v>105</v>
      </c>
      <c r="Q269">
        <v>1000</v>
      </c>
      <c r="X269">
        <v>4.0000000000000001E-3</v>
      </c>
      <c r="Y269">
        <v>5989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4.0000000000000001E-3</v>
      </c>
      <c r="AH269">
        <v>2</v>
      </c>
      <c r="AI269">
        <v>145051253</v>
      </c>
      <c r="AJ269">
        <v>269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ROW(Source!A123)</f>
        <v>123</v>
      </c>
      <c r="B270">
        <v>145051254</v>
      </c>
      <c r="C270">
        <v>145051242</v>
      </c>
      <c r="D270">
        <v>140793309</v>
      </c>
      <c r="E270">
        <v>1</v>
      </c>
      <c r="F270">
        <v>1</v>
      </c>
      <c r="G270">
        <v>1</v>
      </c>
      <c r="H270">
        <v>3</v>
      </c>
      <c r="I270" t="s">
        <v>411</v>
      </c>
      <c r="J270" t="s">
        <v>413</v>
      </c>
      <c r="K270" t="s">
        <v>412</v>
      </c>
      <c r="L270">
        <v>1348</v>
      </c>
      <c r="N270">
        <v>1009</v>
      </c>
      <c r="O270" t="s">
        <v>105</v>
      </c>
      <c r="P270" t="s">
        <v>105</v>
      </c>
      <c r="Q270">
        <v>1000</v>
      </c>
      <c r="X270">
        <v>0.09</v>
      </c>
      <c r="Y270">
        <v>5650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0.09</v>
      </c>
      <c r="AH270">
        <v>2</v>
      </c>
      <c r="AI270">
        <v>145051254</v>
      </c>
      <c r="AJ270">
        <v>270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ROW(Source!A123)</f>
        <v>123</v>
      </c>
      <c r="B271">
        <v>145051255</v>
      </c>
      <c r="C271">
        <v>145051242</v>
      </c>
      <c r="D271">
        <v>140796259</v>
      </c>
      <c r="E271">
        <v>1</v>
      </c>
      <c r="F271">
        <v>1</v>
      </c>
      <c r="G271">
        <v>1</v>
      </c>
      <c r="H271">
        <v>3</v>
      </c>
      <c r="I271" t="s">
        <v>1017</v>
      </c>
      <c r="J271" t="s">
        <v>1018</v>
      </c>
      <c r="K271" t="s">
        <v>1019</v>
      </c>
      <c r="L271">
        <v>1339</v>
      </c>
      <c r="N271">
        <v>1007</v>
      </c>
      <c r="O271" t="s">
        <v>66</v>
      </c>
      <c r="P271" t="s">
        <v>66</v>
      </c>
      <c r="Q271">
        <v>1</v>
      </c>
      <c r="X271">
        <v>0.12</v>
      </c>
      <c r="Y271">
        <v>558.33000000000004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0.12</v>
      </c>
      <c r="AH271">
        <v>2</v>
      </c>
      <c r="AI271">
        <v>145051255</v>
      </c>
      <c r="AJ271">
        <v>271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ROW(Source!A123)</f>
        <v>123</v>
      </c>
      <c r="B272">
        <v>145051256</v>
      </c>
      <c r="C272">
        <v>145051242</v>
      </c>
      <c r="D272">
        <v>140796540</v>
      </c>
      <c r="E272">
        <v>1</v>
      </c>
      <c r="F272">
        <v>1</v>
      </c>
      <c r="G272">
        <v>1</v>
      </c>
      <c r="H272">
        <v>3</v>
      </c>
      <c r="I272" t="s">
        <v>1020</v>
      </c>
      <c r="J272" t="s">
        <v>1021</v>
      </c>
      <c r="K272" t="s">
        <v>1022</v>
      </c>
      <c r="L272">
        <v>1339</v>
      </c>
      <c r="N272">
        <v>1007</v>
      </c>
      <c r="O272" t="s">
        <v>66</v>
      </c>
      <c r="P272" t="s">
        <v>66</v>
      </c>
      <c r="Q272">
        <v>1</v>
      </c>
      <c r="X272">
        <v>0.14000000000000001</v>
      </c>
      <c r="Y272">
        <v>1320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0.14000000000000001</v>
      </c>
      <c r="AH272">
        <v>2</v>
      </c>
      <c r="AI272">
        <v>145051256</v>
      </c>
      <c r="AJ272">
        <v>272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ROW(Source!A123)</f>
        <v>123</v>
      </c>
      <c r="B273">
        <v>145051257</v>
      </c>
      <c r="C273">
        <v>145051242</v>
      </c>
      <c r="D273">
        <v>140797730</v>
      </c>
      <c r="E273">
        <v>1</v>
      </c>
      <c r="F273">
        <v>1</v>
      </c>
      <c r="G273">
        <v>1</v>
      </c>
      <c r="H273">
        <v>3</v>
      </c>
      <c r="I273" t="s">
        <v>1023</v>
      </c>
      <c r="J273" t="s">
        <v>1024</v>
      </c>
      <c r="K273" t="s">
        <v>1025</v>
      </c>
      <c r="L273">
        <v>1327</v>
      </c>
      <c r="N273">
        <v>1005</v>
      </c>
      <c r="O273" t="s">
        <v>131</v>
      </c>
      <c r="P273" t="s">
        <v>131</v>
      </c>
      <c r="Q273">
        <v>1</v>
      </c>
      <c r="X273">
        <v>2.2999999999999998</v>
      </c>
      <c r="Y273">
        <v>35.53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2.2999999999999998</v>
      </c>
      <c r="AH273">
        <v>2</v>
      </c>
      <c r="AI273">
        <v>145051257</v>
      </c>
      <c r="AJ273">
        <v>273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ROW(Source!A127)</f>
        <v>127</v>
      </c>
      <c r="B274">
        <v>145051561</v>
      </c>
      <c r="C274">
        <v>145051560</v>
      </c>
      <c r="D274">
        <v>140760031</v>
      </c>
      <c r="E274">
        <v>70</v>
      </c>
      <c r="F274">
        <v>1</v>
      </c>
      <c r="G274">
        <v>1</v>
      </c>
      <c r="H274">
        <v>1</v>
      </c>
      <c r="I274" t="s">
        <v>885</v>
      </c>
      <c r="J274" t="s">
        <v>3</v>
      </c>
      <c r="K274" t="s">
        <v>886</v>
      </c>
      <c r="L274">
        <v>1191</v>
      </c>
      <c r="N274">
        <v>1013</v>
      </c>
      <c r="O274" t="s">
        <v>725</v>
      </c>
      <c r="P274" t="s">
        <v>725</v>
      </c>
      <c r="Q274">
        <v>1</v>
      </c>
      <c r="X274">
        <v>91.8</v>
      </c>
      <c r="Y274">
        <v>0</v>
      </c>
      <c r="Z274">
        <v>0</v>
      </c>
      <c r="AA274">
        <v>0</v>
      </c>
      <c r="AB274">
        <v>9.6199999999999992</v>
      </c>
      <c r="AC274">
        <v>0</v>
      </c>
      <c r="AD274">
        <v>1</v>
      </c>
      <c r="AE274">
        <v>1</v>
      </c>
      <c r="AF274" t="s">
        <v>3</v>
      </c>
      <c r="AG274">
        <v>91.8</v>
      </c>
      <c r="AH274">
        <v>2</v>
      </c>
      <c r="AI274">
        <v>145051561</v>
      </c>
      <c r="AJ274">
        <v>274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ROW(Source!A127)</f>
        <v>127</v>
      </c>
      <c r="B275">
        <v>145051562</v>
      </c>
      <c r="C275">
        <v>145051560</v>
      </c>
      <c r="D275">
        <v>140760225</v>
      </c>
      <c r="E275">
        <v>70</v>
      </c>
      <c r="F275">
        <v>1</v>
      </c>
      <c r="G275">
        <v>1</v>
      </c>
      <c r="H275">
        <v>1</v>
      </c>
      <c r="I275" t="s">
        <v>730</v>
      </c>
      <c r="J275" t="s">
        <v>3</v>
      </c>
      <c r="K275" t="s">
        <v>731</v>
      </c>
      <c r="L275">
        <v>1191</v>
      </c>
      <c r="N275">
        <v>1013</v>
      </c>
      <c r="O275" t="s">
        <v>725</v>
      </c>
      <c r="P275" t="s">
        <v>725</v>
      </c>
      <c r="Q275">
        <v>1</v>
      </c>
      <c r="X275">
        <v>9.5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2</v>
      </c>
      <c r="AF275" t="s">
        <v>3</v>
      </c>
      <c r="AG275">
        <v>9.5</v>
      </c>
      <c r="AH275">
        <v>2</v>
      </c>
      <c r="AI275">
        <v>145051562</v>
      </c>
      <c r="AJ275">
        <v>275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ROW(Source!A127)</f>
        <v>127</v>
      </c>
      <c r="B276">
        <v>145051563</v>
      </c>
      <c r="C276">
        <v>145051560</v>
      </c>
      <c r="D276">
        <v>140922951</v>
      </c>
      <c r="E276">
        <v>1</v>
      </c>
      <c r="F276">
        <v>1</v>
      </c>
      <c r="G276">
        <v>1</v>
      </c>
      <c r="H276">
        <v>2</v>
      </c>
      <c r="I276" t="s">
        <v>752</v>
      </c>
      <c r="J276" t="s">
        <v>753</v>
      </c>
      <c r="K276" t="s">
        <v>754</v>
      </c>
      <c r="L276">
        <v>1367</v>
      </c>
      <c r="N276">
        <v>1011</v>
      </c>
      <c r="O276" t="s">
        <v>79</v>
      </c>
      <c r="P276" t="s">
        <v>79</v>
      </c>
      <c r="Q276">
        <v>1</v>
      </c>
      <c r="X276">
        <v>9</v>
      </c>
      <c r="Y276">
        <v>0</v>
      </c>
      <c r="Z276">
        <v>115.4</v>
      </c>
      <c r="AA276">
        <v>13.5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9</v>
      </c>
      <c r="AH276">
        <v>2</v>
      </c>
      <c r="AI276">
        <v>145051563</v>
      </c>
      <c r="AJ276">
        <v>276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ROW(Source!A127)</f>
        <v>127</v>
      </c>
      <c r="B277">
        <v>145051564</v>
      </c>
      <c r="C277">
        <v>145051560</v>
      </c>
      <c r="D277">
        <v>140923886</v>
      </c>
      <c r="E277">
        <v>1</v>
      </c>
      <c r="F277">
        <v>1</v>
      </c>
      <c r="G277">
        <v>1</v>
      </c>
      <c r="H277">
        <v>2</v>
      </c>
      <c r="I277" t="s">
        <v>771</v>
      </c>
      <c r="J277" t="s">
        <v>772</v>
      </c>
      <c r="K277" t="s">
        <v>773</v>
      </c>
      <c r="L277">
        <v>1367</v>
      </c>
      <c r="N277">
        <v>1011</v>
      </c>
      <c r="O277" t="s">
        <v>79</v>
      </c>
      <c r="P277" t="s">
        <v>79</v>
      </c>
      <c r="Q277">
        <v>1</v>
      </c>
      <c r="X277">
        <v>0.5</v>
      </c>
      <c r="Y277">
        <v>0</v>
      </c>
      <c r="Z277">
        <v>85.84</v>
      </c>
      <c r="AA277">
        <v>11.6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0.5</v>
      </c>
      <c r="AH277">
        <v>2</v>
      </c>
      <c r="AI277">
        <v>145051564</v>
      </c>
      <c r="AJ277">
        <v>277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ROW(Source!A127)</f>
        <v>127</v>
      </c>
      <c r="B278">
        <v>145051565</v>
      </c>
      <c r="C278">
        <v>145051560</v>
      </c>
      <c r="D278">
        <v>140924041</v>
      </c>
      <c r="E278">
        <v>1</v>
      </c>
      <c r="F278">
        <v>1</v>
      </c>
      <c r="G278">
        <v>1</v>
      </c>
      <c r="H278">
        <v>2</v>
      </c>
      <c r="I278" t="s">
        <v>777</v>
      </c>
      <c r="J278" t="s">
        <v>778</v>
      </c>
      <c r="K278" t="s">
        <v>779</v>
      </c>
      <c r="L278">
        <v>1367</v>
      </c>
      <c r="N278">
        <v>1011</v>
      </c>
      <c r="O278" t="s">
        <v>79</v>
      </c>
      <c r="P278" t="s">
        <v>79</v>
      </c>
      <c r="Q278">
        <v>1</v>
      </c>
      <c r="X278">
        <v>0.7</v>
      </c>
      <c r="Y278">
        <v>0</v>
      </c>
      <c r="Z278">
        <v>1.2</v>
      </c>
      <c r="AA278">
        <v>0</v>
      </c>
      <c r="AB278">
        <v>0</v>
      </c>
      <c r="AC278">
        <v>0</v>
      </c>
      <c r="AD278">
        <v>1</v>
      </c>
      <c r="AE278">
        <v>0</v>
      </c>
      <c r="AF278" t="s">
        <v>3</v>
      </c>
      <c r="AG278">
        <v>0.7</v>
      </c>
      <c r="AH278">
        <v>2</v>
      </c>
      <c r="AI278">
        <v>145051565</v>
      </c>
      <c r="AJ278">
        <v>278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ROW(Source!A127)</f>
        <v>127</v>
      </c>
      <c r="B279">
        <v>145051566</v>
      </c>
      <c r="C279">
        <v>145051560</v>
      </c>
      <c r="D279">
        <v>140924098</v>
      </c>
      <c r="E279">
        <v>1</v>
      </c>
      <c r="F279">
        <v>1</v>
      </c>
      <c r="G279">
        <v>1</v>
      </c>
      <c r="H279">
        <v>2</v>
      </c>
      <c r="I279" t="s">
        <v>755</v>
      </c>
      <c r="J279" t="s">
        <v>756</v>
      </c>
      <c r="K279" t="s">
        <v>757</v>
      </c>
      <c r="L279">
        <v>1367</v>
      </c>
      <c r="N279">
        <v>1011</v>
      </c>
      <c r="O279" t="s">
        <v>79</v>
      </c>
      <c r="P279" t="s">
        <v>79</v>
      </c>
      <c r="Q279">
        <v>1</v>
      </c>
      <c r="X279">
        <v>28.6</v>
      </c>
      <c r="Y279">
        <v>0</v>
      </c>
      <c r="Z279">
        <v>8.1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28.6</v>
      </c>
      <c r="AH279">
        <v>2</v>
      </c>
      <c r="AI279">
        <v>145051566</v>
      </c>
      <c r="AJ279">
        <v>279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ROW(Source!A127)</f>
        <v>127</v>
      </c>
      <c r="B280">
        <v>145051567</v>
      </c>
      <c r="C280">
        <v>145051560</v>
      </c>
      <c r="D280">
        <v>140924589</v>
      </c>
      <c r="E280">
        <v>1</v>
      </c>
      <c r="F280">
        <v>1</v>
      </c>
      <c r="G280">
        <v>1</v>
      </c>
      <c r="H280">
        <v>2</v>
      </c>
      <c r="I280" t="s">
        <v>1026</v>
      </c>
      <c r="J280" t="s">
        <v>1027</v>
      </c>
      <c r="K280" t="s">
        <v>1028</v>
      </c>
      <c r="L280">
        <v>1367</v>
      </c>
      <c r="N280">
        <v>1011</v>
      </c>
      <c r="O280" t="s">
        <v>79</v>
      </c>
      <c r="P280" t="s">
        <v>79</v>
      </c>
      <c r="Q280">
        <v>1</v>
      </c>
      <c r="X280">
        <v>2.6</v>
      </c>
      <c r="Y280">
        <v>0</v>
      </c>
      <c r="Z280">
        <v>70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2.6</v>
      </c>
      <c r="AH280">
        <v>2</v>
      </c>
      <c r="AI280">
        <v>145051567</v>
      </c>
      <c r="AJ280">
        <v>280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ROW(Source!A127)</f>
        <v>127</v>
      </c>
      <c r="B281">
        <v>145051568</v>
      </c>
      <c r="C281">
        <v>145051560</v>
      </c>
      <c r="D281">
        <v>140924612</v>
      </c>
      <c r="E281">
        <v>1</v>
      </c>
      <c r="F281">
        <v>1</v>
      </c>
      <c r="G281">
        <v>1</v>
      </c>
      <c r="H281">
        <v>2</v>
      </c>
      <c r="I281" t="s">
        <v>1029</v>
      </c>
      <c r="J281" t="s">
        <v>1030</v>
      </c>
      <c r="K281" t="s">
        <v>1031</v>
      </c>
      <c r="L281">
        <v>1367</v>
      </c>
      <c r="N281">
        <v>1011</v>
      </c>
      <c r="O281" t="s">
        <v>79</v>
      </c>
      <c r="P281" t="s">
        <v>79</v>
      </c>
      <c r="Q281">
        <v>1</v>
      </c>
      <c r="X281">
        <v>0.7</v>
      </c>
      <c r="Y281">
        <v>0</v>
      </c>
      <c r="Z281">
        <v>1.1100000000000001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0.7</v>
      </c>
      <c r="AH281">
        <v>2</v>
      </c>
      <c r="AI281">
        <v>145051568</v>
      </c>
      <c r="AJ281">
        <v>281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ROW(Source!A127)</f>
        <v>127</v>
      </c>
      <c r="B282">
        <v>145051569</v>
      </c>
      <c r="C282">
        <v>145051560</v>
      </c>
      <c r="D282">
        <v>140771005</v>
      </c>
      <c r="E282">
        <v>1</v>
      </c>
      <c r="F282">
        <v>1</v>
      </c>
      <c r="G282">
        <v>1</v>
      </c>
      <c r="H282">
        <v>3</v>
      </c>
      <c r="I282" t="s">
        <v>786</v>
      </c>
      <c r="J282" t="s">
        <v>787</v>
      </c>
      <c r="K282" t="s">
        <v>788</v>
      </c>
      <c r="L282">
        <v>1339</v>
      </c>
      <c r="N282">
        <v>1007</v>
      </c>
      <c r="O282" t="s">
        <v>66</v>
      </c>
      <c r="P282" t="s">
        <v>66</v>
      </c>
      <c r="Q282">
        <v>1</v>
      </c>
      <c r="X282">
        <v>2.2000000000000002</v>
      </c>
      <c r="Y282">
        <v>6.22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2.2000000000000002</v>
      </c>
      <c r="AH282">
        <v>2</v>
      </c>
      <c r="AI282">
        <v>145051569</v>
      </c>
      <c r="AJ282">
        <v>282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ROW(Source!A127)</f>
        <v>127</v>
      </c>
      <c r="B283">
        <v>145051570</v>
      </c>
      <c r="C283">
        <v>145051560</v>
      </c>
      <c r="D283">
        <v>140771011</v>
      </c>
      <c r="E283">
        <v>1</v>
      </c>
      <c r="F283">
        <v>1</v>
      </c>
      <c r="G283">
        <v>1</v>
      </c>
      <c r="H283">
        <v>3</v>
      </c>
      <c r="I283" t="s">
        <v>789</v>
      </c>
      <c r="J283" t="s">
        <v>790</v>
      </c>
      <c r="K283" t="s">
        <v>791</v>
      </c>
      <c r="L283">
        <v>1346</v>
      </c>
      <c r="N283">
        <v>1009</v>
      </c>
      <c r="O283" t="s">
        <v>43</v>
      </c>
      <c r="P283" t="s">
        <v>43</v>
      </c>
      <c r="Q283">
        <v>1</v>
      </c>
      <c r="X283">
        <v>0.5</v>
      </c>
      <c r="Y283">
        <v>6.09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3</v>
      </c>
      <c r="AG283">
        <v>0.5</v>
      </c>
      <c r="AH283">
        <v>2</v>
      </c>
      <c r="AI283">
        <v>145051570</v>
      </c>
      <c r="AJ283">
        <v>283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ROW(Source!A127)</f>
        <v>127</v>
      </c>
      <c r="B284">
        <v>145051571</v>
      </c>
      <c r="C284">
        <v>145051560</v>
      </c>
      <c r="D284">
        <v>140773788</v>
      </c>
      <c r="E284">
        <v>1</v>
      </c>
      <c r="F284">
        <v>1</v>
      </c>
      <c r="G284">
        <v>1</v>
      </c>
      <c r="H284">
        <v>3</v>
      </c>
      <c r="I284" t="s">
        <v>792</v>
      </c>
      <c r="J284" t="s">
        <v>793</v>
      </c>
      <c r="K284" t="s">
        <v>794</v>
      </c>
      <c r="L284">
        <v>1348</v>
      </c>
      <c r="N284">
        <v>1009</v>
      </c>
      <c r="O284" t="s">
        <v>105</v>
      </c>
      <c r="P284" t="s">
        <v>105</v>
      </c>
      <c r="Q284">
        <v>1000</v>
      </c>
      <c r="X284">
        <v>2.1700000000000001E-2</v>
      </c>
      <c r="Y284">
        <v>9765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F284" t="s">
        <v>3</v>
      </c>
      <c r="AG284">
        <v>2.1700000000000001E-2</v>
      </c>
      <c r="AH284">
        <v>2</v>
      </c>
      <c r="AI284">
        <v>145051571</v>
      </c>
      <c r="AJ284">
        <v>284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ROW(Source!A127)</f>
        <v>127</v>
      </c>
      <c r="B285">
        <v>145051572</v>
      </c>
      <c r="C285">
        <v>145051560</v>
      </c>
      <c r="D285">
        <v>140765022</v>
      </c>
      <c r="E285">
        <v>70</v>
      </c>
      <c r="F285">
        <v>1</v>
      </c>
      <c r="G285">
        <v>1</v>
      </c>
      <c r="H285">
        <v>3</v>
      </c>
      <c r="I285" t="s">
        <v>795</v>
      </c>
      <c r="J285" t="s">
        <v>3</v>
      </c>
      <c r="K285" t="s">
        <v>796</v>
      </c>
      <c r="L285">
        <v>1374</v>
      </c>
      <c r="N285">
        <v>1013</v>
      </c>
      <c r="O285" t="s">
        <v>275</v>
      </c>
      <c r="P285" t="s">
        <v>275</v>
      </c>
      <c r="Q285">
        <v>1</v>
      </c>
      <c r="X285">
        <v>17.66</v>
      </c>
      <c r="Y285">
        <v>1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0</v>
      </c>
      <c r="AF285" t="s">
        <v>3</v>
      </c>
      <c r="AG285">
        <v>17.66</v>
      </c>
      <c r="AH285">
        <v>2</v>
      </c>
      <c r="AI285">
        <v>145051572</v>
      </c>
      <c r="AJ285">
        <v>285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ROW(Source!A130)</f>
        <v>130</v>
      </c>
      <c r="B286">
        <v>145051577</v>
      </c>
      <c r="C286">
        <v>145051576</v>
      </c>
      <c r="D286">
        <v>140759979</v>
      </c>
      <c r="E286">
        <v>70</v>
      </c>
      <c r="F286">
        <v>1</v>
      </c>
      <c r="G286">
        <v>1</v>
      </c>
      <c r="H286">
        <v>1</v>
      </c>
      <c r="I286" t="s">
        <v>745</v>
      </c>
      <c r="J286" t="s">
        <v>3</v>
      </c>
      <c r="K286" t="s">
        <v>746</v>
      </c>
      <c r="L286">
        <v>1191</v>
      </c>
      <c r="N286">
        <v>1013</v>
      </c>
      <c r="O286" t="s">
        <v>725</v>
      </c>
      <c r="P286" t="s">
        <v>725</v>
      </c>
      <c r="Q286">
        <v>1</v>
      </c>
      <c r="X286">
        <v>82.1</v>
      </c>
      <c r="Y286">
        <v>0</v>
      </c>
      <c r="Z286">
        <v>0</v>
      </c>
      <c r="AA286">
        <v>0</v>
      </c>
      <c r="AB286">
        <v>8.5299999999999994</v>
      </c>
      <c r="AC286">
        <v>0</v>
      </c>
      <c r="AD286">
        <v>1</v>
      </c>
      <c r="AE286">
        <v>1</v>
      </c>
      <c r="AF286" t="s">
        <v>91</v>
      </c>
      <c r="AG286">
        <v>108.57724999999998</v>
      </c>
      <c r="AH286">
        <v>2</v>
      </c>
      <c r="AI286">
        <v>145051577</v>
      </c>
      <c r="AJ286">
        <v>286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ROW(Source!A130)</f>
        <v>130</v>
      </c>
      <c r="B287">
        <v>145051578</v>
      </c>
      <c r="C287">
        <v>145051576</v>
      </c>
      <c r="D287">
        <v>140760225</v>
      </c>
      <c r="E287">
        <v>70</v>
      </c>
      <c r="F287">
        <v>1</v>
      </c>
      <c r="G287">
        <v>1</v>
      </c>
      <c r="H287">
        <v>1</v>
      </c>
      <c r="I287" t="s">
        <v>730</v>
      </c>
      <c r="J287" t="s">
        <v>3</v>
      </c>
      <c r="K287" t="s">
        <v>731</v>
      </c>
      <c r="L287">
        <v>1191</v>
      </c>
      <c r="N287">
        <v>1013</v>
      </c>
      <c r="O287" t="s">
        <v>725</v>
      </c>
      <c r="P287" t="s">
        <v>725</v>
      </c>
      <c r="Q287">
        <v>1</v>
      </c>
      <c r="X287">
        <v>1.22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2</v>
      </c>
      <c r="AF287" t="s">
        <v>90</v>
      </c>
      <c r="AG287">
        <v>1.7537499999999997</v>
      </c>
      <c r="AH287">
        <v>2</v>
      </c>
      <c r="AI287">
        <v>145051578</v>
      </c>
      <c r="AJ287">
        <v>287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ROW(Source!A130)</f>
        <v>130</v>
      </c>
      <c r="B288">
        <v>145051579</v>
      </c>
      <c r="C288">
        <v>145051576</v>
      </c>
      <c r="D288">
        <v>140922951</v>
      </c>
      <c r="E288">
        <v>1</v>
      </c>
      <c r="F288">
        <v>1</v>
      </c>
      <c r="G288">
        <v>1</v>
      </c>
      <c r="H288">
        <v>2</v>
      </c>
      <c r="I288" t="s">
        <v>752</v>
      </c>
      <c r="J288" t="s">
        <v>753</v>
      </c>
      <c r="K288" t="s">
        <v>754</v>
      </c>
      <c r="L288">
        <v>1367</v>
      </c>
      <c r="N288">
        <v>1011</v>
      </c>
      <c r="O288" t="s">
        <v>79</v>
      </c>
      <c r="P288" t="s">
        <v>79</v>
      </c>
      <c r="Q288">
        <v>1</v>
      </c>
      <c r="X288">
        <v>0.49</v>
      </c>
      <c r="Y288">
        <v>0</v>
      </c>
      <c r="Z288">
        <v>115.4</v>
      </c>
      <c r="AA288">
        <v>13.5</v>
      </c>
      <c r="AB288">
        <v>0</v>
      </c>
      <c r="AC288">
        <v>0</v>
      </c>
      <c r="AD288">
        <v>1</v>
      </c>
      <c r="AE288">
        <v>0</v>
      </c>
      <c r="AF288" t="s">
        <v>90</v>
      </c>
      <c r="AG288">
        <v>0.70437499999999997</v>
      </c>
      <c r="AH288">
        <v>2</v>
      </c>
      <c r="AI288">
        <v>145051579</v>
      </c>
      <c r="AJ288">
        <v>288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ROW(Source!A130)</f>
        <v>130</v>
      </c>
      <c r="B289">
        <v>145051580</v>
      </c>
      <c r="C289">
        <v>145051576</v>
      </c>
      <c r="D289">
        <v>140923885</v>
      </c>
      <c r="E289">
        <v>1</v>
      </c>
      <c r="F289">
        <v>1</v>
      </c>
      <c r="G289">
        <v>1</v>
      </c>
      <c r="H289">
        <v>2</v>
      </c>
      <c r="I289" t="s">
        <v>732</v>
      </c>
      <c r="J289" t="s">
        <v>733</v>
      </c>
      <c r="K289" t="s">
        <v>734</v>
      </c>
      <c r="L289">
        <v>1367</v>
      </c>
      <c r="N289">
        <v>1011</v>
      </c>
      <c r="O289" t="s">
        <v>79</v>
      </c>
      <c r="P289" t="s">
        <v>79</v>
      </c>
      <c r="Q289">
        <v>1</v>
      </c>
      <c r="X289">
        <v>0.73</v>
      </c>
      <c r="Y289">
        <v>0</v>
      </c>
      <c r="Z289">
        <v>65.709999999999994</v>
      </c>
      <c r="AA289">
        <v>11.6</v>
      </c>
      <c r="AB289">
        <v>0</v>
      </c>
      <c r="AC289">
        <v>0</v>
      </c>
      <c r="AD289">
        <v>1</v>
      </c>
      <c r="AE289">
        <v>0</v>
      </c>
      <c r="AF289" t="s">
        <v>90</v>
      </c>
      <c r="AG289">
        <v>1.0493749999999999</v>
      </c>
      <c r="AH289">
        <v>2</v>
      </c>
      <c r="AI289">
        <v>145051580</v>
      </c>
      <c r="AJ289">
        <v>289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ROW(Source!A130)</f>
        <v>130</v>
      </c>
      <c r="B290">
        <v>145051581</v>
      </c>
      <c r="C290">
        <v>145051576</v>
      </c>
      <c r="D290">
        <v>140924041</v>
      </c>
      <c r="E290">
        <v>1</v>
      </c>
      <c r="F290">
        <v>1</v>
      </c>
      <c r="G290">
        <v>1</v>
      </c>
      <c r="H290">
        <v>2</v>
      </c>
      <c r="I290" t="s">
        <v>777</v>
      </c>
      <c r="J290" t="s">
        <v>778</v>
      </c>
      <c r="K290" t="s">
        <v>779</v>
      </c>
      <c r="L290">
        <v>1367</v>
      </c>
      <c r="N290">
        <v>1011</v>
      </c>
      <c r="O290" t="s">
        <v>79</v>
      </c>
      <c r="P290" t="s">
        <v>79</v>
      </c>
      <c r="Q290">
        <v>1</v>
      </c>
      <c r="X290">
        <v>0.7</v>
      </c>
      <c r="Y290">
        <v>0</v>
      </c>
      <c r="Z290">
        <v>1.2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90</v>
      </c>
      <c r="AG290">
        <v>1.0062499999999999</v>
      </c>
      <c r="AH290">
        <v>2</v>
      </c>
      <c r="AI290">
        <v>145051581</v>
      </c>
      <c r="AJ290">
        <v>290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ROW(Source!A130)</f>
        <v>130</v>
      </c>
      <c r="B291">
        <v>145051582</v>
      </c>
      <c r="C291">
        <v>145051576</v>
      </c>
      <c r="D291">
        <v>140924084</v>
      </c>
      <c r="E291">
        <v>1</v>
      </c>
      <c r="F291">
        <v>1</v>
      </c>
      <c r="G291">
        <v>1</v>
      </c>
      <c r="H291">
        <v>2</v>
      </c>
      <c r="I291" t="s">
        <v>971</v>
      </c>
      <c r="J291" t="s">
        <v>972</v>
      </c>
      <c r="K291" t="s">
        <v>973</v>
      </c>
      <c r="L291">
        <v>1367</v>
      </c>
      <c r="N291">
        <v>1011</v>
      </c>
      <c r="O291" t="s">
        <v>79</v>
      </c>
      <c r="P291" t="s">
        <v>79</v>
      </c>
      <c r="Q291">
        <v>1</v>
      </c>
      <c r="X291">
        <v>0.76</v>
      </c>
      <c r="Y291">
        <v>0</v>
      </c>
      <c r="Z291">
        <v>12.31</v>
      </c>
      <c r="AA291">
        <v>0</v>
      </c>
      <c r="AB291">
        <v>0</v>
      </c>
      <c r="AC291">
        <v>0</v>
      </c>
      <c r="AD291">
        <v>1</v>
      </c>
      <c r="AE291">
        <v>0</v>
      </c>
      <c r="AF291" t="s">
        <v>90</v>
      </c>
      <c r="AG291">
        <v>1.0924999999999998</v>
      </c>
      <c r="AH291">
        <v>2</v>
      </c>
      <c r="AI291">
        <v>145051582</v>
      </c>
      <c r="AJ291">
        <v>291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ROW(Source!A130)</f>
        <v>130</v>
      </c>
      <c r="B292">
        <v>145051583</v>
      </c>
      <c r="C292">
        <v>145051576</v>
      </c>
      <c r="D292">
        <v>140771005</v>
      </c>
      <c r="E292">
        <v>1</v>
      </c>
      <c r="F292">
        <v>1</v>
      </c>
      <c r="G292">
        <v>1</v>
      </c>
      <c r="H292">
        <v>3</v>
      </c>
      <c r="I292" t="s">
        <v>786</v>
      </c>
      <c r="J292" t="s">
        <v>787</v>
      </c>
      <c r="K292" t="s">
        <v>788</v>
      </c>
      <c r="L292">
        <v>1339</v>
      </c>
      <c r="N292">
        <v>1007</v>
      </c>
      <c r="O292" t="s">
        <v>66</v>
      </c>
      <c r="P292" t="s">
        <v>66</v>
      </c>
      <c r="Q292">
        <v>1</v>
      </c>
      <c r="X292">
        <v>0.5</v>
      </c>
      <c r="Y292">
        <v>6.22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3</v>
      </c>
      <c r="AG292">
        <v>0.5</v>
      </c>
      <c r="AH292">
        <v>2</v>
      </c>
      <c r="AI292">
        <v>145051583</v>
      </c>
      <c r="AJ292">
        <v>292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ROW(Source!A130)</f>
        <v>130</v>
      </c>
      <c r="B293">
        <v>145051584</v>
      </c>
      <c r="C293">
        <v>145051576</v>
      </c>
      <c r="D293">
        <v>140771011</v>
      </c>
      <c r="E293">
        <v>1</v>
      </c>
      <c r="F293">
        <v>1</v>
      </c>
      <c r="G293">
        <v>1</v>
      </c>
      <c r="H293">
        <v>3</v>
      </c>
      <c r="I293" t="s">
        <v>789</v>
      </c>
      <c r="J293" t="s">
        <v>790</v>
      </c>
      <c r="K293" t="s">
        <v>791</v>
      </c>
      <c r="L293">
        <v>1346</v>
      </c>
      <c r="N293">
        <v>1009</v>
      </c>
      <c r="O293" t="s">
        <v>43</v>
      </c>
      <c r="P293" t="s">
        <v>43</v>
      </c>
      <c r="Q293">
        <v>1</v>
      </c>
      <c r="X293">
        <v>0.15</v>
      </c>
      <c r="Y293">
        <v>6.09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 t="s">
        <v>3</v>
      </c>
      <c r="AG293">
        <v>0.15</v>
      </c>
      <c r="AH293">
        <v>2</v>
      </c>
      <c r="AI293">
        <v>145051584</v>
      </c>
      <c r="AJ293">
        <v>293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ROW(Source!A130)</f>
        <v>130</v>
      </c>
      <c r="B294">
        <v>145051585</v>
      </c>
      <c r="C294">
        <v>145051576</v>
      </c>
      <c r="D294">
        <v>140773780</v>
      </c>
      <c r="E294">
        <v>1</v>
      </c>
      <c r="F294">
        <v>1</v>
      </c>
      <c r="G294">
        <v>1</v>
      </c>
      <c r="H294">
        <v>3</v>
      </c>
      <c r="I294" t="s">
        <v>974</v>
      </c>
      <c r="J294" t="s">
        <v>975</v>
      </c>
      <c r="K294" t="s">
        <v>976</v>
      </c>
      <c r="L294">
        <v>1346</v>
      </c>
      <c r="N294">
        <v>1009</v>
      </c>
      <c r="O294" t="s">
        <v>43</v>
      </c>
      <c r="P294" t="s">
        <v>43</v>
      </c>
      <c r="Q294">
        <v>1</v>
      </c>
      <c r="X294">
        <v>0.7</v>
      </c>
      <c r="Y294">
        <v>10.75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0.7</v>
      </c>
      <c r="AH294">
        <v>2</v>
      </c>
      <c r="AI294">
        <v>145051585</v>
      </c>
      <c r="AJ294">
        <v>294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ROW(Source!A130)</f>
        <v>130</v>
      </c>
      <c r="B295">
        <v>145051586</v>
      </c>
      <c r="C295">
        <v>145051576</v>
      </c>
      <c r="D295">
        <v>140775118</v>
      </c>
      <c r="E295">
        <v>1</v>
      </c>
      <c r="F295">
        <v>1</v>
      </c>
      <c r="G295">
        <v>1</v>
      </c>
      <c r="H295">
        <v>3</v>
      </c>
      <c r="I295" t="s">
        <v>980</v>
      </c>
      <c r="J295" t="s">
        <v>981</v>
      </c>
      <c r="K295" t="s">
        <v>982</v>
      </c>
      <c r="L295">
        <v>1348</v>
      </c>
      <c r="N295">
        <v>1009</v>
      </c>
      <c r="O295" t="s">
        <v>105</v>
      </c>
      <c r="P295" t="s">
        <v>105</v>
      </c>
      <c r="Q295">
        <v>1000</v>
      </c>
      <c r="X295">
        <v>1.0000000000000001E-5</v>
      </c>
      <c r="Y295">
        <v>11978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1.0000000000000001E-5</v>
      </c>
      <c r="AH295">
        <v>2</v>
      </c>
      <c r="AI295">
        <v>145051586</v>
      </c>
      <c r="AJ295">
        <v>295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ROW(Source!A130)</f>
        <v>130</v>
      </c>
      <c r="B296">
        <v>145051587</v>
      </c>
      <c r="C296">
        <v>145051576</v>
      </c>
      <c r="D296">
        <v>140776229</v>
      </c>
      <c r="E296">
        <v>1</v>
      </c>
      <c r="F296">
        <v>1</v>
      </c>
      <c r="G296">
        <v>1</v>
      </c>
      <c r="H296">
        <v>3</v>
      </c>
      <c r="I296" t="s">
        <v>983</v>
      </c>
      <c r="J296" t="s">
        <v>984</v>
      </c>
      <c r="K296" t="s">
        <v>985</v>
      </c>
      <c r="L296">
        <v>1348</v>
      </c>
      <c r="N296">
        <v>1009</v>
      </c>
      <c r="O296" t="s">
        <v>105</v>
      </c>
      <c r="P296" t="s">
        <v>105</v>
      </c>
      <c r="Q296">
        <v>1000</v>
      </c>
      <c r="X296">
        <v>1E-4</v>
      </c>
      <c r="Y296">
        <v>37900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1E-4</v>
      </c>
      <c r="AH296">
        <v>2</v>
      </c>
      <c r="AI296">
        <v>145051587</v>
      </c>
      <c r="AJ296">
        <v>296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ROW(Source!A130)</f>
        <v>130</v>
      </c>
      <c r="B297">
        <v>145051588</v>
      </c>
      <c r="C297">
        <v>145051576</v>
      </c>
      <c r="D297">
        <v>140762042</v>
      </c>
      <c r="E297">
        <v>70</v>
      </c>
      <c r="F297">
        <v>1</v>
      </c>
      <c r="G297">
        <v>1</v>
      </c>
      <c r="H297">
        <v>3</v>
      </c>
      <c r="I297" t="s">
        <v>764</v>
      </c>
      <c r="J297" t="s">
        <v>3</v>
      </c>
      <c r="K297" t="s">
        <v>960</v>
      </c>
      <c r="L297">
        <v>1348</v>
      </c>
      <c r="N297">
        <v>1009</v>
      </c>
      <c r="O297" t="s">
        <v>105</v>
      </c>
      <c r="P297" t="s">
        <v>105</v>
      </c>
      <c r="Q297">
        <v>1000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 t="s">
        <v>3</v>
      </c>
      <c r="AG297">
        <v>1</v>
      </c>
      <c r="AH297">
        <v>2</v>
      </c>
      <c r="AI297">
        <v>145051588</v>
      </c>
      <c r="AJ297">
        <v>297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ROW(Source!A130)</f>
        <v>130</v>
      </c>
      <c r="B298">
        <v>145051589</v>
      </c>
      <c r="C298">
        <v>145051576</v>
      </c>
      <c r="D298">
        <v>140791984</v>
      </c>
      <c r="E298">
        <v>1</v>
      </c>
      <c r="F298">
        <v>1</v>
      </c>
      <c r="G298">
        <v>1</v>
      </c>
      <c r="H298">
        <v>3</v>
      </c>
      <c r="I298" t="s">
        <v>989</v>
      </c>
      <c r="J298" t="s">
        <v>990</v>
      </c>
      <c r="K298" t="s">
        <v>991</v>
      </c>
      <c r="L298">
        <v>1302</v>
      </c>
      <c r="N298">
        <v>1003</v>
      </c>
      <c r="O298" t="s">
        <v>928</v>
      </c>
      <c r="P298" t="s">
        <v>928</v>
      </c>
      <c r="Q298">
        <v>10</v>
      </c>
      <c r="X298">
        <v>1.8700000000000001E-2</v>
      </c>
      <c r="Y298">
        <v>50.24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 t="s">
        <v>3</v>
      </c>
      <c r="AG298">
        <v>1.8700000000000001E-2</v>
      </c>
      <c r="AH298">
        <v>2</v>
      </c>
      <c r="AI298">
        <v>145051589</v>
      </c>
      <c r="AJ298">
        <v>298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ROW(Source!A130)</f>
        <v>130</v>
      </c>
      <c r="B299">
        <v>145051590</v>
      </c>
      <c r="C299">
        <v>145051576</v>
      </c>
      <c r="D299">
        <v>140792339</v>
      </c>
      <c r="E299">
        <v>1</v>
      </c>
      <c r="F299">
        <v>1</v>
      </c>
      <c r="G299">
        <v>1</v>
      </c>
      <c r="H299">
        <v>3</v>
      </c>
      <c r="I299" t="s">
        <v>832</v>
      </c>
      <c r="J299" t="s">
        <v>833</v>
      </c>
      <c r="K299" t="s">
        <v>834</v>
      </c>
      <c r="L299">
        <v>1348</v>
      </c>
      <c r="N299">
        <v>1009</v>
      </c>
      <c r="O299" t="s">
        <v>105</v>
      </c>
      <c r="P299" t="s">
        <v>105</v>
      </c>
      <c r="Q299">
        <v>1000</v>
      </c>
      <c r="X299">
        <v>3.0000000000000001E-5</v>
      </c>
      <c r="Y299">
        <v>4455.2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 t="s">
        <v>3</v>
      </c>
      <c r="AG299">
        <v>3.0000000000000001E-5</v>
      </c>
      <c r="AH299">
        <v>2</v>
      </c>
      <c r="AI299">
        <v>145051590</v>
      </c>
      <c r="AJ299">
        <v>299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ROW(Source!A130)</f>
        <v>130</v>
      </c>
      <c r="B300">
        <v>145051591</v>
      </c>
      <c r="C300">
        <v>145051576</v>
      </c>
      <c r="D300">
        <v>140793072</v>
      </c>
      <c r="E300">
        <v>1</v>
      </c>
      <c r="F300">
        <v>1</v>
      </c>
      <c r="G300">
        <v>1</v>
      </c>
      <c r="H300">
        <v>3</v>
      </c>
      <c r="I300" t="s">
        <v>992</v>
      </c>
      <c r="J300" t="s">
        <v>993</v>
      </c>
      <c r="K300" t="s">
        <v>994</v>
      </c>
      <c r="L300">
        <v>1348</v>
      </c>
      <c r="N300">
        <v>1009</v>
      </c>
      <c r="O300" t="s">
        <v>105</v>
      </c>
      <c r="P300" t="s">
        <v>105</v>
      </c>
      <c r="Q300">
        <v>1000</v>
      </c>
      <c r="X300">
        <v>1.9400000000000001E-3</v>
      </c>
      <c r="Y300">
        <v>4920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</v>
      </c>
      <c r="AG300">
        <v>1.9400000000000001E-3</v>
      </c>
      <c r="AH300">
        <v>2</v>
      </c>
      <c r="AI300">
        <v>145051591</v>
      </c>
      <c r="AJ300">
        <v>300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ROW(Source!A130)</f>
        <v>130</v>
      </c>
      <c r="B301">
        <v>145051592</v>
      </c>
      <c r="C301">
        <v>145051576</v>
      </c>
      <c r="D301">
        <v>140804058</v>
      </c>
      <c r="E301">
        <v>1</v>
      </c>
      <c r="F301">
        <v>1</v>
      </c>
      <c r="G301">
        <v>1</v>
      </c>
      <c r="H301">
        <v>3</v>
      </c>
      <c r="I301" t="s">
        <v>998</v>
      </c>
      <c r="J301" t="s">
        <v>999</v>
      </c>
      <c r="K301" t="s">
        <v>1000</v>
      </c>
      <c r="L301">
        <v>1348</v>
      </c>
      <c r="N301">
        <v>1009</v>
      </c>
      <c r="O301" t="s">
        <v>105</v>
      </c>
      <c r="P301" t="s">
        <v>105</v>
      </c>
      <c r="Q301">
        <v>1000</v>
      </c>
      <c r="X301">
        <v>3.1E-4</v>
      </c>
      <c r="Y301">
        <v>15620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3.1E-4</v>
      </c>
      <c r="AH301">
        <v>2</v>
      </c>
      <c r="AI301">
        <v>145051592</v>
      </c>
      <c r="AJ301">
        <v>301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ROW(Source!A130)</f>
        <v>130</v>
      </c>
      <c r="B302">
        <v>145051593</v>
      </c>
      <c r="C302">
        <v>145051576</v>
      </c>
      <c r="D302">
        <v>140805182</v>
      </c>
      <c r="E302">
        <v>1</v>
      </c>
      <c r="F302">
        <v>1</v>
      </c>
      <c r="G302">
        <v>1</v>
      </c>
      <c r="H302">
        <v>3</v>
      </c>
      <c r="I302" t="s">
        <v>1001</v>
      </c>
      <c r="J302" t="s">
        <v>1002</v>
      </c>
      <c r="K302" t="s">
        <v>1003</v>
      </c>
      <c r="L302">
        <v>1346</v>
      </c>
      <c r="N302">
        <v>1009</v>
      </c>
      <c r="O302" t="s">
        <v>43</v>
      </c>
      <c r="P302" t="s">
        <v>43</v>
      </c>
      <c r="Q302">
        <v>1</v>
      </c>
      <c r="X302">
        <v>0.6</v>
      </c>
      <c r="Y302">
        <v>9.42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0.6</v>
      </c>
      <c r="AH302">
        <v>2</v>
      </c>
      <c r="AI302">
        <v>145051593</v>
      </c>
      <c r="AJ302">
        <v>302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ROW(Source!A132)</f>
        <v>132</v>
      </c>
      <c r="B303">
        <v>145070985</v>
      </c>
      <c r="C303">
        <v>145070984</v>
      </c>
      <c r="D303">
        <v>140759935</v>
      </c>
      <c r="E303">
        <v>70</v>
      </c>
      <c r="F303">
        <v>1</v>
      </c>
      <c r="G303">
        <v>1</v>
      </c>
      <c r="H303">
        <v>1</v>
      </c>
      <c r="I303" t="s">
        <v>723</v>
      </c>
      <c r="J303" t="s">
        <v>3</v>
      </c>
      <c r="K303" t="s">
        <v>724</v>
      </c>
      <c r="L303">
        <v>1191</v>
      </c>
      <c r="N303">
        <v>1013</v>
      </c>
      <c r="O303" t="s">
        <v>725</v>
      </c>
      <c r="P303" t="s">
        <v>725</v>
      </c>
      <c r="Q303">
        <v>1</v>
      </c>
      <c r="X303">
        <v>9.84</v>
      </c>
      <c r="Y303">
        <v>0</v>
      </c>
      <c r="Z303">
        <v>0</v>
      </c>
      <c r="AA303">
        <v>0</v>
      </c>
      <c r="AB303">
        <v>7.8</v>
      </c>
      <c r="AC303">
        <v>0</v>
      </c>
      <c r="AD303">
        <v>1</v>
      </c>
      <c r="AE303">
        <v>1</v>
      </c>
      <c r="AF303" t="s">
        <v>91</v>
      </c>
      <c r="AG303">
        <v>13.013399999999997</v>
      </c>
      <c r="AH303">
        <v>2</v>
      </c>
      <c r="AI303">
        <v>145070985</v>
      </c>
      <c r="AJ303">
        <v>303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ROW(Source!A132)</f>
        <v>132</v>
      </c>
      <c r="B304">
        <v>145070986</v>
      </c>
      <c r="C304">
        <v>145070984</v>
      </c>
      <c r="D304">
        <v>140760225</v>
      </c>
      <c r="E304">
        <v>70</v>
      </c>
      <c r="F304">
        <v>1</v>
      </c>
      <c r="G304">
        <v>1</v>
      </c>
      <c r="H304">
        <v>1</v>
      </c>
      <c r="I304" t="s">
        <v>730</v>
      </c>
      <c r="J304" t="s">
        <v>3</v>
      </c>
      <c r="K304" t="s">
        <v>731</v>
      </c>
      <c r="L304">
        <v>1191</v>
      </c>
      <c r="N304">
        <v>1013</v>
      </c>
      <c r="O304" t="s">
        <v>725</v>
      </c>
      <c r="P304" t="s">
        <v>725</v>
      </c>
      <c r="Q304">
        <v>1</v>
      </c>
      <c r="X304">
        <v>28.53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2</v>
      </c>
      <c r="AF304" t="s">
        <v>339</v>
      </c>
      <c r="AG304">
        <v>41.011875000000003</v>
      </c>
      <c r="AH304">
        <v>2</v>
      </c>
      <c r="AI304">
        <v>145070986</v>
      </c>
      <c r="AJ304">
        <v>304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ROW(Source!A132)</f>
        <v>132</v>
      </c>
      <c r="B305">
        <v>145070987</v>
      </c>
      <c r="C305">
        <v>145070984</v>
      </c>
      <c r="D305">
        <v>140922396</v>
      </c>
      <c r="E305">
        <v>1</v>
      </c>
      <c r="F305">
        <v>1</v>
      </c>
      <c r="G305">
        <v>1</v>
      </c>
      <c r="H305">
        <v>2</v>
      </c>
      <c r="I305" t="s">
        <v>1032</v>
      </c>
      <c r="J305" t="s">
        <v>1033</v>
      </c>
      <c r="K305" t="s">
        <v>1034</v>
      </c>
      <c r="L305">
        <v>1367</v>
      </c>
      <c r="N305">
        <v>1011</v>
      </c>
      <c r="O305" t="s">
        <v>79</v>
      </c>
      <c r="P305" t="s">
        <v>79</v>
      </c>
      <c r="Q305">
        <v>1</v>
      </c>
      <c r="X305">
        <v>7.13</v>
      </c>
      <c r="Y305">
        <v>0</v>
      </c>
      <c r="Z305">
        <v>79.069999999999993</v>
      </c>
      <c r="AA305">
        <v>13.5</v>
      </c>
      <c r="AB305">
        <v>0</v>
      </c>
      <c r="AC305">
        <v>0</v>
      </c>
      <c r="AD305">
        <v>1</v>
      </c>
      <c r="AE305">
        <v>0</v>
      </c>
      <c r="AF305" t="s">
        <v>339</v>
      </c>
      <c r="AG305">
        <v>10.249374999999999</v>
      </c>
      <c r="AH305">
        <v>2</v>
      </c>
      <c r="AI305">
        <v>145070987</v>
      </c>
      <c r="AJ305">
        <v>305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ROW(Source!A132)</f>
        <v>132</v>
      </c>
      <c r="B306">
        <v>145070988</v>
      </c>
      <c r="C306">
        <v>145070984</v>
      </c>
      <c r="D306">
        <v>140922461</v>
      </c>
      <c r="E306">
        <v>1</v>
      </c>
      <c r="F306">
        <v>1</v>
      </c>
      <c r="G306">
        <v>1</v>
      </c>
      <c r="H306">
        <v>2</v>
      </c>
      <c r="I306" t="s">
        <v>1035</v>
      </c>
      <c r="J306" t="s">
        <v>1036</v>
      </c>
      <c r="K306" t="s">
        <v>1037</v>
      </c>
      <c r="L306">
        <v>1367</v>
      </c>
      <c r="N306">
        <v>1011</v>
      </c>
      <c r="O306" t="s">
        <v>79</v>
      </c>
      <c r="P306" t="s">
        <v>79</v>
      </c>
      <c r="Q306">
        <v>1</v>
      </c>
      <c r="X306">
        <v>21.4</v>
      </c>
      <c r="Y306">
        <v>0</v>
      </c>
      <c r="Z306">
        <v>115.27</v>
      </c>
      <c r="AA306">
        <v>13.5</v>
      </c>
      <c r="AB306">
        <v>0</v>
      </c>
      <c r="AC306">
        <v>0</v>
      </c>
      <c r="AD306">
        <v>1</v>
      </c>
      <c r="AE306">
        <v>0</v>
      </c>
      <c r="AF306" t="s">
        <v>339</v>
      </c>
      <c r="AG306">
        <v>30.762499999999996</v>
      </c>
      <c r="AH306">
        <v>2</v>
      </c>
      <c r="AI306">
        <v>145070988</v>
      </c>
      <c r="AJ306">
        <v>306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ROW(Source!A132)</f>
        <v>132</v>
      </c>
      <c r="B307">
        <v>145070989</v>
      </c>
      <c r="C307">
        <v>145070984</v>
      </c>
      <c r="D307">
        <v>140776996</v>
      </c>
      <c r="E307">
        <v>1</v>
      </c>
      <c r="F307">
        <v>1</v>
      </c>
      <c r="G307">
        <v>1</v>
      </c>
      <c r="H307">
        <v>3</v>
      </c>
      <c r="I307" t="s">
        <v>1038</v>
      </c>
      <c r="J307" t="s">
        <v>1039</v>
      </c>
      <c r="K307" t="s">
        <v>1040</v>
      </c>
      <c r="L307">
        <v>1339</v>
      </c>
      <c r="N307">
        <v>1007</v>
      </c>
      <c r="O307" t="s">
        <v>66</v>
      </c>
      <c r="P307" t="s">
        <v>66</v>
      </c>
      <c r="Q307">
        <v>1</v>
      </c>
      <c r="X307">
        <v>0.04</v>
      </c>
      <c r="Y307">
        <v>108.4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 t="s">
        <v>3</v>
      </c>
      <c r="AG307">
        <v>0.04</v>
      </c>
      <c r="AH307">
        <v>2</v>
      </c>
      <c r="AI307">
        <v>145070989</v>
      </c>
      <c r="AJ307">
        <v>307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ROW(Source!A134)</f>
        <v>134</v>
      </c>
      <c r="B308">
        <v>145070995</v>
      </c>
      <c r="C308">
        <v>145070994</v>
      </c>
      <c r="D308">
        <v>140759935</v>
      </c>
      <c r="E308">
        <v>70</v>
      </c>
      <c r="F308">
        <v>1</v>
      </c>
      <c r="G308">
        <v>1</v>
      </c>
      <c r="H308">
        <v>1</v>
      </c>
      <c r="I308" t="s">
        <v>723</v>
      </c>
      <c r="J308" t="s">
        <v>3</v>
      </c>
      <c r="K308" t="s">
        <v>724</v>
      </c>
      <c r="L308">
        <v>1191</v>
      </c>
      <c r="N308">
        <v>1013</v>
      </c>
      <c r="O308" t="s">
        <v>725</v>
      </c>
      <c r="P308" t="s">
        <v>725</v>
      </c>
      <c r="Q308">
        <v>1</v>
      </c>
      <c r="X308">
        <v>3.32</v>
      </c>
      <c r="Y308">
        <v>0</v>
      </c>
      <c r="Z308">
        <v>0</v>
      </c>
      <c r="AA308">
        <v>0</v>
      </c>
      <c r="AB308">
        <v>7.8</v>
      </c>
      <c r="AC308">
        <v>0</v>
      </c>
      <c r="AD308">
        <v>1</v>
      </c>
      <c r="AE308">
        <v>1</v>
      </c>
      <c r="AF308" t="s">
        <v>3</v>
      </c>
      <c r="AG308">
        <v>3.32</v>
      </c>
      <c r="AH308">
        <v>2</v>
      </c>
      <c r="AI308">
        <v>145070995</v>
      </c>
      <c r="AJ308">
        <v>308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ROW(Source!A134)</f>
        <v>134</v>
      </c>
      <c r="B309">
        <v>145070996</v>
      </c>
      <c r="C309">
        <v>145070994</v>
      </c>
      <c r="D309">
        <v>140760225</v>
      </c>
      <c r="E309">
        <v>70</v>
      </c>
      <c r="F309">
        <v>1</v>
      </c>
      <c r="G309">
        <v>1</v>
      </c>
      <c r="H309">
        <v>1</v>
      </c>
      <c r="I309" t="s">
        <v>730</v>
      </c>
      <c r="J309" t="s">
        <v>3</v>
      </c>
      <c r="K309" t="s">
        <v>731</v>
      </c>
      <c r="L309">
        <v>1191</v>
      </c>
      <c r="N309">
        <v>1013</v>
      </c>
      <c r="O309" t="s">
        <v>725</v>
      </c>
      <c r="P309" t="s">
        <v>725</v>
      </c>
      <c r="Q309">
        <v>1</v>
      </c>
      <c r="X309">
        <v>3.69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2</v>
      </c>
      <c r="AF309" t="s">
        <v>3</v>
      </c>
      <c r="AG309">
        <v>3.69</v>
      </c>
      <c r="AH309">
        <v>2</v>
      </c>
      <c r="AI309">
        <v>145070996</v>
      </c>
      <c r="AJ309">
        <v>309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ROW(Source!A134)</f>
        <v>134</v>
      </c>
      <c r="B310">
        <v>145070997</v>
      </c>
      <c r="C310">
        <v>145070994</v>
      </c>
      <c r="D310">
        <v>140922396</v>
      </c>
      <c r="E310">
        <v>1</v>
      </c>
      <c r="F310">
        <v>1</v>
      </c>
      <c r="G310">
        <v>1</v>
      </c>
      <c r="H310">
        <v>2</v>
      </c>
      <c r="I310" t="s">
        <v>1032</v>
      </c>
      <c r="J310" t="s">
        <v>1033</v>
      </c>
      <c r="K310" t="s">
        <v>1034</v>
      </c>
      <c r="L310">
        <v>1367</v>
      </c>
      <c r="N310">
        <v>1011</v>
      </c>
      <c r="O310" t="s">
        <v>79</v>
      </c>
      <c r="P310" t="s">
        <v>79</v>
      </c>
      <c r="Q310">
        <v>1</v>
      </c>
      <c r="X310">
        <v>3.61</v>
      </c>
      <c r="Y310">
        <v>0</v>
      </c>
      <c r="Z310">
        <v>79.069999999999993</v>
      </c>
      <c r="AA310">
        <v>13.5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3.61</v>
      </c>
      <c r="AH310">
        <v>2</v>
      </c>
      <c r="AI310">
        <v>145070997</v>
      </c>
      <c r="AJ310">
        <v>310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ROW(Source!A134)</f>
        <v>134</v>
      </c>
      <c r="B311">
        <v>145070998</v>
      </c>
      <c r="C311">
        <v>145070994</v>
      </c>
      <c r="D311">
        <v>140923891</v>
      </c>
      <c r="E311">
        <v>1</v>
      </c>
      <c r="F311">
        <v>1</v>
      </c>
      <c r="G311">
        <v>1</v>
      </c>
      <c r="H311">
        <v>2</v>
      </c>
      <c r="I311" t="s">
        <v>1041</v>
      </c>
      <c r="J311" t="s">
        <v>1042</v>
      </c>
      <c r="K311" t="s">
        <v>1043</v>
      </c>
      <c r="L311">
        <v>1367</v>
      </c>
      <c r="N311">
        <v>1011</v>
      </c>
      <c r="O311" t="s">
        <v>79</v>
      </c>
      <c r="P311" t="s">
        <v>79</v>
      </c>
      <c r="Q311">
        <v>1</v>
      </c>
      <c r="X311">
        <v>0.08</v>
      </c>
      <c r="Y311">
        <v>0</v>
      </c>
      <c r="Z311">
        <v>89.54</v>
      </c>
      <c r="AA311">
        <v>11.6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0.08</v>
      </c>
      <c r="AH311">
        <v>2</v>
      </c>
      <c r="AI311">
        <v>145070998</v>
      </c>
      <c r="AJ311">
        <v>311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ROW(Source!A134)</f>
        <v>134</v>
      </c>
      <c r="B312">
        <v>145070999</v>
      </c>
      <c r="C312">
        <v>145070994</v>
      </c>
      <c r="D312">
        <v>140776996</v>
      </c>
      <c r="E312">
        <v>1</v>
      </c>
      <c r="F312">
        <v>1</v>
      </c>
      <c r="G312">
        <v>1</v>
      </c>
      <c r="H312">
        <v>3</v>
      </c>
      <c r="I312" t="s">
        <v>1038</v>
      </c>
      <c r="J312" t="s">
        <v>1039</v>
      </c>
      <c r="K312" t="s">
        <v>1040</v>
      </c>
      <c r="L312">
        <v>1339</v>
      </c>
      <c r="N312">
        <v>1007</v>
      </c>
      <c r="O312" t="s">
        <v>66</v>
      </c>
      <c r="P312" t="s">
        <v>66</v>
      </c>
      <c r="Q312">
        <v>1</v>
      </c>
      <c r="X312">
        <v>0.04</v>
      </c>
      <c r="Y312">
        <v>108.4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 t="s">
        <v>3</v>
      </c>
      <c r="AG312">
        <v>0.04</v>
      </c>
      <c r="AH312">
        <v>2</v>
      </c>
      <c r="AI312">
        <v>145070999</v>
      </c>
      <c r="AJ312">
        <v>312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ROW(Source!A136)</f>
        <v>136</v>
      </c>
      <c r="B313">
        <v>145071010</v>
      </c>
      <c r="C313">
        <v>145071004</v>
      </c>
      <c r="D313">
        <v>140755423</v>
      </c>
      <c r="E313">
        <v>70</v>
      </c>
      <c r="F313">
        <v>1</v>
      </c>
      <c r="G313">
        <v>1</v>
      </c>
      <c r="H313">
        <v>1</v>
      </c>
      <c r="I313" t="s">
        <v>723</v>
      </c>
      <c r="J313" t="s">
        <v>3</v>
      </c>
      <c r="K313" t="s">
        <v>724</v>
      </c>
      <c r="L313">
        <v>1191</v>
      </c>
      <c r="N313">
        <v>1013</v>
      </c>
      <c r="O313" t="s">
        <v>725</v>
      </c>
      <c r="P313" t="s">
        <v>725</v>
      </c>
      <c r="Q313">
        <v>1</v>
      </c>
      <c r="X313">
        <v>9.84</v>
      </c>
      <c r="Y313">
        <v>0</v>
      </c>
      <c r="Z313">
        <v>0</v>
      </c>
      <c r="AA313">
        <v>0</v>
      </c>
      <c r="AB313">
        <v>7.8</v>
      </c>
      <c r="AC313">
        <v>0</v>
      </c>
      <c r="AD313">
        <v>1</v>
      </c>
      <c r="AE313">
        <v>1</v>
      </c>
      <c r="AF313" t="s">
        <v>91</v>
      </c>
      <c r="AG313">
        <v>13.013399999999997</v>
      </c>
      <c r="AH313">
        <v>2</v>
      </c>
      <c r="AI313">
        <v>145071005</v>
      </c>
      <c r="AJ313">
        <v>313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ROW(Source!A136)</f>
        <v>136</v>
      </c>
      <c r="B314">
        <v>145071011</v>
      </c>
      <c r="C314">
        <v>145071004</v>
      </c>
      <c r="D314">
        <v>140755491</v>
      </c>
      <c r="E314">
        <v>70</v>
      </c>
      <c r="F314">
        <v>1</v>
      </c>
      <c r="G314">
        <v>1</v>
      </c>
      <c r="H314">
        <v>1</v>
      </c>
      <c r="I314" t="s">
        <v>730</v>
      </c>
      <c r="J314" t="s">
        <v>3</v>
      </c>
      <c r="K314" t="s">
        <v>731</v>
      </c>
      <c r="L314">
        <v>1191</v>
      </c>
      <c r="N314">
        <v>1013</v>
      </c>
      <c r="O314" t="s">
        <v>725</v>
      </c>
      <c r="P314" t="s">
        <v>725</v>
      </c>
      <c r="Q314">
        <v>1</v>
      </c>
      <c r="X314">
        <v>28.53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2</v>
      </c>
      <c r="AF314" t="s">
        <v>339</v>
      </c>
      <c r="AG314">
        <v>41.011875000000003</v>
      </c>
      <c r="AH314">
        <v>2</v>
      </c>
      <c r="AI314">
        <v>145071006</v>
      </c>
      <c r="AJ314">
        <v>314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ROW(Source!A136)</f>
        <v>136</v>
      </c>
      <c r="B315">
        <v>145071012</v>
      </c>
      <c r="C315">
        <v>145071004</v>
      </c>
      <c r="D315">
        <v>140922396</v>
      </c>
      <c r="E315">
        <v>1</v>
      </c>
      <c r="F315">
        <v>1</v>
      </c>
      <c r="G315">
        <v>1</v>
      </c>
      <c r="H315">
        <v>2</v>
      </c>
      <c r="I315" t="s">
        <v>1032</v>
      </c>
      <c r="J315" t="s">
        <v>1033</v>
      </c>
      <c r="K315" t="s">
        <v>1034</v>
      </c>
      <c r="L315">
        <v>1367</v>
      </c>
      <c r="N315">
        <v>1011</v>
      </c>
      <c r="O315" t="s">
        <v>79</v>
      </c>
      <c r="P315" t="s">
        <v>79</v>
      </c>
      <c r="Q315">
        <v>1</v>
      </c>
      <c r="X315">
        <v>7.13</v>
      </c>
      <c r="Y315">
        <v>0</v>
      </c>
      <c r="Z315">
        <v>79.069999999999993</v>
      </c>
      <c r="AA315">
        <v>13.5</v>
      </c>
      <c r="AB315">
        <v>0</v>
      </c>
      <c r="AC315">
        <v>0</v>
      </c>
      <c r="AD315">
        <v>1</v>
      </c>
      <c r="AE315">
        <v>0</v>
      </c>
      <c r="AF315" t="s">
        <v>339</v>
      </c>
      <c r="AG315">
        <v>10.249374999999999</v>
      </c>
      <c r="AH315">
        <v>2</v>
      </c>
      <c r="AI315">
        <v>145071007</v>
      </c>
      <c r="AJ315">
        <v>315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ROW(Source!A136)</f>
        <v>136</v>
      </c>
      <c r="B316">
        <v>145071013</v>
      </c>
      <c r="C316">
        <v>145071004</v>
      </c>
      <c r="D316">
        <v>140922461</v>
      </c>
      <c r="E316">
        <v>1</v>
      </c>
      <c r="F316">
        <v>1</v>
      </c>
      <c r="G316">
        <v>1</v>
      </c>
      <c r="H316">
        <v>2</v>
      </c>
      <c r="I316" t="s">
        <v>1035</v>
      </c>
      <c r="J316" t="s">
        <v>1036</v>
      </c>
      <c r="K316" t="s">
        <v>1037</v>
      </c>
      <c r="L316">
        <v>1367</v>
      </c>
      <c r="N316">
        <v>1011</v>
      </c>
      <c r="O316" t="s">
        <v>79</v>
      </c>
      <c r="P316" t="s">
        <v>79</v>
      </c>
      <c r="Q316">
        <v>1</v>
      </c>
      <c r="X316">
        <v>21.4</v>
      </c>
      <c r="Y316">
        <v>0</v>
      </c>
      <c r="Z316">
        <v>115.27</v>
      </c>
      <c r="AA316">
        <v>13.5</v>
      </c>
      <c r="AB316">
        <v>0</v>
      </c>
      <c r="AC316">
        <v>0</v>
      </c>
      <c r="AD316">
        <v>1</v>
      </c>
      <c r="AE316">
        <v>0</v>
      </c>
      <c r="AF316" t="s">
        <v>339</v>
      </c>
      <c r="AG316">
        <v>30.762499999999996</v>
      </c>
      <c r="AH316">
        <v>2</v>
      </c>
      <c r="AI316">
        <v>145071008</v>
      </c>
      <c r="AJ316">
        <v>316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ROW(Source!A136)</f>
        <v>136</v>
      </c>
      <c r="B317">
        <v>145071014</v>
      </c>
      <c r="C317">
        <v>145071004</v>
      </c>
      <c r="D317">
        <v>140776996</v>
      </c>
      <c r="E317">
        <v>1</v>
      </c>
      <c r="F317">
        <v>1</v>
      </c>
      <c r="G317">
        <v>1</v>
      </c>
      <c r="H317">
        <v>3</v>
      </c>
      <c r="I317" t="s">
        <v>1038</v>
      </c>
      <c r="J317" t="s">
        <v>1039</v>
      </c>
      <c r="K317" t="s">
        <v>1040</v>
      </c>
      <c r="L317">
        <v>1339</v>
      </c>
      <c r="N317">
        <v>1007</v>
      </c>
      <c r="O317" t="s">
        <v>66</v>
      </c>
      <c r="P317" t="s">
        <v>66</v>
      </c>
      <c r="Q317">
        <v>1</v>
      </c>
      <c r="X317">
        <v>0.04</v>
      </c>
      <c r="Y317">
        <v>108.4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0</v>
      </c>
      <c r="AF317" t="s">
        <v>3</v>
      </c>
      <c r="AG317">
        <v>0.04</v>
      </c>
      <c r="AH317">
        <v>2</v>
      </c>
      <c r="AI317">
        <v>145071009</v>
      </c>
      <c r="AJ317">
        <v>317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ROW(Source!A137)</f>
        <v>137</v>
      </c>
      <c r="B318">
        <v>145071017</v>
      </c>
      <c r="C318">
        <v>145071016</v>
      </c>
      <c r="D318">
        <v>140759935</v>
      </c>
      <c r="E318">
        <v>70</v>
      </c>
      <c r="F318">
        <v>1</v>
      </c>
      <c r="G318">
        <v>1</v>
      </c>
      <c r="H318">
        <v>1</v>
      </c>
      <c r="I318" t="s">
        <v>723</v>
      </c>
      <c r="J318" t="s">
        <v>3</v>
      </c>
      <c r="K318" t="s">
        <v>724</v>
      </c>
      <c r="L318">
        <v>1191</v>
      </c>
      <c r="N318">
        <v>1013</v>
      </c>
      <c r="O318" t="s">
        <v>725</v>
      </c>
      <c r="P318" t="s">
        <v>725</v>
      </c>
      <c r="Q318">
        <v>1</v>
      </c>
      <c r="X318">
        <v>154</v>
      </c>
      <c r="Y318">
        <v>0</v>
      </c>
      <c r="Z318">
        <v>0</v>
      </c>
      <c r="AA318">
        <v>0</v>
      </c>
      <c r="AB318">
        <v>7.8</v>
      </c>
      <c r="AC318">
        <v>0</v>
      </c>
      <c r="AD318">
        <v>1</v>
      </c>
      <c r="AE318">
        <v>1</v>
      </c>
      <c r="AF318" t="s">
        <v>463</v>
      </c>
      <c r="AG318">
        <v>244.39799999999994</v>
      </c>
      <c r="AH318">
        <v>2</v>
      </c>
      <c r="AI318">
        <v>145071017</v>
      </c>
      <c r="AJ318">
        <v>318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ROW(Source!A138)</f>
        <v>138</v>
      </c>
      <c r="B319">
        <v>145071019</v>
      </c>
      <c r="C319">
        <v>145071018</v>
      </c>
      <c r="D319">
        <v>140759906</v>
      </c>
      <c r="E319">
        <v>70</v>
      </c>
      <c r="F319">
        <v>1</v>
      </c>
      <c r="G319">
        <v>1</v>
      </c>
      <c r="H319">
        <v>1</v>
      </c>
      <c r="I319" t="s">
        <v>1044</v>
      </c>
      <c r="J319" t="s">
        <v>3</v>
      </c>
      <c r="K319" t="s">
        <v>1045</v>
      </c>
      <c r="L319">
        <v>1191</v>
      </c>
      <c r="N319">
        <v>1013</v>
      </c>
      <c r="O319" t="s">
        <v>725</v>
      </c>
      <c r="P319" t="s">
        <v>725</v>
      </c>
      <c r="Q319">
        <v>1</v>
      </c>
      <c r="X319">
        <v>61.8</v>
      </c>
      <c r="Y319">
        <v>0</v>
      </c>
      <c r="Z319">
        <v>0</v>
      </c>
      <c r="AA319">
        <v>0</v>
      </c>
      <c r="AB319">
        <v>7.5</v>
      </c>
      <c r="AC319">
        <v>0</v>
      </c>
      <c r="AD319">
        <v>1</v>
      </c>
      <c r="AE319">
        <v>1</v>
      </c>
      <c r="AF319" t="s">
        <v>3</v>
      </c>
      <c r="AG319">
        <v>61.8</v>
      </c>
      <c r="AH319">
        <v>2</v>
      </c>
      <c r="AI319">
        <v>145071019</v>
      </c>
      <c r="AJ319">
        <v>319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ROW(Source!A140)</f>
        <v>140</v>
      </c>
      <c r="B320">
        <v>145071042</v>
      </c>
      <c r="C320">
        <v>145071036</v>
      </c>
      <c r="D320">
        <v>140755423</v>
      </c>
      <c r="E320">
        <v>70</v>
      </c>
      <c r="F320">
        <v>1</v>
      </c>
      <c r="G320">
        <v>1</v>
      </c>
      <c r="H320">
        <v>1</v>
      </c>
      <c r="I320" t="s">
        <v>723</v>
      </c>
      <c r="J320" t="s">
        <v>3</v>
      </c>
      <c r="K320" t="s">
        <v>724</v>
      </c>
      <c r="L320">
        <v>1191</v>
      </c>
      <c r="N320">
        <v>1013</v>
      </c>
      <c r="O320" t="s">
        <v>725</v>
      </c>
      <c r="P320" t="s">
        <v>725</v>
      </c>
      <c r="Q320">
        <v>1</v>
      </c>
      <c r="X320">
        <v>3.32</v>
      </c>
      <c r="Y320">
        <v>0</v>
      </c>
      <c r="Z320">
        <v>0</v>
      </c>
      <c r="AA320">
        <v>0</v>
      </c>
      <c r="AB320">
        <v>7.8</v>
      </c>
      <c r="AC320">
        <v>0</v>
      </c>
      <c r="AD320">
        <v>1</v>
      </c>
      <c r="AE320">
        <v>1</v>
      </c>
      <c r="AF320" t="s">
        <v>3</v>
      </c>
      <c r="AG320">
        <v>3.32</v>
      </c>
      <c r="AH320">
        <v>2</v>
      </c>
      <c r="AI320">
        <v>145071037</v>
      </c>
      <c r="AJ320">
        <v>320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ROW(Source!A140)</f>
        <v>140</v>
      </c>
      <c r="B321">
        <v>145071043</v>
      </c>
      <c r="C321">
        <v>145071036</v>
      </c>
      <c r="D321">
        <v>140755491</v>
      </c>
      <c r="E321">
        <v>70</v>
      </c>
      <c r="F321">
        <v>1</v>
      </c>
      <c r="G321">
        <v>1</v>
      </c>
      <c r="H321">
        <v>1</v>
      </c>
      <c r="I321" t="s">
        <v>730</v>
      </c>
      <c r="J321" t="s">
        <v>3</v>
      </c>
      <c r="K321" t="s">
        <v>731</v>
      </c>
      <c r="L321">
        <v>1191</v>
      </c>
      <c r="N321">
        <v>1013</v>
      </c>
      <c r="O321" t="s">
        <v>725</v>
      </c>
      <c r="P321" t="s">
        <v>725</v>
      </c>
      <c r="Q321">
        <v>1</v>
      </c>
      <c r="X321">
        <v>3.69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2</v>
      </c>
      <c r="AF321" t="s">
        <v>3</v>
      </c>
      <c r="AG321">
        <v>3.69</v>
      </c>
      <c r="AH321">
        <v>2</v>
      </c>
      <c r="AI321">
        <v>145071038</v>
      </c>
      <c r="AJ321">
        <v>321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ROW(Source!A140)</f>
        <v>140</v>
      </c>
      <c r="B322">
        <v>145071044</v>
      </c>
      <c r="C322">
        <v>145071036</v>
      </c>
      <c r="D322">
        <v>140922396</v>
      </c>
      <c r="E322">
        <v>1</v>
      </c>
      <c r="F322">
        <v>1</v>
      </c>
      <c r="G322">
        <v>1</v>
      </c>
      <c r="H322">
        <v>2</v>
      </c>
      <c r="I322" t="s">
        <v>1032</v>
      </c>
      <c r="J322" t="s">
        <v>1033</v>
      </c>
      <c r="K322" t="s">
        <v>1034</v>
      </c>
      <c r="L322">
        <v>1367</v>
      </c>
      <c r="N322">
        <v>1011</v>
      </c>
      <c r="O322" t="s">
        <v>79</v>
      </c>
      <c r="P322" t="s">
        <v>79</v>
      </c>
      <c r="Q322">
        <v>1</v>
      </c>
      <c r="X322">
        <v>3.61</v>
      </c>
      <c r="Y322">
        <v>0</v>
      </c>
      <c r="Z322">
        <v>79.069999999999993</v>
      </c>
      <c r="AA322">
        <v>13.5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3.61</v>
      </c>
      <c r="AH322">
        <v>2</v>
      </c>
      <c r="AI322">
        <v>145071039</v>
      </c>
      <c r="AJ322">
        <v>322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ROW(Source!A140)</f>
        <v>140</v>
      </c>
      <c r="B323">
        <v>145071045</v>
      </c>
      <c r="C323">
        <v>145071036</v>
      </c>
      <c r="D323">
        <v>140923891</v>
      </c>
      <c r="E323">
        <v>1</v>
      </c>
      <c r="F323">
        <v>1</v>
      </c>
      <c r="G323">
        <v>1</v>
      </c>
      <c r="H323">
        <v>2</v>
      </c>
      <c r="I323" t="s">
        <v>1041</v>
      </c>
      <c r="J323" t="s">
        <v>1042</v>
      </c>
      <c r="K323" t="s">
        <v>1043</v>
      </c>
      <c r="L323">
        <v>1367</v>
      </c>
      <c r="N323">
        <v>1011</v>
      </c>
      <c r="O323" t="s">
        <v>79</v>
      </c>
      <c r="P323" t="s">
        <v>79</v>
      </c>
      <c r="Q323">
        <v>1</v>
      </c>
      <c r="X323">
        <v>0.08</v>
      </c>
      <c r="Y323">
        <v>0</v>
      </c>
      <c r="Z323">
        <v>89.54</v>
      </c>
      <c r="AA323">
        <v>11.6</v>
      </c>
      <c r="AB323">
        <v>0</v>
      </c>
      <c r="AC323">
        <v>0</v>
      </c>
      <c r="AD323">
        <v>1</v>
      </c>
      <c r="AE323">
        <v>0</v>
      </c>
      <c r="AF323" t="s">
        <v>3</v>
      </c>
      <c r="AG323">
        <v>0.08</v>
      </c>
      <c r="AH323">
        <v>2</v>
      </c>
      <c r="AI323">
        <v>145071040</v>
      </c>
      <c r="AJ323">
        <v>323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ROW(Source!A140)</f>
        <v>140</v>
      </c>
      <c r="B324">
        <v>145071046</v>
      </c>
      <c r="C324">
        <v>145071036</v>
      </c>
      <c r="D324">
        <v>140776996</v>
      </c>
      <c r="E324">
        <v>1</v>
      </c>
      <c r="F324">
        <v>1</v>
      </c>
      <c r="G324">
        <v>1</v>
      </c>
      <c r="H324">
        <v>3</v>
      </c>
      <c r="I324" t="s">
        <v>1038</v>
      </c>
      <c r="J324" t="s">
        <v>1039</v>
      </c>
      <c r="K324" t="s">
        <v>1040</v>
      </c>
      <c r="L324">
        <v>1339</v>
      </c>
      <c r="N324">
        <v>1007</v>
      </c>
      <c r="O324" t="s">
        <v>66</v>
      </c>
      <c r="P324" t="s">
        <v>66</v>
      </c>
      <c r="Q324">
        <v>1</v>
      </c>
      <c r="X324">
        <v>0.04</v>
      </c>
      <c r="Y324">
        <v>108.4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0.04</v>
      </c>
      <c r="AH324">
        <v>2</v>
      </c>
      <c r="AI324">
        <v>145071041</v>
      </c>
      <c r="AJ324">
        <v>324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ROW(Source!A141)</f>
        <v>141</v>
      </c>
      <c r="B325">
        <v>145041797</v>
      </c>
      <c r="C325">
        <v>145041754</v>
      </c>
      <c r="D325">
        <v>140759945</v>
      </c>
      <c r="E325">
        <v>70</v>
      </c>
      <c r="F325">
        <v>1</v>
      </c>
      <c r="G325">
        <v>1</v>
      </c>
      <c r="H325">
        <v>1</v>
      </c>
      <c r="I325" t="s">
        <v>1046</v>
      </c>
      <c r="J325" t="s">
        <v>3</v>
      </c>
      <c r="K325" t="s">
        <v>1047</v>
      </c>
      <c r="L325">
        <v>1191</v>
      </c>
      <c r="N325">
        <v>1013</v>
      </c>
      <c r="O325" t="s">
        <v>725</v>
      </c>
      <c r="P325" t="s">
        <v>725</v>
      </c>
      <c r="Q325">
        <v>1</v>
      </c>
      <c r="X325">
        <v>0.78</v>
      </c>
      <c r="Y325">
        <v>0</v>
      </c>
      <c r="Z325">
        <v>0</v>
      </c>
      <c r="AA325">
        <v>0</v>
      </c>
      <c r="AB325">
        <v>7.94</v>
      </c>
      <c r="AC325">
        <v>0</v>
      </c>
      <c r="AD325">
        <v>1</v>
      </c>
      <c r="AE325">
        <v>1</v>
      </c>
      <c r="AF325" t="s">
        <v>91</v>
      </c>
      <c r="AG325">
        <v>1.0315499999999997</v>
      </c>
      <c r="AH325">
        <v>2</v>
      </c>
      <c r="AI325">
        <v>145041797</v>
      </c>
      <c r="AJ325">
        <v>325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ROW(Source!A141)</f>
        <v>141</v>
      </c>
      <c r="B326">
        <v>145041798</v>
      </c>
      <c r="C326">
        <v>145041754</v>
      </c>
      <c r="D326">
        <v>140760225</v>
      </c>
      <c r="E326">
        <v>70</v>
      </c>
      <c r="F326">
        <v>1</v>
      </c>
      <c r="G326">
        <v>1</v>
      </c>
      <c r="H326">
        <v>1</v>
      </c>
      <c r="I326" t="s">
        <v>730</v>
      </c>
      <c r="J326" t="s">
        <v>3</v>
      </c>
      <c r="K326" t="s">
        <v>731</v>
      </c>
      <c r="L326">
        <v>1191</v>
      </c>
      <c r="N326">
        <v>1013</v>
      </c>
      <c r="O326" t="s">
        <v>725</v>
      </c>
      <c r="P326" t="s">
        <v>725</v>
      </c>
      <c r="Q326">
        <v>1</v>
      </c>
      <c r="X326">
        <v>7.0000000000000007E-2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2</v>
      </c>
      <c r="AF326" t="s">
        <v>90</v>
      </c>
      <c r="AG326">
        <v>0.10062500000000001</v>
      </c>
      <c r="AH326">
        <v>2</v>
      </c>
      <c r="AI326">
        <v>145041798</v>
      </c>
      <c r="AJ326">
        <v>326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ROW(Source!A141)</f>
        <v>141</v>
      </c>
      <c r="B327">
        <v>145041799</v>
      </c>
      <c r="C327">
        <v>145041754</v>
      </c>
      <c r="D327">
        <v>140923124</v>
      </c>
      <c r="E327">
        <v>1</v>
      </c>
      <c r="F327">
        <v>1</v>
      </c>
      <c r="G327">
        <v>1</v>
      </c>
      <c r="H327">
        <v>2</v>
      </c>
      <c r="I327" t="s">
        <v>1048</v>
      </c>
      <c r="J327" t="s">
        <v>1049</v>
      </c>
      <c r="K327" t="s">
        <v>1050</v>
      </c>
      <c r="L327">
        <v>1367</v>
      </c>
      <c r="N327">
        <v>1011</v>
      </c>
      <c r="O327" t="s">
        <v>79</v>
      </c>
      <c r="P327" t="s">
        <v>79</v>
      </c>
      <c r="Q327">
        <v>1</v>
      </c>
      <c r="X327">
        <v>7.0000000000000007E-2</v>
      </c>
      <c r="Y327">
        <v>0</v>
      </c>
      <c r="Z327">
        <v>90.4</v>
      </c>
      <c r="AA327">
        <v>11.6</v>
      </c>
      <c r="AB327">
        <v>0</v>
      </c>
      <c r="AC327">
        <v>0</v>
      </c>
      <c r="AD327">
        <v>1</v>
      </c>
      <c r="AE327">
        <v>0</v>
      </c>
      <c r="AF327" t="s">
        <v>90</v>
      </c>
      <c r="AG327">
        <v>0.10062500000000001</v>
      </c>
      <c r="AH327">
        <v>2</v>
      </c>
      <c r="AI327">
        <v>145041799</v>
      </c>
      <c r="AJ327">
        <v>327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ROW(Source!A141)</f>
        <v>141</v>
      </c>
      <c r="B328">
        <v>145041800</v>
      </c>
      <c r="C328">
        <v>145041754</v>
      </c>
      <c r="D328">
        <v>140923427</v>
      </c>
      <c r="E328">
        <v>1</v>
      </c>
      <c r="F328">
        <v>1</v>
      </c>
      <c r="G328">
        <v>1</v>
      </c>
      <c r="H328">
        <v>2</v>
      </c>
      <c r="I328" t="s">
        <v>1051</v>
      </c>
      <c r="J328" t="s">
        <v>1052</v>
      </c>
      <c r="K328" t="s">
        <v>1053</v>
      </c>
      <c r="L328">
        <v>1367</v>
      </c>
      <c r="N328">
        <v>1011</v>
      </c>
      <c r="O328" t="s">
        <v>79</v>
      </c>
      <c r="P328" t="s">
        <v>79</v>
      </c>
      <c r="Q328">
        <v>1</v>
      </c>
      <c r="X328">
        <v>0.36</v>
      </c>
      <c r="Y328">
        <v>0</v>
      </c>
      <c r="Z328">
        <v>4.91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90</v>
      </c>
      <c r="AG328">
        <v>0.51749999999999996</v>
      </c>
      <c r="AH328">
        <v>2</v>
      </c>
      <c r="AI328">
        <v>145041800</v>
      </c>
      <c r="AJ328">
        <v>328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ROW(Source!A141)</f>
        <v>141</v>
      </c>
      <c r="B329">
        <v>145041801</v>
      </c>
      <c r="C329">
        <v>145041754</v>
      </c>
      <c r="D329">
        <v>140772680</v>
      </c>
      <c r="E329">
        <v>1</v>
      </c>
      <c r="F329">
        <v>1</v>
      </c>
      <c r="G329">
        <v>1</v>
      </c>
      <c r="H329">
        <v>3</v>
      </c>
      <c r="I329" t="s">
        <v>735</v>
      </c>
      <c r="J329" t="s">
        <v>736</v>
      </c>
      <c r="K329" t="s">
        <v>737</v>
      </c>
      <c r="L329">
        <v>1339</v>
      </c>
      <c r="N329">
        <v>1007</v>
      </c>
      <c r="O329" t="s">
        <v>66</v>
      </c>
      <c r="P329" t="s">
        <v>66</v>
      </c>
      <c r="Q329">
        <v>1</v>
      </c>
      <c r="X329">
        <v>0.15</v>
      </c>
      <c r="Y329">
        <v>2.44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0.15</v>
      </c>
      <c r="AH329">
        <v>2</v>
      </c>
      <c r="AI329">
        <v>145041801</v>
      </c>
      <c r="AJ329">
        <v>329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ROW(Source!A141)</f>
        <v>141</v>
      </c>
      <c r="B330">
        <v>145041802</v>
      </c>
      <c r="C330">
        <v>145041754</v>
      </c>
      <c r="D330">
        <v>140760955</v>
      </c>
      <c r="E330">
        <v>70</v>
      </c>
      <c r="F330">
        <v>1</v>
      </c>
      <c r="G330">
        <v>1</v>
      </c>
      <c r="H330">
        <v>3</v>
      </c>
      <c r="I330" t="s">
        <v>1054</v>
      </c>
      <c r="J330" t="s">
        <v>3</v>
      </c>
      <c r="K330" t="s">
        <v>1055</v>
      </c>
      <c r="L330">
        <v>1339</v>
      </c>
      <c r="N330">
        <v>1007</v>
      </c>
      <c r="O330" t="s">
        <v>66</v>
      </c>
      <c r="P330" t="s">
        <v>66</v>
      </c>
      <c r="Q330">
        <v>1</v>
      </c>
      <c r="X330">
        <v>1.1000000000000001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 t="s">
        <v>3</v>
      </c>
      <c r="AG330">
        <v>1.1000000000000001</v>
      </c>
      <c r="AH330">
        <v>2</v>
      </c>
      <c r="AI330">
        <v>145041802</v>
      </c>
      <c r="AJ330">
        <v>330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ROW(Source!A143)</f>
        <v>143</v>
      </c>
      <c r="B331">
        <v>145041803</v>
      </c>
      <c r="C331">
        <v>145041741</v>
      </c>
      <c r="D331">
        <v>140759945</v>
      </c>
      <c r="E331">
        <v>70</v>
      </c>
      <c r="F331">
        <v>1</v>
      </c>
      <c r="G331">
        <v>1</v>
      </c>
      <c r="H331">
        <v>1</v>
      </c>
      <c r="I331" t="s">
        <v>1046</v>
      </c>
      <c r="J331" t="s">
        <v>3</v>
      </c>
      <c r="K331" t="s">
        <v>1047</v>
      </c>
      <c r="L331">
        <v>1191</v>
      </c>
      <c r="N331">
        <v>1013</v>
      </c>
      <c r="O331" t="s">
        <v>725</v>
      </c>
      <c r="P331" t="s">
        <v>725</v>
      </c>
      <c r="Q331">
        <v>1</v>
      </c>
      <c r="X331">
        <v>0.85</v>
      </c>
      <c r="Y331">
        <v>0</v>
      </c>
      <c r="Z331">
        <v>0</v>
      </c>
      <c r="AA331">
        <v>0</v>
      </c>
      <c r="AB331">
        <v>7.94</v>
      </c>
      <c r="AC331">
        <v>0</v>
      </c>
      <c r="AD331">
        <v>1</v>
      </c>
      <c r="AE331">
        <v>1</v>
      </c>
      <c r="AF331" t="s">
        <v>91</v>
      </c>
      <c r="AG331">
        <v>1.1241249999999998</v>
      </c>
      <c r="AH331">
        <v>2</v>
      </c>
      <c r="AI331">
        <v>145041803</v>
      </c>
      <c r="AJ331">
        <v>331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ROW(Source!A143)</f>
        <v>143</v>
      </c>
      <c r="B332">
        <v>145041804</v>
      </c>
      <c r="C332">
        <v>145041741</v>
      </c>
      <c r="D332">
        <v>140760225</v>
      </c>
      <c r="E332">
        <v>70</v>
      </c>
      <c r="F332">
        <v>1</v>
      </c>
      <c r="G332">
        <v>1</v>
      </c>
      <c r="H332">
        <v>1</v>
      </c>
      <c r="I332" t="s">
        <v>730</v>
      </c>
      <c r="J332" t="s">
        <v>3</v>
      </c>
      <c r="K332" t="s">
        <v>731</v>
      </c>
      <c r="L332">
        <v>1191</v>
      </c>
      <c r="N332">
        <v>1013</v>
      </c>
      <c r="O332" t="s">
        <v>725</v>
      </c>
      <c r="P332" t="s">
        <v>725</v>
      </c>
      <c r="Q332">
        <v>1</v>
      </c>
      <c r="X332">
        <v>7.0000000000000007E-2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2</v>
      </c>
      <c r="AF332" t="s">
        <v>90</v>
      </c>
      <c r="AG332">
        <v>0.10062500000000001</v>
      </c>
      <c r="AH332">
        <v>2</v>
      </c>
      <c r="AI332">
        <v>145041804</v>
      </c>
      <c r="AJ332">
        <v>332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ROW(Source!A143)</f>
        <v>143</v>
      </c>
      <c r="B333">
        <v>145041805</v>
      </c>
      <c r="C333">
        <v>145041741</v>
      </c>
      <c r="D333">
        <v>140923124</v>
      </c>
      <c r="E333">
        <v>1</v>
      </c>
      <c r="F333">
        <v>1</v>
      </c>
      <c r="G333">
        <v>1</v>
      </c>
      <c r="H333">
        <v>2</v>
      </c>
      <c r="I333" t="s">
        <v>1048</v>
      </c>
      <c r="J333" t="s">
        <v>1049</v>
      </c>
      <c r="K333" t="s">
        <v>1050</v>
      </c>
      <c r="L333">
        <v>1367</v>
      </c>
      <c r="N333">
        <v>1011</v>
      </c>
      <c r="O333" t="s">
        <v>79</v>
      </c>
      <c r="P333" t="s">
        <v>79</v>
      </c>
      <c r="Q333">
        <v>1</v>
      </c>
      <c r="X333">
        <v>7.0000000000000007E-2</v>
      </c>
      <c r="Y333">
        <v>0</v>
      </c>
      <c r="Z333">
        <v>90.4</v>
      </c>
      <c r="AA333">
        <v>11.6</v>
      </c>
      <c r="AB333">
        <v>0</v>
      </c>
      <c r="AC333">
        <v>0</v>
      </c>
      <c r="AD333">
        <v>1</v>
      </c>
      <c r="AE333">
        <v>0</v>
      </c>
      <c r="AF333" t="s">
        <v>90</v>
      </c>
      <c r="AG333">
        <v>0.10062500000000001</v>
      </c>
      <c r="AH333">
        <v>2</v>
      </c>
      <c r="AI333">
        <v>145041805</v>
      </c>
      <c r="AJ333">
        <v>333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ROW(Source!A143)</f>
        <v>143</v>
      </c>
      <c r="B334">
        <v>145041806</v>
      </c>
      <c r="C334">
        <v>145041741</v>
      </c>
      <c r="D334">
        <v>140923427</v>
      </c>
      <c r="E334">
        <v>1</v>
      </c>
      <c r="F334">
        <v>1</v>
      </c>
      <c r="G334">
        <v>1</v>
      </c>
      <c r="H334">
        <v>2</v>
      </c>
      <c r="I334" t="s">
        <v>1051</v>
      </c>
      <c r="J334" t="s">
        <v>1052</v>
      </c>
      <c r="K334" t="s">
        <v>1053</v>
      </c>
      <c r="L334">
        <v>1367</v>
      </c>
      <c r="N334">
        <v>1011</v>
      </c>
      <c r="O334" t="s">
        <v>79</v>
      </c>
      <c r="P334" t="s">
        <v>79</v>
      </c>
      <c r="Q334">
        <v>1</v>
      </c>
      <c r="X334">
        <v>0.4</v>
      </c>
      <c r="Y334">
        <v>0</v>
      </c>
      <c r="Z334">
        <v>4.91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90</v>
      </c>
      <c r="AG334">
        <v>0.57499999999999996</v>
      </c>
      <c r="AH334">
        <v>2</v>
      </c>
      <c r="AI334">
        <v>145041806</v>
      </c>
      <c r="AJ334">
        <v>334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ROW(Source!A143)</f>
        <v>143</v>
      </c>
      <c r="B335">
        <v>145041807</v>
      </c>
      <c r="C335">
        <v>145041741</v>
      </c>
      <c r="D335">
        <v>140772680</v>
      </c>
      <c r="E335">
        <v>1</v>
      </c>
      <c r="F335">
        <v>1</v>
      </c>
      <c r="G335">
        <v>1</v>
      </c>
      <c r="H335">
        <v>3</v>
      </c>
      <c r="I335" t="s">
        <v>735</v>
      </c>
      <c r="J335" t="s">
        <v>736</v>
      </c>
      <c r="K335" t="s">
        <v>737</v>
      </c>
      <c r="L335">
        <v>1339</v>
      </c>
      <c r="N335">
        <v>1007</v>
      </c>
      <c r="O335" t="s">
        <v>66</v>
      </c>
      <c r="P335" t="s">
        <v>66</v>
      </c>
      <c r="Q335">
        <v>1</v>
      </c>
      <c r="X335">
        <v>0.15</v>
      </c>
      <c r="Y335">
        <v>2.44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0.15</v>
      </c>
      <c r="AH335">
        <v>2</v>
      </c>
      <c r="AI335">
        <v>145041807</v>
      </c>
      <c r="AJ335">
        <v>335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ROW(Source!A143)</f>
        <v>143</v>
      </c>
      <c r="B336">
        <v>145041808</v>
      </c>
      <c r="C336">
        <v>145041741</v>
      </c>
      <c r="D336">
        <v>140760926</v>
      </c>
      <c r="E336">
        <v>70</v>
      </c>
      <c r="F336">
        <v>1</v>
      </c>
      <c r="G336">
        <v>1</v>
      </c>
      <c r="H336">
        <v>3</v>
      </c>
      <c r="I336" t="s">
        <v>1056</v>
      </c>
      <c r="J336" t="s">
        <v>3</v>
      </c>
      <c r="K336" t="s">
        <v>1057</v>
      </c>
      <c r="L336">
        <v>1339</v>
      </c>
      <c r="N336">
        <v>1007</v>
      </c>
      <c r="O336" t="s">
        <v>66</v>
      </c>
      <c r="P336" t="s">
        <v>66</v>
      </c>
      <c r="Q336">
        <v>1</v>
      </c>
      <c r="X336">
        <v>1.1499999999999999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 t="s">
        <v>3</v>
      </c>
      <c r="AG336">
        <v>1.1499999999999999</v>
      </c>
      <c r="AH336">
        <v>2</v>
      </c>
      <c r="AI336">
        <v>145041808</v>
      </c>
      <c r="AJ336">
        <v>336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ROW(Source!A145)</f>
        <v>145</v>
      </c>
      <c r="B337">
        <v>145041817</v>
      </c>
      <c r="C337">
        <v>145041767</v>
      </c>
      <c r="D337">
        <v>140759988</v>
      </c>
      <c r="E337">
        <v>70</v>
      </c>
      <c r="F337">
        <v>1</v>
      </c>
      <c r="G337">
        <v>1</v>
      </c>
      <c r="H337">
        <v>1</v>
      </c>
      <c r="I337" t="s">
        <v>747</v>
      </c>
      <c r="J337" t="s">
        <v>3</v>
      </c>
      <c r="K337" t="s">
        <v>748</v>
      </c>
      <c r="L337">
        <v>1191</v>
      </c>
      <c r="N337">
        <v>1013</v>
      </c>
      <c r="O337" t="s">
        <v>725</v>
      </c>
      <c r="P337" t="s">
        <v>725</v>
      </c>
      <c r="Q337">
        <v>1</v>
      </c>
      <c r="X337">
        <v>11.6</v>
      </c>
      <c r="Y337">
        <v>0</v>
      </c>
      <c r="Z337">
        <v>0</v>
      </c>
      <c r="AA337">
        <v>0</v>
      </c>
      <c r="AB337">
        <v>8.86</v>
      </c>
      <c r="AC337">
        <v>0</v>
      </c>
      <c r="AD337">
        <v>1</v>
      </c>
      <c r="AE337">
        <v>1</v>
      </c>
      <c r="AF337" t="s">
        <v>91</v>
      </c>
      <c r="AG337">
        <v>15.340999999999996</v>
      </c>
      <c r="AH337">
        <v>2</v>
      </c>
      <c r="AI337">
        <v>145041817</v>
      </c>
      <c r="AJ337">
        <v>337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ROW(Source!A145)</f>
        <v>145</v>
      </c>
      <c r="B338">
        <v>145041818</v>
      </c>
      <c r="C338">
        <v>145041767</v>
      </c>
      <c r="D338">
        <v>140760225</v>
      </c>
      <c r="E338">
        <v>70</v>
      </c>
      <c r="F338">
        <v>1</v>
      </c>
      <c r="G338">
        <v>1</v>
      </c>
      <c r="H338">
        <v>1</v>
      </c>
      <c r="I338" t="s">
        <v>730</v>
      </c>
      <c r="J338" t="s">
        <v>3</v>
      </c>
      <c r="K338" t="s">
        <v>731</v>
      </c>
      <c r="L338">
        <v>1191</v>
      </c>
      <c r="N338">
        <v>1013</v>
      </c>
      <c r="O338" t="s">
        <v>725</v>
      </c>
      <c r="P338" t="s">
        <v>725</v>
      </c>
      <c r="Q338">
        <v>1</v>
      </c>
      <c r="X338">
        <v>0.35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2</v>
      </c>
      <c r="AF338" t="s">
        <v>90</v>
      </c>
      <c r="AG338">
        <v>0.50312499999999993</v>
      </c>
      <c r="AH338">
        <v>2</v>
      </c>
      <c r="AI338">
        <v>145041818</v>
      </c>
      <c r="AJ338">
        <v>338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ROW(Source!A145)</f>
        <v>145</v>
      </c>
      <c r="B339">
        <v>145041819</v>
      </c>
      <c r="C339">
        <v>145041767</v>
      </c>
      <c r="D339">
        <v>140922951</v>
      </c>
      <c r="E339">
        <v>1</v>
      </c>
      <c r="F339">
        <v>1</v>
      </c>
      <c r="G339">
        <v>1</v>
      </c>
      <c r="H339">
        <v>2</v>
      </c>
      <c r="I339" t="s">
        <v>752</v>
      </c>
      <c r="J339" t="s">
        <v>753</v>
      </c>
      <c r="K339" t="s">
        <v>754</v>
      </c>
      <c r="L339">
        <v>1367</v>
      </c>
      <c r="N339">
        <v>1011</v>
      </c>
      <c r="O339" t="s">
        <v>79</v>
      </c>
      <c r="P339" t="s">
        <v>79</v>
      </c>
      <c r="Q339">
        <v>1</v>
      </c>
      <c r="X339">
        <v>0.15</v>
      </c>
      <c r="Y339">
        <v>0</v>
      </c>
      <c r="Z339">
        <v>115.4</v>
      </c>
      <c r="AA339">
        <v>13.5</v>
      </c>
      <c r="AB339">
        <v>0</v>
      </c>
      <c r="AC339">
        <v>0</v>
      </c>
      <c r="AD339">
        <v>1</v>
      </c>
      <c r="AE339">
        <v>0</v>
      </c>
      <c r="AF339" t="s">
        <v>90</v>
      </c>
      <c r="AG339">
        <v>0.21562499999999998</v>
      </c>
      <c r="AH339">
        <v>2</v>
      </c>
      <c r="AI339">
        <v>145041819</v>
      </c>
      <c r="AJ339">
        <v>339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ROW(Source!A145)</f>
        <v>145</v>
      </c>
      <c r="B340">
        <v>145041820</v>
      </c>
      <c r="C340">
        <v>145041767</v>
      </c>
      <c r="D340">
        <v>140923885</v>
      </c>
      <c r="E340">
        <v>1</v>
      </c>
      <c r="F340">
        <v>1</v>
      </c>
      <c r="G340">
        <v>1</v>
      </c>
      <c r="H340">
        <v>2</v>
      </c>
      <c r="I340" t="s">
        <v>732</v>
      </c>
      <c r="J340" t="s">
        <v>733</v>
      </c>
      <c r="K340" t="s">
        <v>734</v>
      </c>
      <c r="L340">
        <v>1367</v>
      </c>
      <c r="N340">
        <v>1011</v>
      </c>
      <c r="O340" t="s">
        <v>79</v>
      </c>
      <c r="P340" t="s">
        <v>79</v>
      </c>
      <c r="Q340">
        <v>1</v>
      </c>
      <c r="X340">
        <v>0.2</v>
      </c>
      <c r="Y340">
        <v>0</v>
      </c>
      <c r="Z340">
        <v>65.709999999999994</v>
      </c>
      <c r="AA340">
        <v>11.6</v>
      </c>
      <c r="AB340">
        <v>0</v>
      </c>
      <c r="AC340">
        <v>0</v>
      </c>
      <c r="AD340">
        <v>1</v>
      </c>
      <c r="AE340">
        <v>0</v>
      </c>
      <c r="AF340" t="s">
        <v>90</v>
      </c>
      <c r="AG340">
        <v>0.28749999999999998</v>
      </c>
      <c r="AH340">
        <v>2</v>
      </c>
      <c r="AI340">
        <v>145041820</v>
      </c>
      <c r="AJ340">
        <v>340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ROW(Source!A145)</f>
        <v>145</v>
      </c>
      <c r="B341">
        <v>145041821</v>
      </c>
      <c r="C341">
        <v>145041767</v>
      </c>
      <c r="D341">
        <v>140792301</v>
      </c>
      <c r="E341">
        <v>1</v>
      </c>
      <c r="F341">
        <v>1</v>
      </c>
      <c r="G341">
        <v>1</v>
      </c>
      <c r="H341">
        <v>3</v>
      </c>
      <c r="I341" t="s">
        <v>1058</v>
      </c>
      <c r="J341" t="s">
        <v>1059</v>
      </c>
      <c r="K341" t="s">
        <v>1060</v>
      </c>
      <c r="L341">
        <v>1348</v>
      </c>
      <c r="N341">
        <v>1009</v>
      </c>
      <c r="O341" t="s">
        <v>105</v>
      </c>
      <c r="P341" t="s">
        <v>105</v>
      </c>
      <c r="Q341">
        <v>1000</v>
      </c>
      <c r="X341">
        <v>2.8000000000000001E-2</v>
      </c>
      <c r="Y341">
        <v>10200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2.8000000000000001E-2</v>
      </c>
      <c r="AH341">
        <v>2</v>
      </c>
      <c r="AI341">
        <v>145041821</v>
      </c>
      <c r="AJ341">
        <v>341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ROW(Source!A145)</f>
        <v>145</v>
      </c>
      <c r="B342">
        <v>145041822</v>
      </c>
      <c r="C342">
        <v>145041767</v>
      </c>
      <c r="D342">
        <v>140762427</v>
      </c>
      <c r="E342">
        <v>70</v>
      </c>
      <c r="F342">
        <v>1</v>
      </c>
      <c r="G342">
        <v>1</v>
      </c>
      <c r="H342">
        <v>3</v>
      </c>
      <c r="I342" t="s">
        <v>1061</v>
      </c>
      <c r="J342" t="s">
        <v>3</v>
      </c>
      <c r="K342" t="s">
        <v>1062</v>
      </c>
      <c r="L342">
        <v>1348</v>
      </c>
      <c r="N342">
        <v>1009</v>
      </c>
      <c r="O342" t="s">
        <v>105</v>
      </c>
      <c r="P342" t="s">
        <v>105</v>
      </c>
      <c r="Q342">
        <v>1000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 t="s">
        <v>3</v>
      </c>
      <c r="AG342">
        <v>1</v>
      </c>
      <c r="AH342">
        <v>2</v>
      </c>
      <c r="AI342">
        <v>145041822</v>
      </c>
      <c r="AJ342">
        <v>342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ROW(Source!A147)</f>
        <v>147</v>
      </c>
      <c r="B343">
        <v>145041809</v>
      </c>
      <c r="C343">
        <v>145041780</v>
      </c>
      <c r="D343">
        <v>140759935</v>
      </c>
      <c r="E343">
        <v>70</v>
      </c>
      <c r="F343">
        <v>1</v>
      </c>
      <c r="G343">
        <v>1</v>
      </c>
      <c r="H343">
        <v>1</v>
      </c>
      <c r="I343" t="s">
        <v>723</v>
      </c>
      <c r="J343" t="s">
        <v>3</v>
      </c>
      <c r="K343" t="s">
        <v>724</v>
      </c>
      <c r="L343">
        <v>1191</v>
      </c>
      <c r="N343">
        <v>1013</v>
      </c>
      <c r="O343" t="s">
        <v>725</v>
      </c>
      <c r="P343" t="s">
        <v>725</v>
      </c>
      <c r="Q343">
        <v>1</v>
      </c>
      <c r="X343">
        <v>135</v>
      </c>
      <c r="Y343">
        <v>0</v>
      </c>
      <c r="Z343">
        <v>0</v>
      </c>
      <c r="AA343">
        <v>0</v>
      </c>
      <c r="AB343">
        <v>7.8</v>
      </c>
      <c r="AC343">
        <v>0</v>
      </c>
      <c r="AD343">
        <v>1</v>
      </c>
      <c r="AE343">
        <v>1</v>
      </c>
      <c r="AF343" t="s">
        <v>91</v>
      </c>
      <c r="AG343">
        <v>178.53749999999999</v>
      </c>
      <c r="AH343">
        <v>2</v>
      </c>
      <c r="AI343">
        <v>145041809</v>
      </c>
      <c r="AJ343">
        <v>343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ROW(Source!A147)</f>
        <v>147</v>
      </c>
      <c r="B344">
        <v>145041810</v>
      </c>
      <c r="C344">
        <v>145041780</v>
      </c>
      <c r="D344">
        <v>140760225</v>
      </c>
      <c r="E344">
        <v>70</v>
      </c>
      <c r="F344">
        <v>1</v>
      </c>
      <c r="G344">
        <v>1</v>
      </c>
      <c r="H344">
        <v>1</v>
      </c>
      <c r="I344" t="s">
        <v>730</v>
      </c>
      <c r="J344" t="s">
        <v>3</v>
      </c>
      <c r="K344" t="s">
        <v>731</v>
      </c>
      <c r="L344">
        <v>1191</v>
      </c>
      <c r="N344">
        <v>1013</v>
      </c>
      <c r="O344" t="s">
        <v>725</v>
      </c>
      <c r="P344" t="s">
        <v>725</v>
      </c>
      <c r="Q344">
        <v>1</v>
      </c>
      <c r="X344">
        <v>18.12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2</v>
      </c>
      <c r="AF344" t="s">
        <v>90</v>
      </c>
      <c r="AG344">
        <v>26.047499999999999</v>
      </c>
      <c r="AH344">
        <v>2</v>
      </c>
      <c r="AI344">
        <v>145041810</v>
      </c>
      <c r="AJ344">
        <v>344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ROW(Source!A147)</f>
        <v>147</v>
      </c>
      <c r="B345">
        <v>145041811</v>
      </c>
      <c r="C345">
        <v>145041780</v>
      </c>
      <c r="D345">
        <v>140922893</v>
      </c>
      <c r="E345">
        <v>1</v>
      </c>
      <c r="F345">
        <v>1</v>
      </c>
      <c r="G345">
        <v>1</v>
      </c>
      <c r="H345">
        <v>2</v>
      </c>
      <c r="I345" t="s">
        <v>749</v>
      </c>
      <c r="J345" t="s">
        <v>750</v>
      </c>
      <c r="K345" t="s">
        <v>751</v>
      </c>
      <c r="L345">
        <v>1367</v>
      </c>
      <c r="N345">
        <v>1011</v>
      </c>
      <c r="O345" t="s">
        <v>79</v>
      </c>
      <c r="P345" t="s">
        <v>79</v>
      </c>
      <c r="Q345">
        <v>1</v>
      </c>
      <c r="X345">
        <v>18</v>
      </c>
      <c r="Y345">
        <v>0</v>
      </c>
      <c r="Z345">
        <v>86.4</v>
      </c>
      <c r="AA345">
        <v>13.5</v>
      </c>
      <c r="AB345">
        <v>0</v>
      </c>
      <c r="AC345">
        <v>0</v>
      </c>
      <c r="AD345">
        <v>1</v>
      </c>
      <c r="AE345">
        <v>0</v>
      </c>
      <c r="AF345" t="s">
        <v>90</v>
      </c>
      <c r="AG345">
        <v>25.874999999999996</v>
      </c>
      <c r="AH345">
        <v>2</v>
      </c>
      <c r="AI345">
        <v>145041811</v>
      </c>
      <c r="AJ345">
        <v>345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ROW(Source!A147)</f>
        <v>147</v>
      </c>
      <c r="B346">
        <v>145041812</v>
      </c>
      <c r="C346">
        <v>145041780</v>
      </c>
      <c r="D346">
        <v>140923229</v>
      </c>
      <c r="E346">
        <v>1</v>
      </c>
      <c r="F346">
        <v>1</v>
      </c>
      <c r="G346">
        <v>1</v>
      </c>
      <c r="H346">
        <v>2</v>
      </c>
      <c r="I346" t="s">
        <v>1006</v>
      </c>
      <c r="J346" t="s">
        <v>1007</v>
      </c>
      <c r="K346" t="s">
        <v>1008</v>
      </c>
      <c r="L346">
        <v>1367</v>
      </c>
      <c r="N346">
        <v>1011</v>
      </c>
      <c r="O346" t="s">
        <v>79</v>
      </c>
      <c r="P346" t="s">
        <v>79</v>
      </c>
      <c r="Q346">
        <v>1</v>
      </c>
      <c r="X346">
        <v>5.93</v>
      </c>
      <c r="Y346">
        <v>0</v>
      </c>
      <c r="Z346">
        <v>0.5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90</v>
      </c>
      <c r="AG346">
        <v>8.5243749999999991</v>
      </c>
      <c r="AH346">
        <v>2</v>
      </c>
      <c r="AI346">
        <v>145041812</v>
      </c>
      <c r="AJ346">
        <v>346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ROW(Source!A147)</f>
        <v>147</v>
      </c>
      <c r="B347">
        <v>145041813</v>
      </c>
      <c r="C347">
        <v>145041780</v>
      </c>
      <c r="D347">
        <v>140923885</v>
      </c>
      <c r="E347">
        <v>1</v>
      </c>
      <c r="F347">
        <v>1</v>
      </c>
      <c r="G347">
        <v>1</v>
      </c>
      <c r="H347">
        <v>2</v>
      </c>
      <c r="I347" t="s">
        <v>732</v>
      </c>
      <c r="J347" t="s">
        <v>733</v>
      </c>
      <c r="K347" t="s">
        <v>734</v>
      </c>
      <c r="L347">
        <v>1367</v>
      </c>
      <c r="N347">
        <v>1011</v>
      </c>
      <c r="O347" t="s">
        <v>79</v>
      </c>
      <c r="P347" t="s">
        <v>79</v>
      </c>
      <c r="Q347">
        <v>1</v>
      </c>
      <c r="X347">
        <v>0.12</v>
      </c>
      <c r="Y347">
        <v>0</v>
      </c>
      <c r="Z347">
        <v>65.709999999999994</v>
      </c>
      <c r="AA347">
        <v>11.6</v>
      </c>
      <c r="AB347">
        <v>0</v>
      </c>
      <c r="AC347">
        <v>0</v>
      </c>
      <c r="AD347">
        <v>1</v>
      </c>
      <c r="AE347">
        <v>0</v>
      </c>
      <c r="AF347" t="s">
        <v>90</v>
      </c>
      <c r="AG347">
        <v>0.17249999999999999</v>
      </c>
      <c r="AH347">
        <v>2</v>
      </c>
      <c r="AI347">
        <v>145041813</v>
      </c>
      <c r="AJ347">
        <v>347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ROW(Source!A147)</f>
        <v>147</v>
      </c>
      <c r="B348">
        <v>145041814</v>
      </c>
      <c r="C348">
        <v>145041780</v>
      </c>
      <c r="D348">
        <v>140772680</v>
      </c>
      <c r="E348">
        <v>1</v>
      </c>
      <c r="F348">
        <v>1</v>
      </c>
      <c r="G348">
        <v>1</v>
      </c>
      <c r="H348">
        <v>3</v>
      </c>
      <c r="I348" t="s">
        <v>735</v>
      </c>
      <c r="J348" t="s">
        <v>736</v>
      </c>
      <c r="K348" t="s">
        <v>737</v>
      </c>
      <c r="L348">
        <v>1339</v>
      </c>
      <c r="N348">
        <v>1007</v>
      </c>
      <c r="O348" t="s">
        <v>66</v>
      </c>
      <c r="P348" t="s">
        <v>66</v>
      </c>
      <c r="Q348">
        <v>1</v>
      </c>
      <c r="X348">
        <v>1.75</v>
      </c>
      <c r="Y348">
        <v>2.44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3</v>
      </c>
      <c r="AG348">
        <v>1.75</v>
      </c>
      <c r="AH348">
        <v>2</v>
      </c>
      <c r="AI348">
        <v>145041814</v>
      </c>
      <c r="AJ348">
        <v>348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ROW(Source!A147)</f>
        <v>147</v>
      </c>
      <c r="B349">
        <v>145041815</v>
      </c>
      <c r="C349">
        <v>145041780</v>
      </c>
      <c r="D349">
        <v>140773170</v>
      </c>
      <c r="E349">
        <v>1</v>
      </c>
      <c r="F349">
        <v>1</v>
      </c>
      <c r="G349">
        <v>1</v>
      </c>
      <c r="H349">
        <v>3</v>
      </c>
      <c r="I349" t="s">
        <v>1063</v>
      </c>
      <c r="J349" t="s">
        <v>1064</v>
      </c>
      <c r="K349" t="s">
        <v>1065</v>
      </c>
      <c r="L349">
        <v>1327</v>
      </c>
      <c r="N349">
        <v>1005</v>
      </c>
      <c r="O349" t="s">
        <v>131</v>
      </c>
      <c r="P349" t="s">
        <v>131</v>
      </c>
      <c r="Q349">
        <v>1</v>
      </c>
      <c r="X349">
        <v>250</v>
      </c>
      <c r="Y349">
        <v>3.62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250</v>
      </c>
      <c r="AH349">
        <v>2</v>
      </c>
      <c r="AI349">
        <v>145041815</v>
      </c>
      <c r="AJ349">
        <v>349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ROW(Source!A147)</f>
        <v>147</v>
      </c>
      <c r="B350">
        <v>145041816</v>
      </c>
      <c r="C350">
        <v>145041780</v>
      </c>
      <c r="D350">
        <v>140761051</v>
      </c>
      <c r="E350">
        <v>70</v>
      </c>
      <c r="F350">
        <v>1</v>
      </c>
      <c r="G350">
        <v>1</v>
      </c>
      <c r="H350">
        <v>3</v>
      </c>
      <c r="I350" t="s">
        <v>1012</v>
      </c>
      <c r="J350" t="s">
        <v>3</v>
      </c>
      <c r="K350" t="s">
        <v>1013</v>
      </c>
      <c r="L350">
        <v>1339</v>
      </c>
      <c r="N350">
        <v>1007</v>
      </c>
      <c r="O350" t="s">
        <v>66</v>
      </c>
      <c r="P350" t="s">
        <v>66</v>
      </c>
      <c r="Q350">
        <v>1</v>
      </c>
      <c r="X350">
        <v>102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 t="s">
        <v>3</v>
      </c>
      <c r="AG350">
        <v>102</v>
      </c>
      <c r="AH350">
        <v>2</v>
      </c>
      <c r="AI350">
        <v>145041816</v>
      </c>
      <c r="AJ350">
        <v>350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ROW(Source!A152)</f>
        <v>152</v>
      </c>
      <c r="B351">
        <v>145051697</v>
      </c>
      <c r="C351">
        <v>145051694</v>
      </c>
      <c r="D351">
        <v>140759909</v>
      </c>
      <c r="E351">
        <v>70</v>
      </c>
      <c r="F351">
        <v>1</v>
      </c>
      <c r="G351">
        <v>1</v>
      </c>
      <c r="H351">
        <v>1</v>
      </c>
      <c r="I351" t="s">
        <v>808</v>
      </c>
      <c r="J351" t="s">
        <v>3</v>
      </c>
      <c r="K351" t="s">
        <v>809</v>
      </c>
      <c r="L351">
        <v>1191</v>
      </c>
      <c r="N351">
        <v>1013</v>
      </c>
      <c r="O351" t="s">
        <v>725</v>
      </c>
      <c r="P351" t="s">
        <v>725</v>
      </c>
      <c r="Q351">
        <v>1</v>
      </c>
      <c r="X351">
        <v>0.57999999999999996</v>
      </c>
      <c r="Y351">
        <v>0</v>
      </c>
      <c r="Z351">
        <v>0</v>
      </c>
      <c r="AA351">
        <v>0</v>
      </c>
      <c r="AB351">
        <v>7.56</v>
      </c>
      <c r="AC351">
        <v>0</v>
      </c>
      <c r="AD351">
        <v>1</v>
      </c>
      <c r="AE351">
        <v>1</v>
      </c>
      <c r="AF351" t="s">
        <v>21</v>
      </c>
      <c r="AG351">
        <v>0.66699999999999993</v>
      </c>
      <c r="AH351">
        <v>2</v>
      </c>
      <c r="AI351">
        <v>145051697</v>
      </c>
      <c r="AJ351">
        <v>351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ROW(Source!A153)</f>
        <v>153</v>
      </c>
      <c r="B352">
        <v>145051699</v>
      </c>
      <c r="C352">
        <v>145051698</v>
      </c>
      <c r="D352">
        <v>140759979</v>
      </c>
      <c r="E352">
        <v>70</v>
      </c>
      <c r="F352">
        <v>1</v>
      </c>
      <c r="G352">
        <v>1</v>
      </c>
      <c r="H352">
        <v>1</v>
      </c>
      <c r="I352" t="s">
        <v>745</v>
      </c>
      <c r="J352" t="s">
        <v>3</v>
      </c>
      <c r="K352" t="s">
        <v>746</v>
      </c>
      <c r="L352">
        <v>1191</v>
      </c>
      <c r="N352">
        <v>1013</v>
      </c>
      <c r="O352" t="s">
        <v>725</v>
      </c>
      <c r="P352" t="s">
        <v>725</v>
      </c>
      <c r="Q352">
        <v>1</v>
      </c>
      <c r="X352">
        <v>7.0000000000000007E-2</v>
      </c>
      <c r="Y352">
        <v>0</v>
      </c>
      <c r="Z352">
        <v>0</v>
      </c>
      <c r="AA352">
        <v>0</v>
      </c>
      <c r="AB352">
        <v>8.5299999999999994</v>
      </c>
      <c r="AC352">
        <v>0</v>
      </c>
      <c r="AD352">
        <v>1</v>
      </c>
      <c r="AE352">
        <v>1</v>
      </c>
      <c r="AF352" t="s">
        <v>91</v>
      </c>
      <c r="AG352">
        <v>9.2574999999999991E-2</v>
      </c>
      <c r="AH352">
        <v>2</v>
      </c>
      <c r="AI352">
        <v>145051699</v>
      </c>
      <c r="AJ352">
        <v>352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ROW(Source!A153)</f>
        <v>153</v>
      </c>
      <c r="B353">
        <v>145051700</v>
      </c>
      <c r="C353">
        <v>145051698</v>
      </c>
      <c r="D353">
        <v>140924755</v>
      </c>
      <c r="E353">
        <v>1</v>
      </c>
      <c r="F353">
        <v>1</v>
      </c>
      <c r="G353">
        <v>1</v>
      </c>
      <c r="H353">
        <v>2</v>
      </c>
      <c r="I353" t="s">
        <v>1066</v>
      </c>
      <c r="J353" t="s">
        <v>1067</v>
      </c>
      <c r="K353" t="s">
        <v>1068</v>
      </c>
      <c r="L353">
        <v>1367</v>
      </c>
      <c r="N353">
        <v>1011</v>
      </c>
      <c r="O353" t="s">
        <v>79</v>
      </c>
      <c r="P353" t="s">
        <v>79</v>
      </c>
      <c r="Q353">
        <v>1</v>
      </c>
      <c r="X353">
        <v>0.1</v>
      </c>
      <c r="Y353">
        <v>0</v>
      </c>
      <c r="Z353">
        <v>3.29</v>
      </c>
      <c r="AA353">
        <v>0</v>
      </c>
      <c r="AB353">
        <v>0</v>
      </c>
      <c r="AC353">
        <v>0</v>
      </c>
      <c r="AD353">
        <v>1</v>
      </c>
      <c r="AE353">
        <v>0</v>
      </c>
      <c r="AF353" t="s">
        <v>90</v>
      </c>
      <c r="AG353">
        <v>0.14374999999999999</v>
      </c>
      <c r="AH353">
        <v>2</v>
      </c>
      <c r="AI353">
        <v>145051700</v>
      </c>
      <c r="AJ353">
        <v>353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ROW(Source!A154)</f>
        <v>154</v>
      </c>
      <c r="B354">
        <v>145051703</v>
      </c>
      <c r="C354">
        <v>145051702</v>
      </c>
      <c r="D354">
        <v>140759985</v>
      </c>
      <c r="E354">
        <v>70</v>
      </c>
      <c r="F354">
        <v>1</v>
      </c>
      <c r="G354">
        <v>1</v>
      </c>
      <c r="H354">
        <v>1</v>
      </c>
      <c r="I354" t="s">
        <v>848</v>
      </c>
      <c r="J354" t="s">
        <v>3</v>
      </c>
      <c r="K354" t="s">
        <v>849</v>
      </c>
      <c r="L354">
        <v>1191</v>
      </c>
      <c r="N354">
        <v>1013</v>
      </c>
      <c r="O354" t="s">
        <v>725</v>
      </c>
      <c r="P354" t="s">
        <v>725</v>
      </c>
      <c r="Q354">
        <v>1</v>
      </c>
      <c r="X354">
        <v>9.08</v>
      </c>
      <c r="Y354">
        <v>0</v>
      </c>
      <c r="Z354">
        <v>0</v>
      </c>
      <c r="AA354">
        <v>0</v>
      </c>
      <c r="AB354">
        <v>8.74</v>
      </c>
      <c r="AC354">
        <v>0</v>
      </c>
      <c r="AD354">
        <v>1</v>
      </c>
      <c r="AE354">
        <v>1</v>
      </c>
      <c r="AF354" t="s">
        <v>91</v>
      </c>
      <c r="AG354">
        <v>12.008299999999997</v>
      </c>
      <c r="AH354">
        <v>2</v>
      </c>
      <c r="AI354">
        <v>145051703</v>
      </c>
      <c r="AJ354">
        <v>354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ROW(Source!A154)</f>
        <v>154</v>
      </c>
      <c r="B355">
        <v>145051704</v>
      </c>
      <c r="C355">
        <v>145051702</v>
      </c>
      <c r="D355">
        <v>140760225</v>
      </c>
      <c r="E355">
        <v>70</v>
      </c>
      <c r="F355">
        <v>1</v>
      </c>
      <c r="G355">
        <v>1</v>
      </c>
      <c r="H355">
        <v>1</v>
      </c>
      <c r="I355" t="s">
        <v>730</v>
      </c>
      <c r="J355" t="s">
        <v>3</v>
      </c>
      <c r="K355" t="s">
        <v>731</v>
      </c>
      <c r="L355">
        <v>1191</v>
      </c>
      <c r="N355">
        <v>1013</v>
      </c>
      <c r="O355" t="s">
        <v>725</v>
      </c>
      <c r="P355" t="s">
        <v>725</v>
      </c>
      <c r="Q355">
        <v>1</v>
      </c>
      <c r="X355">
        <v>0.03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2</v>
      </c>
      <c r="AF355" t="s">
        <v>90</v>
      </c>
      <c r="AG355">
        <v>4.3124999999999997E-2</v>
      </c>
      <c r="AH355">
        <v>2</v>
      </c>
      <c r="AI355">
        <v>145051704</v>
      </c>
      <c r="AJ355">
        <v>355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ROW(Source!A154)</f>
        <v>154</v>
      </c>
      <c r="B356">
        <v>145051705</v>
      </c>
      <c r="C356">
        <v>145051702</v>
      </c>
      <c r="D356">
        <v>140923086</v>
      </c>
      <c r="E356">
        <v>1</v>
      </c>
      <c r="F356">
        <v>1</v>
      </c>
      <c r="G356">
        <v>1</v>
      </c>
      <c r="H356">
        <v>2</v>
      </c>
      <c r="I356" t="s">
        <v>953</v>
      </c>
      <c r="J356" t="s">
        <v>954</v>
      </c>
      <c r="K356" t="s">
        <v>955</v>
      </c>
      <c r="L356">
        <v>1367</v>
      </c>
      <c r="N356">
        <v>1011</v>
      </c>
      <c r="O356" t="s">
        <v>79</v>
      </c>
      <c r="P356" t="s">
        <v>79</v>
      </c>
      <c r="Q356">
        <v>1</v>
      </c>
      <c r="X356">
        <v>0.01</v>
      </c>
      <c r="Y356">
        <v>0</v>
      </c>
      <c r="Z356">
        <v>1.7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90</v>
      </c>
      <c r="AG356">
        <v>1.4374999999999999E-2</v>
      </c>
      <c r="AH356">
        <v>2</v>
      </c>
      <c r="AI356">
        <v>145051705</v>
      </c>
      <c r="AJ356">
        <v>356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ROW(Source!A154)</f>
        <v>154</v>
      </c>
      <c r="B357">
        <v>145051706</v>
      </c>
      <c r="C357">
        <v>145051702</v>
      </c>
      <c r="D357">
        <v>140923105</v>
      </c>
      <c r="E357">
        <v>1</v>
      </c>
      <c r="F357">
        <v>1</v>
      </c>
      <c r="G357">
        <v>1</v>
      </c>
      <c r="H357">
        <v>2</v>
      </c>
      <c r="I357" t="s">
        <v>823</v>
      </c>
      <c r="J357" t="s">
        <v>824</v>
      </c>
      <c r="K357" t="s">
        <v>825</v>
      </c>
      <c r="L357">
        <v>1367</v>
      </c>
      <c r="N357">
        <v>1011</v>
      </c>
      <c r="O357" t="s">
        <v>79</v>
      </c>
      <c r="P357" t="s">
        <v>79</v>
      </c>
      <c r="Q357">
        <v>1</v>
      </c>
      <c r="X357">
        <v>0.01</v>
      </c>
      <c r="Y357">
        <v>0</v>
      </c>
      <c r="Z357">
        <v>89.99</v>
      </c>
      <c r="AA357">
        <v>10.06</v>
      </c>
      <c r="AB357">
        <v>0</v>
      </c>
      <c r="AC357">
        <v>0</v>
      </c>
      <c r="AD357">
        <v>1</v>
      </c>
      <c r="AE357">
        <v>0</v>
      </c>
      <c r="AF357" t="s">
        <v>90</v>
      </c>
      <c r="AG357">
        <v>1.4374999999999999E-2</v>
      </c>
      <c r="AH357">
        <v>2</v>
      </c>
      <c r="AI357">
        <v>145051706</v>
      </c>
      <c r="AJ357">
        <v>357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ROW(Source!A154)</f>
        <v>154</v>
      </c>
      <c r="B358">
        <v>145051707</v>
      </c>
      <c r="C358">
        <v>145051702</v>
      </c>
      <c r="D358">
        <v>140923885</v>
      </c>
      <c r="E358">
        <v>1</v>
      </c>
      <c r="F358">
        <v>1</v>
      </c>
      <c r="G358">
        <v>1</v>
      </c>
      <c r="H358">
        <v>2</v>
      </c>
      <c r="I358" t="s">
        <v>732</v>
      </c>
      <c r="J358" t="s">
        <v>733</v>
      </c>
      <c r="K358" t="s">
        <v>734</v>
      </c>
      <c r="L358">
        <v>1367</v>
      </c>
      <c r="N358">
        <v>1011</v>
      </c>
      <c r="O358" t="s">
        <v>79</v>
      </c>
      <c r="P358" t="s">
        <v>79</v>
      </c>
      <c r="Q358">
        <v>1</v>
      </c>
      <c r="X358">
        <v>0.02</v>
      </c>
      <c r="Y358">
        <v>0</v>
      </c>
      <c r="Z358">
        <v>65.709999999999994</v>
      </c>
      <c r="AA358">
        <v>11.6</v>
      </c>
      <c r="AB358">
        <v>0</v>
      </c>
      <c r="AC358">
        <v>0</v>
      </c>
      <c r="AD358">
        <v>1</v>
      </c>
      <c r="AE358">
        <v>0</v>
      </c>
      <c r="AF358" t="s">
        <v>90</v>
      </c>
      <c r="AG358">
        <v>2.8749999999999998E-2</v>
      </c>
      <c r="AH358">
        <v>2</v>
      </c>
      <c r="AI358">
        <v>145051707</v>
      </c>
      <c r="AJ358">
        <v>358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ROW(Source!A154)</f>
        <v>154</v>
      </c>
      <c r="B359">
        <v>145051708</v>
      </c>
      <c r="C359">
        <v>145051702</v>
      </c>
      <c r="D359">
        <v>140776226</v>
      </c>
      <c r="E359">
        <v>1</v>
      </c>
      <c r="F359">
        <v>1</v>
      </c>
      <c r="G359">
        <v>1</v>
      </c>
      <c r="H359">
        <v>3</v>
      </c>
      <c r="I359" t="s">
        <v>818</v>
      </c>
      <c r="J359" t="s">
        <v>819</v>
      </c>
      <c r="K359" t="s">
        <v>820</v>
      </c>
      <c r="L359">
        <v>1346</v>
      </c>
      <c r="N359">
        <v>1009</v>
      </c>
      <c r="O359" t="s">
        <v>43</v>
      </c>
      <c r="P359" t="s">
        <v>43</v>
      </c>
      <c r="Q359">
        <v>1</v>
      </c>
      <c r="X359">
        <v>5</v>
      </c>
      <c r="Y359">
        <v>1.82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5</v>
      </c>
      <c r="AH359">
        <v>2</v>
      </c>
      <c r="AI359">
        <v>145051708</v>
      </c>
      <c r="AJ359">
        <v>359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ROW(Source!A154)</f>
        <v>154</v>
      </c>
      <c r="B360">
        <v>145051709</v>
      </c>
      <c r="C360">
        <v>145051702</v>
      </c>
      <c r="D360">
        <v>140805221</v>
      </c>
      <c r="E360">
        <v>1</v>
      </c>
      <c r="F360">
        <v>1</v>
      </c>
      <c r="G360">
        <v>1</v>
      </c>
      <c r="H360">
        <v>3</v>
      </c>
      <c r="I360" t="s">
        <v>1069</v>
      </c>
      <c r="J360" t="s">
        <v>1070</v>
      </c>
      <c r="K360" t="s">
        <v>1071</v>
      </c>
      <c r="L360">
        <v>1346</v>
      </c>
      <c r="N360">
        <v>1009</v>
      </c>
      <c r="O360" t="s">
        <v>43</v>
      </c>
      <c r="P360" t="s">
        <v>43</v>
      </c>
      <c r="Q360">
        <v>1</v>
      </c>
      <c r="X360">
        <v>32</v>
      </c>
      <c r="Y360">
        <v>6.67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32</v>
      </c>
      <c r="AH360">
        <v>2</v>
      </c>
      <c r="AI360">
        <v>145051709</v>
      </c>
      <c r="AJ360">
        <v>360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ROW(Source!A155)</f>
        <v>155</v>
      </c>
      <c r="B361">
        <v>145051722</v>
      </c>
      <c r="C361">
        <v>145051721</v>
      </c>
      <c r="D361">
        <v>140760001</v>
      </c>
      <c r="E361">
        <v>70</v>
      </c>
      <c r="F361">
        <v>1</v>
      </c>
      <c r="G361">
        <v>1</v>
      </c>
      <c r="H361">
        <v>1</v>
      </c>
      <c r="I361" t="s">
        <v>867</v>
      </c>
      <c r="J361" t="s">
        <v>3</v>
      </c>
      <c r="K361" t="s">
        <v>868</v>
      </c>
      <c r="L361">
        <v>1191</v>
      </c>
      <c r="N361">
        <v>1013</v>
      </c>
      <c r="O361" t="s">
        <v>725</v>
      </c>
      <c r="P361" t="s">
        <v>725</v>
      </c>
      <c r="Q361">
        <v>1</v>
      </c>
      <c r="X361">
        <v>2.13</v>
      </c>
      <c r="Y361">
        <v>0</v>
      </c>
      <c r="Z361">
        <v>0</v>
      </c>
      <c r="AA361">
        <v>0</v>
      </c>
      <c r="AB361">
        <v>9.07</v>
      </c>
      <c r="AC361">
        <v>0</v>
      </c>
      <c r="AD361">
        <v>1</v>
      </c>
      <c r="AE361">
        <v>1</v>
      </c>
      <c r="AF361" t="s">
        <v>533</v>
      </c>
      <c r="AG361">
        <v>8.4507749999999984</v>
      </c>
      <c r="AH361">
        <v>2</v>
      </c>
      <c r="AI361">
        <v>145051722</v>
      </c>
      <c r="AJ361">
        <v>361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ROW(Source!A155)</f>
        <v>155</v>
      </c>
      <c r="B362">
        <v>145051723</v>
      </c>
      <c r="C362">
        <v>145051721</v>
      </c>
      <c r="D362">
        <v>140760225</v>
      </c>
      <c r="E362">
        <v>70</v>
      </c>
      <c r="F362">
        <v>1</v>
      </c>
      <c r="G362">
        <v>1</v>
      </c>
      <c r="H362">
        <v>1</v>
      </c>
      <c r="I362" t="s">
        <v>730</v>
      </c>
      <c r="J362" t="s">
        <v>3</v>
      </c>
      <c r="K362" t="s">
        <v>731</v>
      </c>
      <c r="L362">
        <v>1191</v>
      </c>
      <c r="N362">
        <v>1013</v>
      </c>
      <c r="O362" t="s">
        <v>725</v>
      </c>
      <c r="P362" t="s">
        <v>725</v>
      </c>
      <c r="Q362">
        <v>1</v>
      </c>
      <c r="X362">
        <v>0.02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2</v>
      </c>
      <c r="AF362" t="s">
        <v>532</v>
      </c>
      <c r="AG362">
        <v>8.6249999999999993E-2</v>
      </c>
      <c r="AH362">
        <v>2</v>
      </c>
      <c r="AI362">
        <v>145051723</v>
      </c>
      <c r="AJ362">
        <v>362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ROW(Source!A155)</f>
        <v>155</v>
      </c>
      <c r="B363">
        <v>145051724</v>
      </c>
      <c r="C363">
        <v>145051721</v>
      </c>
      <c r="D363">
        <v>140923086</v>
      </c>
      <c r="E363">
        <v>1</v>
      </c>
      <c r="F363">
        <v>1</v>
      </c>
      <c r="G363">
        <v>1</v>
      </c>
      <c r="H363">
        <v>2</v>
      </c>
      <c r="I363" t="s">
        <v>953</v>
      </c>
      <c r="J363" t="s">
        <v>954</v>
      </c>
      <c r="K363" t="s">
        <v>955</v>
      </c>
      <c r="L363">
        <v>1367</v>
      </c>
      <c r="N363">
        <v>1011</v>
      </c>
      <c r="O363" t="s">
        <v>79</v>
      </c>
      <c r="P363" t="s">
        <v>79</v>
      </c>
      <c r="Q363">
        <v>1</v>
      </c>
      <c r="X363">
        <v>0.01</v>
      </c>
      <c r="Y363">
        <v>0</v>
      </c>
      <c r="Z363">
        <v>1.7</v>
      </c>
      <c r="AA363">
        <v>0</v>
      </c>
      <c r="AB363">
        <v>0</v>
      </c>
      <c r="AC363">
        <v>0</v>
      </c>
      <c r="AD363">
        <v>1</v>
      </c>
      <c r="AE363">
        <v>0</v>
      </c>
      <c r="AF363" t="s">
        <v>532</v>
      </c>
      <c r="AG363">
        <v>4.3124999999999997E-2</v>
      </c>
      <c r="AH363">
        <v>2</v>
      </c>
      <c r="AI363">
        <v>145051724</v>
      </c>
      <c r="AJ363">
        <v>363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ROW(Source!A155)</f>
        <v>155</v>
      </c>
      <c r="B364">
        <v>145051725</v>
      </c>
      <c r="C364">
        <v>145051721</v>
      </c>
      <c r="D364">
        <v>140923105</v>
      </c>
      <c r="E364">
        <v>1</v>
      </c>
      <c r="F364">
        <v>1</v>
      </c>
      <c r="G364">
        <v>1</v>
      </c>
      <c r="H364">
        <v>2</v>
      </c>
      <c r="I364" t="s">
        <v>823</v>
      </c>
      <c r="J364" t="s">
        <v>824</v>
      </c>
      <c r="K364" t="s">
        <v>825</v>
      </c>
      <c r="L364">
        <v>1367</v>
      </c>
      <c r="N364">
        <v>1011</v>
      </c>
      <c r="O364" t="s">
        <v>79</v>
      </c>
      <c r="P364" t="s">
        <v>79</v>
      </c>
      <c r="Q364">
        <v>1</v>
      </c>
      <c r="X364">
        <v>0.01</v>
      </c>
      <c r="Y364">
        <v>0</v>
      </c>
      <c r="Z364">
        <v>89.99</v>
      </c>
      <c r="AA364">
        <v>10.06</v>
      </c>
      <c r="AB364">
        <v>0</v>
      </c>
      <c r="AC364">
        <v>0</v>
      </c>
      <c r="AD364">
        <v>1</v>
      </c>
      <c r="AE364">
        <v>0</v>
      </c>
      <c r="AF364" t="s">
        <v>532</v>
      </c>
      <c r="AG364">
        <v>4.3124999999999997E-2</v>
      </c>
      <c r="AH364">
        <v>2</v>
      </c>
      <c r="AI364">
        <v>145051725</v>
      </c>
      <c r="AJ364">
        <v>364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ROW(Source!A155)</f>
        <v>155</v>
      </c>
      <c r="B365">
        <v>145051726</v>
      </c>
      <c r="C365">
        <v>145051721</v>
      </c>
      <c r="D365">
        <v>140923885</v>
      </c>
      <c r="E365">
        <v>1</v>
      </c>
      <c r="F365">
        <v>1</v>
      </c>
      <c r="G365">
        <v>1</v>
      </c>
      <c r="H365">
        <v>2</v>
      </c>
      <c r="I365" t="s">
        <v>732</v>
      </c>
      <c r="J365" t="s">
        <v>733</v>
      </c>
      <c r="K365" t="s">
        <v>734</v>
      </c>
      <c r="L365">
        <v>1367</v>
      </c>
      <c r="N365">
        <v>1011</v>
      </c>
      <c r="O365" t="s">
        <v>79</v>
      </c>
      <c r="P365" t="s">
        <v>79</v>
      </c>
      <c r="Q365">
        <v>1</v>
      </c>
      <c r="X365">
        <v>0.01</v>
      </c>
      <c r="Y365">
        <v>0</v>
      </c>
      <c r="Z365">
        <v>65.709999999999994</v>
      </c>
      <c r="AA365">
        <v>11.6</v>
      </c>
      <c r="AB365">
        <v>0</v>
      </c>
      <c r="AC365">
        <v>0</v>
      </c>
      <c r="AD365">
        <v>1</v>
      </c>
      <c r="AE365">
        <v>0</v>
      </c>
      <c r="AF365" t="s">
        <v>532</v>
      </c>
      <c r="AG365">
        <v>4.3124999999999997E-2</v>
      </c>
      <c r="AH365">
        <v>2</v>
      </c>
      <c r="AI365">
        <v>145051726</v>
      </c>
      <c r="AJ365">
        <v>365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ROW(Source!A155)</f>
        <v>155</v>
      </c>
      <c r="B366">
        <v>145051727</v>
      </c>
      <c r="C366">
        <v>145051721</v>
      </c>
      <c r="D366">
        <v>140924526</v>
      </c>
      <c r="E366">
        <v>1</v>
      </c>
      <c r="F366">
        <v>1</v>
      </c>
      <c r="G366">
        <v>1</v>
      </c>
      <c r="H366">
        <v>2</v>
      </c>
      <c r="I366" t="s">
        <v>815</v>
      </c>
      <c r="J366" t="s">
        <v>816</v>
      </c>
      <c r="K366" t="s">
        <v>817</v>
      </c>
      <c r="L366">
        <v>1367</v>
      </c>
      <c r="N366">
        <v>1011</v>
      </c>
      <c r="O366" t="s">
        <v>79</v>
      </c>
      <c r="P366" t="s">
        <v>79</v>
      </c>
      <c r="Q366">
        <v>1</v>
      </c>
      <c r="X366">
        <v>0.65</v>
      </c>
      <c r="Y366">
        <v>0</v>
      </c>
      <c r="Z366">
        <v>6.82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532</v>
      </c>
      <c r="AG366">
        <v>2.8031249999999996</v>
      </c>
      <c r="AH366">
        <v>2</v>
      </c>
      <c r="AI366">
        <v>145051727</v>
      </c>
      <c r="AJ366">
        <v>366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ROW(Source!A155)</f>
        <v>155</v>
      </c>
      <c r="B367">
        <v>145051728</v>
      </c>
      <c r="C367">
        <v>145051721</v>
      </c>
      <c r="D367">
        <v>140804609</v>
      </c>
      <c r="E367">
        <v>1</v>
      </c>
      <c r="F367">
        <v>1</v>
      </c>
      <c r="G367">
        <v>1</v>
      </c>
      <c r="H367">
        <v>3</v>
      </c>
      <c r="I367" t="s">
        <v>535</v>
      </c>
      <c r="J367" t="s">
        <v>537</v>
      </c>
      <c r="K367" t="s">
        <v>536</v>
      </c>
      <c r="L367">
        <v>1348</v>
      </c>
      <c r="N367">
        <v>1009</v>
      </c>
      <c r="O367" t="s">
        <v>105</v>
      </c>
      <c r="P367" t="s">
        <v>105</v>
      </c>
      <c r="Q367">
        <v>1000</v>
      </c>
      <c r="X367">
        <v>8.9999999999999993E-3</v>
      </c>
      <c r="Y367">
        <v>14312.87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0</v>
      </c>
      <c r="AF367" t="s">
        <v>531</v>
      </c>
      <c r="AG367">
        <v>2.6999999999999996E-2</v>
      </c>
      <c r="AH367">
        <v>2</v>
      </c>
      <c r="AI367">
        <v>145051728</v>
      </c>
      <c r="AJ367">
        <v>367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ROW(Source!A155)</f>
        <v>155</v>
      </c>
      <c r="B368">
        <v>145051729</v>
      </c>
      <c r="C368">
        <v>145051721</v>
      </c>
      <c r="D368">
        <v>140805221</v>
      </c>
      <c r="E368">
        <v>1</v>
      </c>
      <c r="F368">
        <v>1</v>
      </c>
      <c r="G368">
        <v>1</v>
      </c>
      <c r="H368">
        <v>3</v>
      </c>
      <c r="I368" t="s">
        <v>1069</v>
      </c>
      <c r="J368" t="s">
        <v>1070</v>
      </c>
      <c r="K368" t="s">
        <v>1071</v>
      </c>
      <c r="L368">
        <v>1346</v>
      </c>
      <c r="N368">
        <v>1009</v>
      </c>
      <c r="O368" t="s">
        <v>43</v>
      </c>
      <c r="P368" t="s">
        <v>43</v>
      </c>
      <c r="Q368">
        <v>1</v>
      </c>
      <c r="X368">
        <v>1.4</v>
      </c>
      <c r="Y368">
        <v>6.67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0</v>
      </c>
      <c r="AF368" t="s">
        <v>531</v>
      </c>
      <c r="AG368">
        <v>4.1999999999999993</v>
      </c>
      <c r="AH368">
        <v>2</v>
      </c>
      <c r="AI368">
        <v>145051729</v>
      </c>
      <c r="AJ368">
        <v>368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ROW(Source!A160)</f>
        <v>160</v>
      </c>
      <c r="B369">
        <v>145051751</v>
      </c>
      <c r="C369">
        <v>145051750</v>
      </c>
      <c r="D369">
        <v>140759956</v>
      </c>
      <c r="E369">
        <v>70</v>
      </c>
      <c r="F369">
        <v>1</v>
      </c>
      <c r="G369">
        <v>1</v>
      </c>
      <c r="H369">
        <v>1</v>
      </c>
      <c r="I369" t="s">
        <v>912</v>
      </c>
      <c r="J369" t="s">
        <v>3</v>
      </c>
      <c r="K369" t="s">
        <v>913</v>
      </c>
      <c r="L369">
        <v>1191</v>
      </c>
      <c r="N369">
        <v>1013</v>
      </c>
      <c r="O369" t="s">
        <v>725</v>
      </c>
      <c r="P369" t="s">
        <v>725</v>
      </c>
      <c r="Q369">
        <v>1</v>
      </c>
      <c r="X369">
        <v>71.5</v>
      </c>
      <c r="Y369">
        <v>0</v>
      </c>
      <c r="Z369">
        <v>0</v>
      </c>
      <c r="AA369">
        <v>0</v>
      </c>
      <c r="AB369">
        <v>8.17</v>
      </c>
      <c r="AC369">
        <v>0</v>
      </c>
      <c r="AD369">
        <v>1</v>
      </c>
      <c r="AE369">
        <v>1</v>
      </c>
      <c r="AF369" t="s">
        <v>300</v>
      </c>
      <c r="AG369">
        <v>65.78</v>
      </c>
      <c r="AH369">
        <v>2</v>
      </c>
      <c r="AI369">
        <v>145051751</v>
      </c>
      <c r="AJ369">
        <v>369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ROW(Source!A160)</f>
        <v>160</v>
      </c>
      <c r="B370">
        <v>145051752</v>
      </c>
      <c r="C370">
        <v>145051750</v>
      </c>
      <c r="D370">
        <v>140760225</v>
      </c>
      <c r="E370">
        <v>70</v>
      </c>
      <c r="F370">
        <v>1</v>
      </c>
      <c r="G370">
        <v>1</v>
      </c>
      <c r="H370">
        <v>1</v>
      </c>
      <c r="I370" t="s">
        <v>730</v>
      </c>
      <c r="J370" t="s">
        <v>3</v>
      </c>
      <c r="K370" t="s">
        <v>731</v>
      </c>
      <c r="L370">
        <v>1191</v>
      </c>
      <c r="N370">
        <v>1013</v>
      </c>
      <c r="O370" t="s">
        <v>725</v>
      </c>
      <c r="P370" t="s">
        <v>725</v>
      </c>
      <c r="Q370">
        <v>1</v>
      </c>
      <c r="X370">
        <v>0.73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2</v>
      </c>
      <c r="AF370" t="s">
        <v>300</v>
      </c>
      <c r="AG370">
        <v>0.67159999999999997</v>
      </c>
      <c r="AH370">
        <v>2</v>
      </c>
      <c r="AI370">
        <v>145051752</v>
      </c>
      <c r="AJ370">
        <v>370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ROW(Source!A160)</f>
        <v>160</v>
      </c>
      <c r="B371">
        <v>145051753</v>
      </c>
      <c r="C371">
        <v>145051750</v>
      </c>
      <c r="D371">
        <v>140922951</v>
      </c>
      <c r="E371">
        <v>1</v>
      </c>
      <c r="F371">
        <v>1</v>
      </c>
      <c r="G371">
        <v>1</v>
      </c>
      <c r="H371">
        <v>2</v>
      </c>
      <c r="I371" t="s">
        <v>752</v>
      </c>
      <c r="J371" t="s">
        <v>753</v>
      </c>
      <c r="K371" t="s">
        <v>754</v>
      </c>
      <c r="L371">
        <v>1367</v>
      </c>
      <c r="N371">
        <v>1011</v>
      </c>
      <c r="O371" t="s">
        <v>79</v>
      </c>
      <c r="P371" t="s">
        <v>79</v>
      </c>
      <c r="Q371">
        <v>1</v>
      </c>
      <c r="X371">
        <v>0.28999999999999998</v>
      </c>
      <c r="Y371">
        <v>0</v>
      </c>
      <c r="Z371">
        <v>115.4</v>
      </c>
      <c r="AA371">
        <v>13.5</v>
      </c>
      <c r="AB371">
        <v>0</v>
      </c>
      <c r="AC371">
        <v>0</v>
      </c>
      <c r="AD371">
        <v>1</v>
      </c>
      <c r="AE371">
        <v>0</v>
      </c>
      <c r="AF371" t="s">
        <v>300</v>
      </c>
      <c r="AG371">
        <v>0.26679999999999998</v>
      </c>
      <c r="AH371">
        <v>2</v>
      </c>
      <c r="AI371">
        <v>145051753</v>
      </c>
      <c r="AJ371">
        <v>371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ROW(Source!A160)</f>
        <v>160</v>
      </c>
      <c r="B372">
        <v>145051754</v>
      </c>
      <c r="C372">
        <v>145051750</v>
      </c>
      <c r="D372">
        <v>140923885</v>
      </c>
      <c r="E372">
        <v>1</v>
      </c>
      <c r="F372">
        <v>1</v>
      </c>
      <c r="G372">
        <v>1</v>
      </c>
      <c r="H372">
        <v>2</v>
      </c>
      <c r="I372" t="s">
        <v>732</v>
      </c>
      <c r="J372" t="s">
        <v>733</v>
      </c>
      <c r="K372" t="s">
        <v>734</v>
      </c>
      <c r="L372">
        <v>1367</v>
      </c>
      <c r="N372">
        <v>1011</v>
      </c>
      <c r="O372" t="s">
        <v>79</v>
      </c>
      <c r="P372" t="s">
        <v>79</v>
      </c>
      <c r="Q372">
        <v>1</v>
      </c>
      <c r="X372">
        <v>0.44</v>
      </c>
      <c r="Y372">
        <v>0</v>
      </c>
      <c r="Z372">
        <v>65.709999999999994</v>
      </c>
      <c r="AA372">
        <v>11.6</v>
      </c>
      <c r="AB372">
        <v>0</v>
      </c>
      <c r="AC372">
        <v>0</v>
      </c>
      <c r="AD372">
        <v>1</v>
      </c>
      <c r="AE372">
        <v>0</v>
      </c>
      <c r="AF372" t="s">
        <v>300</v>
      </c>
      <c r="AG372">
        <v>0.40480000000000005</v>
      </c>
      <c r="AH372">
        <v>2</v>
      </c>
      <c r="AI372">
        <v>145051754</v>
      </c>
      <c r="AJ372">
        <v>372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ROW(Source!A160)</f>
        <v>160</v>
      </c>
      <c r="B373">
        <v>145051755</v>
      </c>
      <c r="C373">
        <v>145051750</v>
      </c>
      <c r="D373">
        <v>140770479</v>
      </c>
      <c r="E373">
        <v>1</v>
      </c>
      <c r="F373">
        <v>1</v>
      </c>
      <c r="G373">
        <v>1</v>
      </c>
      <c r="H373">
        <v>3</v>
      </c>
      <c r="I373" t="s">
        <v>1072</v>
      </c>
      <c r="J373" t="s">
        <v>1073</v>
      </c>
      <c r="K373" t="s">
        <v>1074</v>
      </c>
      <c r="L373">
        <v>1327</v>
      </c>
      <c r="N373">
        <v>1005</v>
      </c>
      <c r="O373" t="s">
        <v>131</v>
      </c>
      <c r="P373" t="s">
        <v>131</v>
      </c>
      <c r="Q373">
        <v>1</v>
      </c>
      <c r="X373">
        <v>15.2</v>
      </c>
      <c r="Y373">
        <v>37.5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299</v>
      </c>
      <c r="AG373">
        <v>0</v>
      </c>
      <c r="AH373">
        <v>2</v>
      </c>
      <c r="AI373">
        <v>145051755</v>
      </c>
      <c r="AJ373">
        <v>373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ROW(Source!A160)</f>
        <v>160</v>
      </c>
      <c r="B374">
        <v>145051756</v>
      </c>
      <c r="C374">
        <v>145051750</v>
      </c>
      <c r="D374">
        <v>140770493</v>
      </c>
      <c r="E374">
        <v>1</v>
      </c>
      <c r="F374">
        <v>1</v>
      </c>
      <c r="G374">
        <v>1</v>
      </c>
      <c r="H374">
        <v>3</v>
      </c>
      <c r="I374" t="s">
        <v>1075</v>
      </c>
      <c r="J374" t="s">
        <v>1076</v>
      </c>
      <c r="K374" t="s">
        <v>1077</v>
      </c>
      <c r="L374">
        <v>1327</v>
      </c>
      <c r="N374">
        <v>1005</v>
      </c>
      <c r="O374" t="s">
        <v>131</v>
      </c>
      <c r="P374" t="s">
        <v>131</v>
      </c>
      <c r="Q374">
        <v>1</v>
      </c>
      <c r="X374">
        <v>135</v>
      </c>
      <c r="Y374">
        <v>13.22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299</v>
      </c>
      <c r="AG374">
        <v>0</v>
      </c>
      <c r="AH374">
        <v>2</v>
      </c>
      <c r="AI374">
        <v>145051756</v>
      </c>
      <c r="AJ374">
        <v>374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ROW(Source!A160)</f>
        <v>160</v>
      </c>
      <c r="B375">
        <v>145051757</v>
      </c>
      <c r="C375">
        <v>145051750</v>
      </c>
      <c r="D375">
        <v>140790840</v>
      </c>
      <c r="E375">
        <v>1</v>
      </c>
      <c r="F375">
        <v>1</v>
      </c>
      <c r="G375">
        <v>1</v>
      </c>
      <c r="H375">
        <v>3</v>
      </c>
      <c r="I375" t="s">
        <v>1078</v>
      </c>
      <c r="J375" t="s">
        <v>1079</v>
      </c>
      <c r="K375" t="s">
        <v>1080</v>
      </c>
      <c r="L375">
        <v>1348</v>
      </c>
      <c r="N375">
        <v>1009</v>
      </c>
      <c r="O375" t="s">
        <v>105</v>
      </c>
      <c r="P375" t="s">
        <v>105</v>
      </c>
      <c r="Q375">
        <v>1000</v>
      </c>
      <c r="X375">
        <v>2.4E-2</v>
      </c>
      <c r="Y375">
        <v>7977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0</v>
      </c>
      <c r="AF375" t="s">
        <v>299</v>
      </c>
      <c r="AG375">
        <v>0</v>
      </c>
      <c r="AH375">
        <v>2</v>
      </c>
      <c r="AI375">
        <v>145051757</v>
      </c>
      <c r="AJ375">
        <v>375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ROW(Source!A160)</f>
        <v>160</v>
      </c>
      <c r="B376">
        <v>145051758</v>
      </c>
      <c r="C376">
        <v>145051750</v>
      </c>
      <c r="D376">
        <v>140796534</v>
      </c>
      <c r="E376">
        <v>1</v>
      </c>
      <c r="F376">
        <v>1</v>
      </c>
      <c r="G376">
        <v>1</v>
      </c>
      <c r="H376">
        <v>3</v>
      </c>
      <c r="I376" t="s">
        <v>1081</v>
      </c>
      <c r="J376" t="s">
        <v>1082</v>
      </c>
      <c r="K376" t="s">
        <v>1083</v>
      </c>
      <c r="L376">
        <v>1339</v>
      </c>
      <c r="N376">
        <v>1007</v>
      </c>
      <c r="O376" t="s">
        <v>66</v>
      </c>
      <c r="P376" t="s">
        <v>66</v>
      </c>
      <c r="Q376">
        <v>1</v>
      </c>
      <c r="X376">
        <v>0.06</v>
      </c>
      <c r="Y376">
        <v>832.7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 t="s">
        <v>299</v>
      </c>
      <c r="AG376">
        <v>0</v>
      </c>
      <c r="AH376">
        <v>2</v>
      </c>
      <c r="AI376">
        <v>145051758</v>
      </c>
      <c r="AJ376">
        <v>376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ROW(Source!A161)</f>
        <v>161</v>
      </c>
      <c r="B377">
        <v>145051855</v>
      </c>
      <c r="C377">
        <v>145051854</v>
      </c>
      <c r="D377">
        <v>140760022</v>
      </c>
      <c r="E377">
        <v>70</v>
      </c>
      <c r="F377">
        <v>1</v>
      </c>
      <c r="G377">
        <v>1</v>
      </c>
      <c r="H377">
        <v>1</v>
      </c>
      <c r="I377" t="s">
        <v>766</v>
      </c>
      <c r="J377" t="s">
        <v>3</v>
      </c>
      <c r="K377" t="s">
        <v>767</v>
      </c>
      <c r="L377">
        <v>1191</v>
      </c>
      <c r="N377">
        <v>1013</v>
      </c>
      <c r="O377" t="s">
        <v>725</v>
      </c>
      <c r="P377" t="s">
        <v>725</v>
      </c>
      <c r="Q377">
        <v>1</v>
      </c>
      <c r="X377">
        <v>110</v>
      </c>
      <c r="Y377">
        <v>0</v>
      </c>
      <c r="Z377">
        <v>0</v>
      </c>
      <c r="AA377">
        <v>0</v>
      </c>
      <c r="AB377">
        <v>9.4</v>
      </c>
      <c r="AC377">
        <v>0</v>
      </c>
      <c r="AD377">
        <v>1</v>
      </c>
      <c r="AE377">
        <v>1</v>
      </c>
      <c r="AF377" t="s">
        <v>3</v>
      </c>
      <c r="AG377">
        <v>110</v>
      </c>
      <c r="AH377">
        <v>2</v>
      </c>
      <c r="AI377">
        <v>145051855</v>
      </c>
      <c r="AJ377">
        <v>377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ROW(Source!A161)</f>
        <v>161</v>
      </c>
      <c r="B378">
        <v>145051856</v>
      </c>
      <c r="C378">
        <v>145051854</v>
      </c>
      <c r="D378">
        <v>140760225</v>
      </c>
      <c r="E378">
        <v>70</v>
      </c>
      <c r="F378">
        <v>1</v>
      </c>
      <c r="G378">
        <v>1</v>
      </c>
      <c r="H378">
        <v>1</v>
      </c>
      <c r="I378" t="s">
        <v>730</v>
      </c>
      <c r="J378" t="s">
        <v>3</v>
      </c>
      <c r="K378" t="s">
        <v>731</v>
      </c>
      <c r="L378">
        <v>1191</v>
      </c>
      <c r="N378">
        <v>1013</v>
      </c>
      <c r="O378" t="s">
        <v>725</v>
      </c>
      <c r="P378" t="s">
        <v>725</v>
      </c>
      <c r="Q378">
        <v>1</v>
      </c>
      <c r="X378">
        <v>2.4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2</v>
      </c>
      <c r="AF378" t="s">
        <v>3</v>
      </c>
      <c r="AG378">
        <v>2.4</v>
      </c>
      <c r="AH378">
        <v>2</v>
      </c>
      <c r="AI378">
        <v>145051856</v>
      </c>
      <c r="AJ378">
        <v>378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ROW(Source!A161)</f>
        <v>161</v>
      </c>
      <c r="B379">
        <v>145051857</v>
      </c>
      <c r="C379">
        <v>145051854</v>
      </c>
      <c r="D379">
        <v>140922951</v>
      </c>
      <c r="E379">
        <v>1</v>
      </c>
      <c r="F379">
        <v>1</v>
      </c>
      <c r="G379">
        <v>1</v>
      </c>
      <c r="H379">
        <v>2</v>
      </c>
      <c r="I379" t="s">
        <v>752</v>
      </c>
      <c r="J379" t="s">
        <v>753</v>
      </c>
      <c r="K379" t="s">
        <v>754</v>
      </c>
      <c r="L379">
        <v>1367</v>
      </c>
      <c r="N379">
        <v>1011</v>
      </c>
      <c r="O379" t="s">
        <v>79</v>
      </c>
      <c r="P379" t="s">
        <v>79</v>
      </c>
      <c r="Q379">
        <v>1</v>
      </c>
      <c r="X379">
        <v>1.1000000000000001</v>
      </c>
      <c r="Y379">
        <v>0</v>
      </c>
      <c r="Z379">
        <v>115.4</v>
      </c>
      <c r="AA379">
        <v>13.5</v>
      </c>
      <c r="AB379">
        <v>0</v>
      </c>
      <c r="AC379">
        <v>0</v>
      </c>
      <c r="AD379">
        <v>1</v>
      </c>
      <c r="AE379">
        <v>0</v>
      </c>
      <c r="AF379" t="s">
        <v>3</v>
      </c>
      <c r="AG379">
        <v>1.1000000000000001</v>
      </c>
      <c r="AH379">
        <v>2</v>
      </c>
      <c r="AI379">
        <v>145051857</v>
      </c>
      <c r="AJ379">
        <v>379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ROW(Source!A161)</f>
        <v>161</v>
      </c>
      <c r="B380">
        <v>145051858</v>
      </c>
      <c r="C380">
        <v>145051854</v>
      </c>
      <c r="D380">
        <v>140923886</v>
      </c>
      <c r="E380">
        <v>1</v>
      </c>
      <c r="F380">
        <v>1</v>
      </c>
      <c r="G380">
        <v>1</v>
      </c>
      <c r="H380">
        <v>2</v>
      </c>
      <c r="I380" t="s">
        <v>771</v>
      </c>
      <c r="J380" t="s">
        <v>772</v>
      </c>
      <c r="K380" t="s">
        <v>773</v>
      </c>
      <c r="L380">
        <v>1367</v>
      </c>
      <c r="N380">
        <v>1011</v>
      </c>
      <c r="O380" t="s">
        <v>79</v>
      </c>
      <c r="P380" t="s">
        <v>79</v>
      </c>
      <c r="Q380">
        <v>1</v>
      </c>
      <c r="X380">
        <v>0.5</v>
      </c>
      <c r="Y380">
        <v>0</v>
      </c>
      <c r="Z380">
        <v>85.84</v>
      </c>
      <c r="AA380">
        <v>11.6</v>
      </c>
      <c r="AB380">
        <v>0</v>
      </c>
      <c r="AC380">
        <v>0</v>
      </c>
      <c r="AD380">
        <v>1</v>
      </c>
      <c r="AE380">
        <v>0</v>
      </c>
      <c r="AF380" t="s">
        <v>3</v>
      </c>
      <c r="AG380">
        <v>0.5</v>
      </c>
      <c r="AH380">
        <v>2</v>
      </c>
      <c r="AI380">
        <v>145051858</v>
      </c>
      <c r="AJ380">
        <v>380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ROW(Source!A161)</f>
        <v>161</v>
      </c>
      <c r="B381">
        <v>145051859</v>
      </c>
      <c r="C381">
        <v>145051854</v>
      </c>
      <c r="D381">
        <v>140924028</v>
      </c>
      <c r="E381">
        <v>1</v>
      </c>
      <c r="F381">
        <v>1</v>
      </c>
      <c r="G381">
        <v>1</v>
      </c>
      <c r="H381">
        <v>2</v>
      </c>
      <c r="I381" t="s">
        <v>774</v>
      </c>
      <c r="J381" t="s">
        <v>775</v>
      </c>
      <c r="K381" t="s">
        <v>776</v>
      </c>
      <c r="L381">
        <v>1367</v>
      </c>
      <c r="N381">
        <v>1011</v>
      </c>
      <c r="O381" t="s">
        <v>79</v>
      </c>
      <c r="P381" t="s">
        <v>79</v>
      </c>
      <c r="Q381">
        <v>1</v>
      </c>
      <c r="X381">
        <v>43</v>
      </c>
      <c r="Y381">
        <v>0</v>
      </c>
      <c r="Z381">
        <v>39.49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3</v>
      </c>
      <c r="AG381">
        <v>43</v>
      </c>
      <c r="AH381">
        <v>2</v>
      </c>
      <c r="AI381">
        <v>145051859</v>
      </c>
      <c r="AJ381">
        <v>381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ROW(Source!A161)</f>
        <v>161</v>
      </c>
      <c r="B382">
        <v>145051860</v>
      </c>
      <c r="C382">
        <v>145051854</v>
      </c>
      <c r="D382">
        <v>140924041</v>
      </c>
      <c r="E382">
        <v>1</v>
      </c>
      <c r="F382">
        <v>1</v>
      </c>
      <c r="G382">
        <v>1</v>
      </c>
      <c r="H382">
        <v>2</v>
      </c>
      <c r="I382" t="s">
        <v>777</v>
      </c>
      <c r="J382" t="s">
        <v>778</v>
      </c>
      <c r="K382" t="s">
        <v>779</v>
      </c>
      <c r="L382">
        <v>1367</v>
      </c>
      <c r="N382">
        <v>1011</v>
      </c>
      <c r="O382" t="s">
        <v>79</v>
      </c>
      <c r="P382" t="s">
        <v>79</v>
      </c>
      <c r="Q382">
        <v>1</v>
      </c>
      <c r="X382">
        <v>0.9</v>
      </c>
      <c r="Y382">
        <v>0</v>
      </c>
      <c r="Z382">
        <v>1.2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0.9</v>
      </c>
      <c r="AH382">
        <v>2</v>
      </c>
      <c r="AI382">
        <v>145051860</v>
      </c>
      <c r="AJ382">
        <v>382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ROW(Source!A161)</f>
        <v>161</v>
      </c>
      <c r="B383">
        <v>145051861</v>
      </c>
      <c r="C383">
        <v>145051854</v>
      </c>
      <c r="D383">
        <v>140924610</v>
      </c>
      <c r="E383">
        <v>1</v>
      </c>
      <c r="F383">
        <v>1</v>
      </c>
      <c r="G383">
        <v>1</v>
      </c>
      <c r="H383">
        <v>2</v>
      </c>
      <c r="I383" t="s">
        <v>780</v>
      </c>
      <c r="J383" t="s">
        <v>781</v>
      </c>
      <c r="K383" t="s">
        <v>782</v>
      </c>
      <c r="L383">
        <v>1367</v>
      </c>
      <c r="N383">
        <v>1011</v>
      </c>
      <c r="O383" t="s">
        <v>79</v>
      </c>
      <c r="P383" t="s">
        <v>79</v>
      </c>
      <c r="Q383">
        <v>1</v>
      </c>
      <c r="X383">
        <v>0.8</v>
      </c>
      <c r="Y383">
        <v>0</v>
      </c>
      <c r="Z383">
        <v>15.4</v>
      </c>
      <c r="AA383">
        <v>10.06</v>
      </c>
      <c r="AB383">
        <v>0</v>
      </c>
      <c r="AC383">
        <v>0</v>
      </c>
      <c r="AD383">
        <v>1</v>
      </c>
      <c r="AE383">
        <v>0</v>
      </c>
      <c r="AF383" t="s">
        <v>3</v>
      </c>
      <c r="AG383">
        <v>0.8</v>
      </c>
      <c r="AH383">
        <v>2</v>
      </c>
      <c r="AI383">
        <v>145051861</v>
      </c>
      <c r="AJ383">
        <v>383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ROW(Source!A161)</f>
        <v>161</v>
      </c>
      <c r="B384">
        <v>145051862</v>
      </c>
      <c r="C384">
        <v>145051854</v>
      </c>
      <c r="D384">
        <v>140924652</v>
      </c>
      <c r="E384">
        <v>1</v>
      </c>
      <c r="F384">
        <v>1</v>
      </c>
      <c r="G384">
        <v>1</v>
      </c>
      <c r="H384">
        <v>2</v>
      </c>
      <c r="I384" t="s">
        <v>783</v>
      </c>
      <c r="J384" t="s">
        <v>784</v>
      </c>
      <c r="K384" t="s">
        <v>785</v>
      </c>
      <c r="L384">
        <v>1367</v>
      </c>
      <c r="N384">
        <v>1011</v>
      </c>
      <c r="O384" t="s">
        <v>79</v>
      </c>
      <c r="P384" t="s">
        <v>79</v>
      </c>
      <c r="Q384">
        <v>1</v>
      </c>
      <c r="X384">
        <v>2.4</v>
      </c>
      <c r="Y384">
        <v>0</v>
      </c>
      <c r="Z384">
        <v>2.36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3</v>
      </c>
      <c r="AG384">
        <v>2.4</v>
      </c>
      <c r="AH384">
        <v>2</v>
      </c>
      <c r="AI384">
        <v>145051862</v>
      </c>
      <c r="AJ384">
        <v>384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ROW(Source!A161)</f>
        <v>161</v>
      </c>
      <c r="B385">
        <v>145051863</v>
      </c>
      <c r="C385">
        <v>145051854</v>
      </c>
      <c r="D385">
        <v>140771005</v>
      </c>
      <c r="E385">
        <v>1</v>
      </c>
      <c r="F385">
        <v>1</v>
      </c>
      <c r="G385">
        <v>1</v>
      </c>
      <c r="H385">
        <v>3</v>
      </c>
      <c r="I385" t="s">
        <v>786</v>
      </c>
      <c r="J385" t="s">
        <v>787</v>
      </c>
      <c r="K385" t="s">
        <v>788</v>
      </c>
      <c r="L385">
        <v>1339</v>
      </c>
      <c r="N385">
        <v>1007</v>
      </c>
      <c r="O385" t="s">
        <v>66</v>
      </c>
      <c r="P385" t="s">
        <v>66</v>
      </c>
      <c r="Q385">
        <v>1</v>
      </c>
      <c r="X385">
        <v>0.6</v>
      </c>
      <c r="Y385">
        <v>6.22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3</v>
      </c>
      <c r="AG385">
        <v>0.6</v>
      </c>
      <c r="AH385">
        <v>2</v>
      </c>
      <c r="AI385">
        <v>145051863</v>
      </c>
      <c r="AJ385">
        <v>385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ROW(Source!A161)</f>
        <v>161</v>
      </c>
      <c r="B386">
        <v>145051864</v>
      </c>
      <c r="C386">
        <v>145051854</v>
      </c>
      <c r="D386">
        <v>140771011</v>
      </c>
      <c r="E386">
        <v>1</v>
      </c>
      <c r="F386">
        <v>1</v>
      </c>
      <c r="G386">
        <v>1</v>
      </c>
      <c r="H386">
        <v>3</v>
      </c>
      <c r="I386" t="s">
        <v>789</v>
      </c>
      <c r="J386" t="s">
        <v>790</v>
      </c>
      <c r="K386" t="s">
        <v>791</v>
      </c>
      <c r="L386">
        <v>1346</v>
      </c>
      <c r="N386">
        <v>1009</v>
      </c>
      <c r="O386" t="s">
        <v>43</v>
      </c>
      <c r="P386" t="s">
        <v>43</v>
      </c>
      <c r="Q386">
        <v>1</v>
      </c>
      <c r="X386">
        <v>0.2</v>
      </c>
      <c r="Y386">
        <v>6.09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3</v>
      </c>
      <c r="AG386">
        <v>0.2</v>
      </c>
      <c r="AH386">
        <v>2</v>
      </c>
      <c r="AI386">
        <v>145051864</v>
      </c>
      <c r="AJ386">
        <v>386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ROW(Source!A161)</f>
        <v>161</v>
      </c>
      <c r="B387">
        <v>145051865</v>
      </c>
      <c r="C387">
        <v>145051854</v>
      </c>
      <c r="D387">
        <v>140773780</v>
      </c>
      <c r="E387">
        <v>1</v>
      </c>
      <c r="F387">
        <v>1</v>
      </c>
      <c r="G387">
        <v>1</v>
      </c>
      <c r="H387">
        <v>3</v>
      </c>
      <c r="I387" t="s">
        <v>974</v>
      </c>
      <c r="J387" t="s">
        <v>975</v>
      </c>
      <c r="K387" t="s">
        <v>976</v>
      </c>
      <c r="L387">
        <v>1346</v>
      </c>
      <c r="N387">
        <v>1009</v>
      </c>
      <c r="O387" t="s">
        <v>43</v>
      </c>
      <c r="P387" t="s">
        <v>43</v>
      </c>
      <c r="Q387">
        <v>1</v>
      </c>
      <c r="X387">
        <v>19</v>
      </c>
      <c r="Y387">
        <v>10.75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</v>
      </c>
      <c r="AF387" t="s">
        <v>3</v>
      </c>
      <c r="AG387">
        <v>19</v>
      </c>
      <c r="AH387">
        <v>2</v>
      </c>
      <c r="AI387">
        <v>145051865</v>
      </c>
      <c r="AJ387">
        <v>387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ROW(Source!A161)</f>
        <v>161</v>
      </c>
      <c r="B388">
        <v>145051866</v>
      </c>
      <c r="C388">
        <v>145051854</v>
      </c>
      <c r="D388">
        <v>140765022</v>
      </c>
      <c r="E388">
        <v>70</v>
      </c>
      <c r="F388">
        <v>1</v>
      </c>
      <c r="G388">
        <v>1</v>
      </c>
      <c r="H388">
        <v>3</v>
      </c>
      <c r="I388" t="s">
        <v>795</v>
      </c>
      <c r="J388" t="s">
        <v>3</v>
      </c>
      <c r="K388" t="s">
        <v>796</v>
      </c>
      <c r="L388">
        <v>1374</v>
      </c>
      <c r="N388">
        <v>1013</v>
      </c>
      <c r="O388" t="s">
        <v>275</v>
      </c>
      <c r="P388" t="s">
        <v>275</v>
      </c>
      <c r="Q388">
        <v>1</v>
      </c>
      <c r="X388">
        <v>20.68</v>
      </c>
      <c r="Y388">
        <v>1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3</v>
      </c>
      <c r="AG388">
        <v>20.68</v>
      </c>
      <c r="AH388">
        <v>2</v>
      </c>
      <c r="AI388">
        <v>145051866</v>
      </c>
      <c r="AJ388">
        <v>388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ROW(Source!A162)</f>
        <v>162</v>
      </c>
      <c r="B389">
        <v>145051782</v>
      </c>
      <c r="C389">
        <v>145051781</v>
      </c>
      <c r="D389">
        <v>140760048</v>
      </c>
      <c r="E389">
        <v>70</v>
      </c>
      <c r="F389">
        <v>1</v>
      </c>
      <c r="G389">
        <v>1</v>
      </c>
      <c r="H389">
        <v>1</v>
      </c>
      <c r="I389" t="s">
        <v>1084</v>
      </c>
      <c r="J389" t="s">
        <v>3</v>
      </c>
      <c r="K389" t="s">
        <v>1085</v>
      </c>
      <c r="L389">
        <v>1191</v>
      </c>
      <c r="N389">
        <v>1013</v>
      </c>
      <c r="O389" t="s">
        <v>725</v>
      </c>
      <c r="P389" t="s">
        <v>725</v>
      </c>
      <c r="Q389">
        <v>1</v>
      </c>
      <c r="X389">
        <v>25.3</v>
      </c>
      <c r="Y389">
        <v>0</v>
      </c>
      <c r="Z389">
        <v>0</v>
      </c>
      <c r="AA389">
        <v>0</v>
      </c>
      <c r="AB389">
        <v>10.06</v>
      </c>
      <c r="AC389">
        <v>0</v>
      </c>
      <c r="AD389">
        <v>1</v>
      </c>
      <c r="AE389">
        <v>1</v>
      </c>
      <c r="AF389" t="s">
        <v>91</v>
      </c>
      <c r="AG389">
        <v>33.459249999999997</v>
      </c>
      <c r="AH389">
        <v>2</v>
      </c>
      <c r="AI389">
        <v>145051782</v>
      </c>
      <c r="AJ389">
        <v>389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ROW(Source!A162)</f>
        <v>162</v>
      </c>
      <c r="B390">
        <v>145051783</v>
      </c>
      <c r="C390">
        <v>145051781</v>
      </c>
      <c r="D390">
        <v>140760225</v>
      </c>
      <c r="E390">
        <v>70</v>
      </c>
      <c r="F390">
        <v>1</v>
      </c>
      <c r="G390">
        <v>1</v>
      </c>
      <c r="H390">
        <v>1</v>
      </c>
      <c r="I390" t="s">
        <v>730</v>
      </c>
      <c r="J390" t="s">
        <v>3</v>
      </c>
      <c r="K390" t="s">
        <v>731</v>
      </c>
      <c r="L390">
        <v>1191</v>
      </c>
      <c r="N390">
        <v>1013</v>
      </c>
      <c r="O390" t="s">
        <v>725</v>
      </c>
      <c r="P390" t="s">
        <v>725</v>
      </c>
      <c r="Q390">
        <v>1</v>
      </c>
      <c r="X390">
        <v>3.08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2</v>
      </c>
      <c r="AF390" t="s">
        <v>90</v>
      </c>
      <c r="AG390">
        <v>4.4274999999999993</v>
      </c>
      <c r="AH390">
        <v>2</v>
      </c>
      <c r="AI390">
        <v>145051783</v>
      </c>
      <c r="AJ390">
        <v>390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ROW(Source!A162)</f>
        <v>162</v>
      </c>
      <c r="B391">
        <v>145051784</v>
      </c>
      <c r="C391">
        <v>145051781</v>
      </c>
      <c r="D391">
        <v>140922906</v>
      </c>
      <c r="E391">
        <v>1</v>
      </c>
      <c r="F391">
        <v>1</v>
      </c>
      <c r="G391">
        <v>1</v>
      </c>
      <c r="H391">
        <v>2</v>
      </c>
      <c r="I391" t="s">
        <v>962</v>
      </c>
      <c r="J391" t="s">
        <v>963</v>
      </c>
      <c r="K391" t="s">
        <v>964</v>
      </c>
      <c r="L391">
        <v>1367</v>
      </c>
      <c r="N391">
        <v>1011</v>
      </c>
      <c r="O391" t="s">
        <v>79</v>
      </c>
      <c r="P391" t="s">
        <v>79</v>
      </c>
      <c r="Q391">
        <v>1</v>
      </c>
      <c r="X391">
        <v>0.1</v>
      </c>
      <c r="Y391">
        <v>0</v>
      </c>
      <c r="Z391">
        <v>120.24</v>
      </c>
      <c r="AA391">
        <v>15.42</v>
      </c>
      <c r="AB391">
        <v>0</v>
      </c>
      <c r="AC391">
        <v>0</v>
      </c>
      <c r="AD391">
        <v>1</v>
      </c>
      <c r="AE391">
        <v>0</v>
      </c>
      <c r="AF391" t="s">
        <v>90</v>
      </c>
      <c r="AG391">
        <v>0.14374999999999999</v>
      </c>
      <c r="AH391">
        <v>2</v>
      </c>
      <c r="AI391">
        <v>145051784</v>
      </c>
      <c r="AJ391">
        <v>391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ROW(Source!A162)</f>
        <v>162</v>
      </c>
      <c r="B392">
        <v>145051785</v>
      </c>
      <c r="C392">
        <v>145051781</v>
      </c>
      <c r="D392">
        <v>140922951</v>
      </c>
      <c r="E392">
        <v>1</v>
      </c>
      <c r="F392">
        <v>1</v>
      </c>
      <c r="G392">
        <v>1</v>
      </c>
      <c r="H392">
        <v>2</v>
      </c>
      <c r="I392" t="s">
        <v>752</v>
      </c>
      <c r="J392" t="s">
        <v>753</v>
      </c>
      <c r="K392" t="s">
        <v>754</v>
      </c>
      <c r="L392">
        <v>1367</v>
      </c>
      <c r="N392">
        <v>1011</v>
      </c>
      <c r="O392" t="s">
        <v>79</v>
      </c>
      <c r="P392" t="s">
        <v>79</v>
      </c>
      <c r="Q392">
        <v>1</v>
      </c>
      <c r="X392">
        <v>0.11</v>
      </c>
      <c r="Y392">
        <v>0</v>
      </c>
      <c r="Z392">
        <v>115.4</v>
      </c>
      <c r="AA392">
        <v>13.5</v>
      </c>
      <c r="AB392">
        <v>0</v>
      </c>
      <c r="AC392">
        <v>0</v>
      </c>
      <c r="AD392">
        <v>1</v>
      </c>
      <c r="AE392">
        <v>0</v>
      </c>
      <c r="AF392" t="s">
        <v>90</v>
      </c>
      <c r="AG392">
        <v>0.15812499999999999</v>
      </c>
      <c r="AH392">
        <v>2</v>
      </c>
      <c r="AI392">
        <v>145051785</v>
      </c>
      <c r="AJ392">
        <v>392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ROW(Source!A162)</f>
        <v>162</v>
      </c>
      <c r="B393">
        <v>145051786</v>
      </c>
      <c r="C393">
        <v>145051781</v>
      </c>
      <c r="D393">
        <v>140922957</v>
      </c>
      <c r="E393">
        <v>1</v>
      </c>
      <c r="F393">
        <v>1</v>
      </c>
      <c r="G393">
        <v>1</v>
      </c>
      <c r="H393">
        <v>2</v>
      </c>
      <c r="I393" t="s">
        <v>965</v>
      </c>
      <c r="J393" t="s">
        <v>966</v>
      </c>
      <c r="K393" t="s">
        <v>967</v>
      </c>
      <c r="L393">
        <v>1367</v>
      </c>
      <c r="N393">
        <v>1011</v>
      </c>
      <c r="O393" t="s">
        <v>79</v>
      </c>
      <c r="P393" t="s">
        <v>79</v>
      </c>
      <c r="Q393">
        <v>1</v>
      </c>
      <c r="X393">
        <v>2.7</v>
      </c>
      <c r="Y393">
        <v>0</v>
      </c>
      <c r="Z393">
        <v>120.04</v>
      </c>
      <c r="AA393">
        <v>13.5</v>
      </c>
      <c r="AB393">
        <v>0</v>
      </c>
      <c r="AC393">
        <v>0</v>
      </c>
      <c r="AD393">
        <v>1</v>
      </c>
      <c r="AE393">
        <v>0</v>
      </c>
      <c r="AF393" t="s">
        <v>90</v>
      </c>
      <c r="AG393">
        <v>3.8812499999999996</v>
      </c>
      <c r="AH393">
        <v>2</v>
      </c>
      <c r="AI393">
        <v>145051786</v>
      </c>
      <c r="AJ393">
        <v>393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ROW(Source!A162)</f>
        <v>162</v>
      </c>
      <c r="B394">
        <v>145051787</v>
      </c>
      <c r="C394">
        <v>145051781</v>
      </c>
      <c r="D394">
        <v>140923032</v>
      </c>
      <c r="E394">
        <v>1</v>
      </c>
      <c r="F394">
        <v>1</v>
      </c>
      <c r="G394">
        <v>1</v>
      </c>
      <c r="H394">
        <v>2</v>
      </c>
      <c r="I394" t="s">
        <v>968</v>
      </c>
      <c r="J394" t="s">
        <v>969</v>
      </c>
      <c r="K394" t="s">
        <v>970</v>
      </c>
      <c r="L394">
        <v>1367</v>
      </c>
      <c r="N394">
        <v>1011</v>
      </c>
      <c r="O394" t="s">
        <v>79</v>
      </c>
      <c r="P394" t="s">
        <v>79</v>
      </c>
      <c r="Q394">
        <v>1</v>
      </c>
      <c r="X394">
        <v>0.08</v>
      </c>
      <c r="Y394">
        <v>0</v>
      </c>
      <c r="Z394">
        <v>0.9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90</v>
      </c>
      <c r="AG394">
        <v>0.11499999999999999</v>
      </c>
      <c r="AH394">
        <v>2</v>
      </c>
      <c r="AI394">
        <v>145051787</v>
      </c>
      <c r="AJ394">
        <v>394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ROW(Source!A162)</f>
        <v>162</v>
      </c>
      <c r="B395">
        <v>145051788</v>
      </c>
      <c r="C395">
        <v>145051781</v>
      </c>
      <c r="D395">
        <v>140923885</v>
      </c>
      <c r="E395">
        <v>1</v>
      </c>
      <c r="F395">
        <v>1</v>
      </c>
      <c r="G395">
        <v>1</v>
      </c>
      <c r="H395">
        <v>2</v>
      </c>
      <c r="I395" t="s">
        <v>732</v>
      </c>
      <c r="J395" t="s">
        <v>733</v>
      </c>
      <c r="K395" t="s">
        <v>734</v>
      </c>
      <c r="L395">
        <v>1367</v>
      </c>
      <c r="N395">
        <v>1011</v>
      </c>
      <c r="O395" t="s">
        <v>79</v>
      </c>
      <c r="P395" t="s">
        <v>79</v>
      </c>
      <c r="Q395">
        <v>1</v>
      </c>
      <c r="X395">
        <v>0.17</v>
      </c>
      <c r="Y395">
        <v>0</v>
      </c>
      <c r="Z395">
        <v>65.709999999999994</v>
      </c>
      <c r="AA395">
        <v>11.6</v>
      </c>
      <c r="AB395">
        <v>0</v>
      </c>
      <c r="AC395">
        <v>0</v>
      </c>
      <c r="AD395">
        <v>1</v>
      </c>
      <c r="AE395">
        <v>0</v>
      </c>
      <c r="AF395" t="s">
        <v>90</v>
      </c>
      <c r="AG395">
        <v>0.24437500000000001</v>
      </c>
      <c r="AH395">
        <v>2</v>
      </c>
      <c r="AI395">
        <v>145051788</v>
      </c>
      <c r="AJ395">
        <v>395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ROW(Source!A162)</f>
        <v>162</v>
      </c>
      <c r="B396">
        <v>145051789</v>
      </c>
      <c r="C396">
        <v>145051781</v>
      </c>
      <c r="D396">
        <v>140924041</v>
      </c>
      <c r="E396">
        <v>1</v>
      </c>
      <c r="F396">
        <v>1</v>
      </c>
      <c r="G396">
        <v>1</v>
      </c>
      <c r="H396">
        <v>2</v>
      </c>
      <c r="I396" t="s">
        <v>777</v>
      </c>
      <c r="J396" t="s">
        <v>778</v>
      </c>
      <c r="K396" t="s">
        <v>779</v>
      </c>
      <c r="L396">
        <v>1367</v>
      </c>
      <c r="N396">
        <v>1011</v>
      </c>
      <c r="O396" t="s">
        <v>79</v>
      </c>
      <c r="P396" t="s">
        <v>79</v>
      </c>
      <c r="Q396">
        <v>1</v>
      </c>
      <c r="X396">
        <v>3.02</v>
      </c>
      <c r="Y396">
        <v>0</v>
      </c>
      <c r="Z396">
        <v>1.2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90</v>
      </c>
      <c r="AG396">
        <v>4.3412499999999996</v>
      </c>
      <c r="AH396">
        <v>2</v>
      </c>
      <c r="AI396">
        <v>145051789</v>
      </c>
      <c r="AJ396">
        <v>396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ROW(Source!A162)</f>
        <v>162</v>
      </c>
      <c r="B397">
        <v>145051790</v>
      </c>
      <c r="C397">
        <v>145051781</v>
      </c>
      <c r="D397">
        <v>140924084</v>
      </c>
      <c r="E397">
        <v>1</v>
      </c>
      <c r="F397">
        <v>1</v>
      </c>
      <c r="G397">
        <v>1</v>
      </c>
      <c r="H397">
        <v>2</v>
      </c>
      <c r="I397" t="s">
        <v>971</v>
      </c>
      <c r="J397" t="s">
        <v>972</v>
      </c>
      <c r="K397" t="s">
        <v>973</v>
      </c>
      <c r="L397">
        <v>1367</v>
      </c>
      <c r="N397">
        <v>1011</v>
      </c>
      <c r="O397" t="s">
        <v>79</v>
      </c>
      <c r="P397" t="s">
        <v>79</v>
      </c>
      <c r="Q397">
        <v>1</v>
      </c>
      <c r="X397">
        <v>14</v>
      </c>
      <c r="Y397">
        <v>0</v>
      </c>
      <c r="Z397">
        <v>12.31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90</v>
      </c>
      <c r="AG397">
        <v>20.125</v>
      </c>
      <c r="AH397">
        <v>2</v>
      </c>
      <c r="AI397">
        <v>145051790</v>
      </c>
      <c r="AJ397">
        <v>397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ROW(Source!A162)</f>
        <v>162</v>
      </c>
      <c r="B398">
        <v>145051791</v>
      </c>
      <c r="C398">
        <v>145051781</v>
      </c>
      <c r="D398">
        <v>140771005</v>
      </c>
      <c r="E398">
        <v>1</v>
      </c>
      <c r="F398">
        <v>1</v>
      </c>
      <c r="G398">
        <v>1</v>
      </c>
      <c r="H398">
        <v>3</v>
      </c>
      <c r="I398" t="s">
        <v>786</v>
      </c>
      <c r="J398" t="s">
        <v>787</v>
      </c>
      <c r="K398" t="s">
        <v>788</v>
      </c>
      <c r="L398">
        <v>1339</v>
      </c>
      <c r="N398">
        <v>1007</v>
      </c>
      <c r="O398" t="s">
        <v>66</v>
      </c>
      <c r="P398" t="s">
        <v>66</v>
      </c>
      <c r="Q398">
        <v>1</v>
      </c>
      <c r="X398">
        <v>2.6</v>
      </c>
      <c r="Y398">
        <v>6.22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3</v>
      </c>
      <c r="AG398">
        <v>2.6</v>
      </c>
      <c r="AH398">
        <v>2</v>
      </c>
      <c r="AI398">
        <v>145051791</v>
      </c>
      <c r="AJ398">
        <v>398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ROW(Source!A162)</f>
        <v>162</v>
      </c>
      <c r="B399">
        <v>145051792</v>
      </c>
      <c r="C399">
        <v>145051781</v>
      </c>
      <c r="D399">
        <v>140771011</v>
      </c>
      <c r="E399">
        <v>1</v>
      </c>
      <c r="F399">
        <v>1</v>
      </c>
      <c r="G399">
        <v>1</v>
      </c>
      <c r="H399">
        <v>3</v>
      </c>
      <c r="I399" t="s">
        <v>789</v>
      </c>
      <c r="J399" t="s">
        <v>790</v>
      </c>
      <c r="K399" t="s">
        <v>791</v>
      </c>
      <c r="L399">
        <v>1346</v>
      </c>
      <c r="N399">
        <v>1009</v>
      </c>
      <c r="O399" t="s">
        <v>43</v>
      </c>
      <c r="P399" t="s">
        <v>43</v>
      </c>
      <c r="Q399">
        <v>1</v>
      </c>
      <c r="X399">
        <v>0.78</v>
      </c>
      <c r="Y399">
        <v>6.09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3</v>
      </c>
      <c r="AG399">
        <v>0.78</v>
      </c>
      <c r="AH399">
        <v>2</v>
      </c>
      <c r="AI399">
        <v>145051792</v>
      </c>
      <c r="AJ399">
        <v>399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ROW(Source!A162)</f>
        <v>162</v>
      </c>
      <c r="B400">
        <v>145051793</v>
      </c>
      <c r="C400">
        <v>145051781</v>
      </c>
      <c r="D400">
        <v>140773780</v>
      </c>
      <c r="E400">
        <v>1</v>
      </c>
      <c r="F400">
        <v>1</v>
      </c>
      <c r="G400">
        <v>1</v>
      </c>
      <c r="H400">
        <v>3</v>
      </c>
      <c r="I400" t="s">
        <v>974</v>
      </c>
      <c r="J400" t="s">
        <v>975</v>
      </c>
      <c r="K400" t="s">
        <v>976</v>
      </c>
      <c r="L400">
        <v>1346</v>
      </c>
      <c r="N400">
        <v>1009</v>
      </c>
      <c r="O400" t="s">
        <v>43</v>
      </c>
      <c r="P400" t="s">
        <v>43</v>
      </c>
      <c r="Q400">
        <v>1</v>
      </c>
      <c r="X400">
        <v>16</v>
      </c>
      <c r="Y400">
        <v>10.75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3</v>
      </c>
      <c r="AG400">
        <v>16</v>
      </c>
      <c r="AH400">
        <v>2</v>
      </c>
      <c r="AI400">
        <v>145051793</v>
      </c>
      <c r="AJ400">
        <v>400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ROW(Source!A162)</f>
        <v>162</v>
      </c>
      <c r="B401">
        <v>145051794</v>
      </c>
      <c r="C401">
        <v>145051781</v>
      </c>
      <c r="D401">
        <v>140775017</v>
      </c>
      <c r="E401">
        <v>1</v>
      </c>
      <c r="F401">
        <v>1</v>
      </c>
      <c r="G401">
        <v>1</v>
      </c>
      <c r="H401">
        <v>3</v>
      </c>
      <c r="I401" t="s">
        <v>977</v>
      </c>
      <c r="J401" t="s">
        <v>978</v>
      </c>
      <c r="K401" t="s">
        <v>979</v>
      </c>
      <c r="L401">
        <v>1346</v>
      </c>
      <c r="N401">
        <v>1009</v>
      </c>
      <c r="O401" t="s">
        <v>43</v>
      </c>
      <c r="P401" t="s">
        <v>43</v>
      </c>
      <c r="Q401">
        <v>1</v>
      </c>
      <c r="X401">
        <v>0</v>
      </c>
      <c r="Y401">
        <v>9.0399999999999991</v>
      </c>
      <c r="Z401">
        <v>0</v>
      </c>
      <c r="AA401">
        <v>0</v>
      </c>
      <c r="AB401">
        <v>0</v>
      </c>
      <c r="AC401">
        <v>1</v>
      </c>
      <c r="AD401">
        <v>0</v>
      </c>
      <c r="AE401">
        <v>0</v>
      </c>
      <c r="AF401" t="s">
        <v>3</v>
      </c>
      <c r="AG401">
        <v>0</v>
      </c>
      <c r="AH401">
        <v>2</v>
      </c>
      <c r="AI401">
        <v>145051794</v>
      </c>
      <c r="AJ401">
        <v>401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ROW(Source!A162)</f>
        <v>162</v>
      </c>
      <c r="B402">
        <v>145051795</v>
      </c>
      <c r="C402">
        <v>145051781</v>
      </c>
      <c r="D402">
        <v>140775118</v>
      </c>
      <c r="E402">
        <v>1</v>
      </c>
      <c r="F402">
        <v>1</v>
      </c>
      <c r="G402">
        <v>1</v>
      </c>
      <c r="H402">
        <v>3</v>
      </c>
      <c r="I402" t="s">
        <v>980</v>
      </c>
      <c r="J402" t="s">
        <v>981</v>
      </c>
      <c r="K402" t="s">
        <v>982</v>
      </c>
      <c r="L402">
        <v>1348</v>
      </c>
      <c r="N402">
        <v>1009</v>
      </c>
      <c r="O402" t="s">
        <v>105</v>
      </c>
      <c r="P402" t="s">
        <v>105</v>
      </c>
      <c r="Q402">
        <v>1000</v>
      </c>
      <c r="X402">
        <v>1.0000000000000001E-5</v>
      </c>
      <c r="Y402">
        <v>11978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1.0000000000000001E-5</v>
      </c>
      <c r="AH402">
        <v>2</v>
      </c>
      <c r="AI402">
        <v>145051795</v>
      </c>
      <c r="AJ402">
        <v>402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ROW(Source!A162)</f>
        <v>162</v>
      </c>
      <c r="B403">
        <v>145051796</v>
      </c>
      <c r="C403">
        <v>145051781</v>
      </c>
      <c r="D403">
        <v>140776229</v>
      </c>
      <c r="E403">
        <v>1</v>
      </c>
      <c r="F403">
        <v>1</v>
      </c>
      <c r="G403">
        <v>1</v>
      </c>
      <c r="H403">
        <v>3</v>
      </c>
      <c r="I403" t="s">
        <v>983</v>
      </c>
      <c r="J403" t="s">
        <v>984</v>
      </c>
      <c r="K403" t="s">
        <v>985</v>
      </c>
      <c r="L403">
        <v>1348</v>
      </c>
      <c r="N403">
        <v>1009</v>
      </c>
      <c r="O403" t="s">
        <v>105</v>
      </c>
      <c r="P403" t="s">
        <v>105</v>
      </c>
      <c r="Q403">
        <v>1000</v>
      </c>
      <c r="X403">
        <v>1E-4</v>
      </c>
      <c r="Y403">
        <v>37900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F403" t="s">
        <v>3</v>
      </c>
      <c r="AG403">
        <v>1E-4</v>
      </c>
      <c r="AH403">
        <v>2</v>
      </c>
      <c r="AI403">
        <v>145051796</v>
      </c>
      <c r="AJ403">
        <v>403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ROW(Source!A162)</f>
        <v>162</v>
      </c>
      <c r="B404">
        <v>145051797</v>
      </c>
      <c r="C404">
        <v>145051781</v>
      </c>
      <c r="D404">
        <v>140761923</v>
      </c>
      <c r="E404">
        <v>70</v>
      </c>
      <c r="F404">
        <v>1</v>
      </c>
      <c r="G404">
        <v>1</v>
      </c>
      <c r="H404">
        <v>3</v>
      </c>
      <c r="I404" t="s">
        <v>1086</v>
      </c>
      <c r="J404" t="s">
        <v>3</v>
      </c>
      <c r="K404" t="s">
        <v>960</v>
      </c>
      <c r="L404">
        <v>1348</v>
      </c>
      <c r="N404">
        <v>1009</v>
      </c>
      <c r="O404" t="s">
        <v>105</v>
      </c>
      <c r="P404" t="s">
        <v>105</v>
      </c>
      <c r="Q404">
        <v>1000</v>
      </c>
      <c r="X404">
        <v>1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 t="s">
        <v>3</v>
      </c>
      <c r="AG404">
        <v>1</v>
      </c>
      <c r="AH404">
        <v>2</v>
      </c>
      <c r="AI404">
        <v>145051797</v>
      </c>
      <c r="AJ404">
        <v>404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ROW(Source!A162)</f>
        <v>162</v>
      </c>
      <c r="B405">
        <v>145051798</v>
      </c>
      <c r="C405">
        <v>145051781</v>
      </c>
      <c r="D405">
        <v>140789856</v>
      </c>
      <c r="E405">
        <v>1</v>
      </c>
      <c r="F405">
        <v>1</v>
      </c>
      <c r="G405">
        <v>1</v>
      </c>
      <c r="H405">
        <v>3</v>
      </c>
      <c r="I405" t="s">
        <v>986</v>
      </c>
      <c r="J405" t="s">
        <v>987</v>
      </c>
      <c r="K405" t="s">
        <v>988</v>
      </c>
      <c r="L405">
        <v>1348</v>
      </c>
      <c r="N405">
        <v>1009</v>
      </c>
      <c r="O405" t="s">
        <v>105</v>
      </c>
      <c r="P405" t="s">
        <v>105</v>
      </c>
      <c r="Q405">
        <v>1000</v>
      </c>
      <c r="X405">
        <v>1E-3</v>
      </c>
      <c r="Y405">
        <v>7712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F405" t="s">
        <v>3</v>
      </c>
      <c r="AG405">
        <v>1E-3</v>
      </c>
      <c r="AH405">
        <v>2</v>
      </c>
      <c r="AI405">
        <v>145051798</v>
      </c>
      <c r="AJ405">
        <v>405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ROW(Source!A162)</f>
        <v>162</v>
      </c>
      <c r="B406">
        <v>145051799</v>
      </c>
      <c r="C406">
        <v>145051781</v>
      </c>
      <c r="D406">
        <v>140791984</v>
      </c>
      <c r="E406">
        <v>1</v>
      </c>
      <c r="F406">
        <v>1</v>
      </c>
      <c r="G406">
        <v>1</v>
      </c>
      <c r="H406">
        <v>3</v>
      </c>
      <c r="I406" t="s">
        <v>989</v>
      </c>
      <c r="J406" t="s">
        <v>990</v>
      </c>
      <c r="K406" t="s">
        <v>991</v>
      </c>
      <c r="L406">
        <v>1302</v>
      </c>
      <c r="N406">
        <v>1003</v>
      </c>
      <c r="O406" t="s">
        <v>928</v>
      </c>
      <c r="P406" t="s">
        <v>928</v>
      </c>
      <c r="Q406">
        <v>10</v>
      </c>
      <c r="X406">
        <v>1.8700000000000001E-2</v>
      </c>
      <c r="Y406">
        <v>50.24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3</v>
      </c>
      <c r="AG406">
        <v>1.8700000000000001E-2</v>
      </c>
      <c r="AH406">
        <v>2</v>
      </c>
      <c r="AI406">
        <v>145051799</v>
      </c>
      <c r="AJ406">
        <v>406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ROW(Source!A162)</f>
        <v>162</v>
      </c>
      <c r="B407">
        <v>145051800</v>
      </c>
      <c r="C407">
        <v>145051781</v>
      </c>
      <c r="D407">
        <v>140792339</v>
      </c>
      <c r="E407">
        <v>1</v>
      </c>
      <c r="F407">
        <v>1</v>
      </c>
      <c r="G407">
        <v>1</v>
      </c>
      <c r="H407">
        <v>3</v>
      </c>
      <c r="I407" t="s">
        <v>832</v>
      </c>
      <c r="J407" t="s">
        <v>833</v>
      </c>
      <c r="K407" t="s">
        <v>834</v>
      </c>
      <c r="L407">
        <v>1348</v>
      </c>
      <c r="N407">
        <v>1009</v>
      </c>
      <c r="O407" t="s">
        <v>105</v>
      </c>
      <c r="P407" t="s">
        <v>105</v>
      </c>
      <c r="Q407">
        <v>1000</v>
      </c>
      <c r="X407">
        <v>3.0000000000000001E-5</v>
      </c>
      <c r="Y407">
        <v>4455.2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0</v>
      </c>
      <c r="AF407" t="s">
        <v>3</v>
      </c>
      <c r="AG407">
        <v>3.0000000000000001E-5</v>
      </c>
      <c r="AH407">
        <v>2</v>
      </c>
      <c r="AI407">
        <v>145051800</v>
      </c>
      <c r="AJ407">
        <v>407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ROW(Source!A162)</f>
        <v>162</v>
      </c>
      <c r="B408">
        <v>145051801</v>
      </c>
      <c r="C408">
        <v>145051781</v>
      </c>
      <c r="D408">
        <v>140793072</v>
      </c>
      <c r="E408">
        <v>1</v>
      </c>
      <c r="F408">
        <v>1</v>
      </c>
      <c r="G408">
        <v>1</v>
      </c>
      <c r="H408">
        <v>3</v>
      </c>
      <c r="I408" t="s">
        <v>992</v>
      </c>
      <c r="J408" t="s">
        <v>993</v>
      </c>
      <c r="K408" t="s">
        <v>994</v>
      </c>
      <c r="L408">
        <v>1348</v>
      </c>
      <c r="N408">
        <v>1009</v>
      </c>
      <c r="O408" t="s">
        <v>105</v>
      </c>
      <c r="P408" t="s">
        <v>105</v>
      </c>
      <c r="Q408">
        <v>1000</v>
      </c>
      <c r="X408">
        <v>1.9400000000000001E-3</v>
      </c>
      <c r="Y408">
        <v>4920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 t="s">
        <v>3</v>
      </c>
      <c r="AG408">
        <v>1.9400000000000001E-3</v>
      </c>
      <c r="AH408">
        <v>2</v>
      </c>
      <c r="AI408">
        <v>145051801</v>
      </c>
      <c r="AJ408">
        <v>408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ROW(Source!A162)</f>
        <v>162</v>
      </c>
      <c r="B409">
        <v>145051802</v>
      </c>
      <c r="C409">
        <v>145051781</v>
      </c>
      <c r="D409">
        <v>140804058</v>
      </c>
      <c r="E409">
        <v>1</v>
      </c>
      <c r="F409">
        <v>1</v>
      </c>
      <c r="G409">
        <v>1</v>
      </c>
      <c r="H409">
        <v>3</v>
      </c>
      <c r="I409" t="s">
        <v>998</v>
      </c>
      <c r="J409" t="s">
        <v>999</v>
      </c>
      <c r="K409" t="s">
        <v>1000</v>
      </c>
      <c r="L409">
        <v>1348</v>
      </c>
      <c r="N409">
        <v>1009</v>
      </c>
      <c r="O409" t="s">
        <v>105</v>
      </c>
      <c r="P409" t="s">
        <v>105</v>
      </c>
      <c r="Q409">
        <v>1000</v>
      </c>
      <c r="X409">
        <v>3.1E-4</v>
      </c>
      <c r="Y409">
        <v>15620</v>
      </c>
      <c r="Z409">
        <v>0</v>
      </c>
      <c r="AA409">
        <v>0</v>
      </c>
      <c r="AB409">
        <v>0</v>
      </c>
      <c r="AC409">
        <v>0</v>
      </c>
      <c r="AD409">
        <v>1</v>
      </c>
      <c r="AE409">
        <v>0</v>
      </c>
      <c r="AF409" t="s">
        <v>3</v>
      </c>
      <c r="AG409">
        <v>3.1E-4</v>
      </c>
      <c r="AH409">
        <v>2</v>
      </c>
      <c r="AI409">
        <v>145051802</v>
      </c>
      <c r="AJ409">
        <v>409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ROW(Source!A162)</f>
        <v>162</v>
      </c>
      <c r="B410">
        <v>145051803</v>
      </c>
      <c r="C410">
        <v>145051781</v>
      </c>
      <c r="D410">
        <v>140805182</v>
      </c>
      <c r="E410">
        <v>1</v>
      </c>
      <c r="F410">
        <v>1</v>
      </c>
      <c r="G410">
        <v>1</v>
      </c>
      <c r="H410">
        <v>3</v>
      </c>
      <c r="I410" t="s">
        <v>1001</v>
      </c>
      <c r="J410" t="s">
        <v>1002</v>
      </c>
      <c r="K410" t="s">
        <v>1003</v>
      </c>
      <c r="L410">
        <v>1346</v>
      </c>
      <c r="N410">
        <v>1009</v>
      </c>
      <c r="O410" t="s">
        <v>43</v>
      </c>
      <c r="P410" t="s">
        <v>43</v>
      </c>
      <c r="Q410">
        <v>1</v>
      </c>
      <c r="X410">
        <v>0.6</v>
      </c>
      <c r="Y410">
        <v>9.42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3</v>
      </c>
      <c r="AG410">
        <v>0.6</v>
      </c>
      <c r="AH410">
        <v>2</v>
      </c>
      <c r="AI410">
        <v>145051803</v>
      </c>
      <c r="AJ410">
        <v>410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ROW(Source!A164)</f>
        <v>164</v>
      </c>
      <c r="B411">
        <v>145051896</v>
      </c>
      <c r="C411">
        <v>145051893</v>
      </c>
      <c r="D411">
        <v>140755433</v>
      </c>
      <c r="E411">
        <v>70</v>
      </c>
      <c r="F411">
        <v>1</v>
      </c>
      <c r="G411">
        <v>1</v>
      </c>
      <c r="H411">
        <v>1</v>
      </c>
      <c r="I411" t="s">
        <v>745</v>
      </c>
      <c r="J411" t="s">
        <v>3</v>
      </c>
      <c r="K411" t="s">
        <v>746</v>
      </c>
      <c r="L411">
        <v>1191</v>
      </c>
      <c r="N411">
        <v>1013</v>
      </c>
      <c r="O411" t="s">
        <v>725</v>
      </c>
      <c r="P411" t="s">
        <v>725</v>
      </c>
      <c r="Q411">
        <v>1</v>
      </c>
      <c r="X411">
        <v>7.0000000000000007E-2</v>
      </c>
      <c r="Y411">
        <v>0</v>
      </c>
      <c r="Z411">
        <v>0</v>
      </c>
      <c r="AA411">
        <v>0</v>
      </c>
      <c r="AB411">
        <v>8.5299999999999994</v>
      </c>
      <c r="AC411">
        <v>0</v>
      </c>
      <c r="AD411">
        <v>1</v>
      </c>
      <c r="AE411">
        <v>1</v>
      </c>
      <c r="AF411" t="s">
        <v>3</v>
      </c>
      <c r="AG411">
        <v>7.0000000000000007E-2</v>
      </c>
      <c r="AH411">
        <v>2</v>
      </c>
      <c r="AI411">
        <v>145051894</v>
      </c>
      <c r="AJ411">
        <v>411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ROW(Source!A164)</f>
        <v>164</v>
      </c>
      <c r="B412">
        <v>145051897</v>
      </c>
      <c r="C412">
        <v>145051893</v>
      </c>
      <c r="D412">
        <v>140924755</v>
      </c>
      <c r="E412">
        <v>1</v>
      </c>
      <c r="F412">
        <v>1</v>
      </c>
      <c r="G412">
        <v>1</v>
      </c>
      <c r="H412">
        <v>2</v>
      </c>
      <c r="I412" t="s">
        <v>1066</v>
      </c>
      <c r="J412" t="s">
        <v>1067</v>
      </c>
      <c r="K412" t="s">
        <v>1068</v>
      </c>
      <c r="L412">
        <v>1367</v>
      </c>
      <c r="N412">
        <v>1011</v>
      </c>
      <c r="O412" t="s">
        <v>79</v>
      </c>
      <c r="P412" t="s">
        <v>79</v>
      </c>
      <c r="Q412">
        <v>1</v>
      </c>
      <c r="X412">
        <v>0.1</v>
      </c>
      <c r="Y412">
        <v>0</v>
      </c>
      <c r="Z412">
        <v>3.29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0.1</v>
      </c>
      <c r="AH412">
        <v>2</v>
      </c>
      <c r="AI412">
        <v>145051895</v>
      </c>
      <c r="AJ412">
        <v>412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ROW(Source!A165)</f>
        <v>165</v>
      </c>
      <c r="B413">
        <v>145051906</v>
      </c>
      <c r="C413">
        <v>145051898</v>
      </c>
      <c r="D413">
        <v>140755435</v>
      </c>
      <c r="E413">
        <v>70</v>
      </c>
      <c r="F413">
        <v>1</v>
      </c>
      <c r="G413">
        <v>1</v>
      </c>
      <c r="H413">
        <v>1</v>
      </c>
      <c r="I413" t="s">
        <v>848</v>
      </c>
      <c r="J413" t="s">
        <v>3</v>
      </c>
      <c r="K413" t="s">
        <v>849</v>
      </c>
      <c r="L413">
        <v>1191</v>
      </c>
      <c r="N413">
        <v>1013</v>
      </c>
      <c r="O413" t="s">
        <v>725</v>
      </c>
      <c r="P413" t="s">
        <v>725</v>
      </c>
      <c r="Q413">
        <v>1</v>
      </c>
      <c r="X413">
        <v>9.08</v>
      </c>
      <c r="Y413">
        <v>0</v>
      </c>
      <c r="Z413">
        <v>0</v>
      </c>
      <c r="AA413">
        <v>0</v>
      </c>
      <c r="AB413">
        <v>8.74</v>
      </c>
      <c r="AC413">
        <v>0</v>
      </c>
      <c r="AD413">
        <v>1</v>
      </c>
      <c r="AE413">
        <v>1</v>
      </c>
      <c r="AF413" t="s">
        <v>3</v>
      </c>
      <c r="AG413">
        <v>9.08</v>
      </c>
      <c r="AH413">
        <v>2</v>
      </c>
      <c r="AI413">
        <v>145051899</v>
      </c>
      <c r="AJ413">
        <v>413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ROW(Source!A165)</f>
        <v>165</v>
      </c>
      <c r="B414">
        <v>145051907</v>
      </c>
      <c r="C414">
        <v>145051898</v>
      </c>
      <c r="D414">
        <v>140755491</v>
      </c>
      <c r="E414">
        <v>70</v>
      </c>
      <c r="F414">
        <v>1</v>
      </c>
      <c r="G414">
        <v>1</v>
      </c>
      <c r="H414">
        <v>1</v>
      </c>
      <c r="I414" t="s">
        <v>730</v>
      </c>
      <c r="J414" t="s">
        <v>3</v>
      </c>
      <c r="K414" t="s">
        <v>731</v>
      </c>
      <c r="L414">
        <v>1191</v>
      </c>
      <c r="N414">
        <v>1013</v>
      </c>
      <c r="O414" t="s">
        <v>725</v>
      </c>
      <c r="P414" t="s">
        <v>725</v>
      </c>
      <c r="Q414">
        <v>1</v>
      </c>
      <c r="X414">
        <v>0.03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2</v>
      </c>
      <c r="AF414" t="s">
        <v>3</v>
      </c>
      <c r="AG414">
        <v>0.03</v>
      </c>
      <c r="AH414">
        <v>2</v>
      </c>
      <c r="AI414">
        <v>145051900</v>
      </c>
      <c r="AJ414">
        <v>414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ROW(Source!A165)</f>
        <v>165</v>
      </c>
      <c r="B415">
        <v>145051908</v>
      </c>
      <c r="C415">
        <v>145051898</v>
      </c>
      <c r="D415">
        <v>140923086</v>
      </c>
      <c r="E415">
        <v>1</v>
      </c>
      <c r="F415">
        <v>1</v>
      </c>
      <c r="G415">
        <v>1</v>
      </c>
      <c r="H415">
        <v>2</v>
      </c>
      <c r="I415" t="s">
        <v>953</v>
      </c>
      <c r="J415" t="s">
        <v>954</v>
      </c>
      <c r="K415" t="s">
        <v>955</v>
      </c>
      <c r="L415">
        <v>1367</v>
      </c>
      <c r="N415">
        <v>1011</v>
      </c>
      <c r="O415" t="s">
        <v>79</v>
      </c>
      <c r="P415" t="s">
        <v>79</v>
      </c>
      <c r="Q415">
        <v>1</v>
      </c>
      <c r="X415">
        <v>0.01</v>
      </c>
      <c r="Y415">
        <v>0</v>
      </c>
      <c r="Z415">
        <v>1.7</v>
      </c>
      <c r="AA415">
        <v>0</v>
      </c>
      <c r="AB415">
        <v>0</v>
      </c>
      <c r="AC415">
        <v>0</v>
      </c>
      <c r="AD415">
        <v>1</v>
      </c>
      <c r="AE415">
        <v>0</v>
      </c>
      <c r="AF415" t="s">
        <v>3</v>
      </c>
      <c r="AG415">
        <v>0.01</v>
      </c>
      <c r="AH415">
        <v>2</v>
      </c>
      <c r="AI415">
        <v>145051901</v>
      </c>
      <c r="AJ415">
        <v>415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ROW(Source!A165)</f>
        <v>165</v>
      </c>
      <c r="B416">
        <v>145051909</v>
      </c>
      <c r="C416">
        <v>145051898</v>
      </c>
      <c r="D416">
        <v>140923105</v>
      </c>
      <c r="E416">
        <v>1</v>
      </c>
      <c r="F416">
        <v>1</v>
      </c>
      <c r="G416">
        <v>1</v>
      </c>
      <c r="H416">
        <v>2</v>
      </c>
      <c r="I416" t="s">
        <v>823</v>
      </c>
      <c r="J416" t="s">
        <v>824</v>
      </c>
      <c r="K416" t="s">
        <v>825</v>
      </c>
      <c r="L416">
        <v>1367</v>
      </c>
      <c r="N416">
        <v>1011</v>
      </c>
      <c r="O416" t="s">
        <v>79</v>
      </c>
      <c r="P416" t="s">
        <v>79</v>
      </c>
      <c r="Q416">
        <v>1</v>
      </c>
      <c r="X416">
        <v>0.01</v>
      </c>
      <c r="Y416">
        <v>0</v>
      </c>
      <c r="Z416">
        <v>89.99</v>
      </c>
      <c r="AA416">
        <v>10.06</v>
      </c>
      <c r="AB416">
        <v>0</v>
      </c>
      <c r="AC416">
        <v>0</v>
      </c>
      <c r="AD416">
        <v>1</v>
      </c>
      <c r="AE416">
        <v>0</v>
      </c>
      <c r="AF416" t="s">
        <v>3</v>
      </c>
      <c r="AG416">
        <v>0.01</v>
      </c>
      <c r="AH416">
        <v>2</v>
      </c>
      <c r="AI416">
        <v>145051902</v>
      </c>
      <c r="AJ416">
        <v>416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ROW(Source!A165)</f>
        <v>165</v>
      </c>
      <c r="B417">
        <v>145051910</v>
      </c>
      <c r="C417">
        <v>145051898</v>
      </c>
      <c r="D417">
        <v>140923885</v>
      </c>
      <c r="E417">
        <v>1</v>
      </c>
      <c r="F417">
        <v>1</v>
      </c>
      <c r="G417">
        <v>1</v>
      </c>
      <c r="H417">
        <v>2</v>
      </c>
      <c r="I417" t="s">
        <v>732</v>
      </c>
      <c r="J417" t="s">
        <v>733</v>
      </c>
      <c r="K417" t="s">
        <v>734</v>
      </c>
      <c r="L417">
        <v>1367</v>
      </c>
      <c r="N417">
        <v>1011</v>
      </c>
      <c r="O417" t="s">
        <v>79</v>
      </c>
      <c r="P417" t="s">
        <v>79</v>
      </c>
      <c r="Q417">
        <v>1</v>
      </c>
      <c r="X417">
        <v>0.02</v>
      </c>
      <c r="Y417">
        <v>0</v>
      </c>
      <c r="Z417">
        <v>65.709999999999994</v>
      </c>
      <c r="AA417">
        <v>11.6</v>
      </c>
      <c r="AB417">
        <v>0</v>
      </c>
      <c r="AC417">
        <v>0</v>
      </c>
      <c r="AD417">
        <v>1</v>
      </c>
      <c r="AE417">
        <v>0</v>
      </c>
      <c r="AF417" t="s">
        <v>3</v>
      </c>
      <c r="AG417">
        <v>0.02</v>
      </c>
      <c r="AH417">
        <v>2</v>
      </c>
      <c r="AI417">
        <v>145051903</v>
      </c>
      <c r="AJ417">
        <v>417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ROW(Source!A165)</f>
        <v>165</v>
      </c>
      <c r="B418">
        <v>145051911</v>
      </c>
      <c r="C418">
        <v>145051898</v>
      </c>
      <c r="D418">
        <v>140776226</v>
      </c>
      <c r="E418">
        <v>1</v>
      </c>
      <c r="F418">
        <v>1</v>
      </c>
      <c r="G418">
        <v>1</v>
      </c>
      <c r="H418">
        <v>3</v>
      </c>
      <c r="I418" t="s">
        <v>818</v>
      </c>
      <c r="J418" t="s">
        <v>819</v>
      </c>
      <c r="K418" t="s">
        <v>820</v>
      </c>
      <c r="L418">
        <v>1346</v>
      </c>
      <c r="N418">
        <v>1009</v>
      </c>
      <c r="O418" t="s">
        <v>43</v>
      </c>
      <c r="P418" t="s">
        <v>43</v>
      </c>
      <c r="Q418">
        <v>1</v>
      </c>
      <c r="X418">
        <v>5</v>
      </c>
      <c r="Y418">
        <v>1.82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 t="s">
        <v>3</v>
      </c>
      <c r="AG418">
        <v>5</v>
      </c>
      <c r="AH418">
        <v>2</v>
      </c>
      <c r="AI418">
        <v>145051904</v>
      </c>
      <c r="AJ418">
        <v>418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ROW(Source!A165)</f>
        <v>165</v>
      </c>
      <c r="B419">
        <v>145051912</v>
      </c>
      <c r="C419">
        <v>145051898</v>
      </c>
      <c r="D419">
        <v>140805221</v>
      </c>
      <c r="E419">
        <v>1</v>
      </c>
      <c r="F419">
        <v>1</v>
      </c>
      <c r="G419">
        <v>1</v>
      </c>
      <c r="H419">
        <v>3</v>
      </c>
      <c r="I419" t="s">
        <v>1069</v>
      </c>
      <c r="J419" t="s">
        <v>1070</v>
      </c>
      <c r="K419" t="s">
        <v>1071</v>
      </c>
      <c r="L419">
        <v>1346</v>
      </c>
      <c r="N419">
        <v>1009</v>
      </c>
      <c r="O419" t="s">
        <v>43</v>
      </c>
      <c r="P419" t="s">
        <v>43</v>
      </c>
      <c r="Q419">
        <v>1</v>
      </c>
      <c r="X419">
        <v>32</v>
      </c>
      <c r="Y419">
        <v>6.67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3</v>
      </c>
      <c r="AG419">
        <v>32</v>
      </c>
      <c r="AH419">
        <v>2</v>
      </c>
      <c r="AI419">
        <v>145051905</v>
      </c>
      <c r="AJ419">
        <v>419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ROW(Source!A166)</f>
        <v>166</v>
      </c>
      <c r="B420">
        <v>145051922</v>
      </c>
      <c r="C420">
        <v>145051913</v>
      </c>
      <c r="D420">
        <v>140755438</v>
      </c>
      <c r="E420">
        <v>70</v>
      </c>
      <c r="F420">
        <v>1</v>
      </c>
      <c r="G420">
        <v>1</v>
      </c>
      <c r="H420">
        <v>1</v>
      </c>
      <c r="I420" t="s">
        <v>867</v>
      </c>
      <c r="J420" t="s">
        <v>3</v>
      </c>
      <c r="K420" t="s">
        <v>868</v>
      </c>
      <c r="L420">
        <v>1191</v>
      </c>
      <c r="N420">
        <v>1013</v>
      </c>
      <c r="O420" t="s">
        <v>725</v>
      </c>
      <c r="P420" t="s">
        <v>725</v>
      </c>
      <c r="Q420">
        <v>1</v>
      </c>
      <c r="X420">
        <v>2.13</v>
      </c>
      <c r="Y420">
        <v>0</v>
      </c>
      <c r="Z420">
        <v>0</v>
      </c>
      <c r="AA420">
        <v>0</v>
      </c>
      <c r="AB420">
        <v>9.07</v>
      </c>
      <c r="AC420">
        <v>0</v>
      </c>
      <c r="AD420">
        <v>1</v>
      </c>
      <c r="AE420">
        <v>1</v>
      </c>
      <c r="AF420" t="s">
        <v>531</v>
      </c>
      <c r="AG420">
        <v>6.39</v>
      </c>
      <c r="AH420">
        <v>2</v>
      </c>
      <c r="AI420">
        <v>145051914</v>
      </c>
      <c r="AJ420">
        <v>420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ROW(Source!A166)</f>
        <v>166</v>
      </c>
      <c r="B421">
        <v>145051923</v>
      </c>
      <c r="C421">
        <v>145051913</v>
      </c>
      <c r="D421">
        <v>140755491</v>
      </c>
      <c r="E421">
        <v>70</v>
      </c>
      <c r="F421">
        <v>1</v>
      </c>
      <c r="G421">
        <v>1</v>
      </c>
      <c r="H421">
        <v>1</v>
      </c>
      <c r="I421" t="s">
        <v>730</v>
      </c>
      <c r="J421" t="s">
        <v>3</v>
      </c>
      <c r="K421" t="s">
        <v>731</v>
      </c>
      <c r="L421">
        <v>1191</v>
      </c>
      <c r="N421">
        <v>1013</v>
      </c>
      <c r="O421" t="s">
        <v>725</v>
      </c>
      <c r="P421" t="s">
        <v>725</v>
      </c>
      <c r="Q421">
        <v>1</v>
      </c>
      <c r="X421">
        <v>0.02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2</v>
      </c>
      <c r="AF421" t="s">
        <v>531</v>
      </c>
      <c r="AG421">
        <v>0.06</v>
      </c>
      <c r="AH421">
        <v>2</v>
      </c>
      <c r="AI421">
        <v>145051915</v>
      </c>
      <c r="AJ421">
        <v>421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ROW(Source!A166)</f>
        <v>166</v>
      </c>
      <c r="B422">
        <v>145051924</v>
      </c>
      <c r="C422">
        <v>145051913</v>
      </c>
      <c r="D422">
        <v>140923086</v>
      </c>
      <c r="E422">
        <v>1</v>
      </c>
      <c r="F422">
        <v>1</v>
      </c>
      <c r="G422">
        <v>1</v>
      </c>
      <c r="H422">
        <v>2</v>
      </c>
      <c r="I422" t="s">
        <v>953</v>
      </c>
      <c r="J422" t="s">
        <v>954</v>
      </c>
      <c r="K422" t="s">
        <v>955</v>
      </c>
      <c r="L422">
        <v>1367</v>
      </c>
      <c r="N422">
        <v>1011</v>
      </c>
      <c r="O422" t="s">
        <v>79</v>
      </c>
      <c r="P422" t="s">
        <v>79</v>
      </c>
      <c r="Q422">
        <v>1</v>
      </c>
      <c r="X422">
        <v>0.01</v>
      </c>
      <c r="Y422">
        <v>0</v>
      </c>
      <c r="Z422">
        <v>1.7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531</v>
      </c>
      <c r="AG422">
        <v>0.03</v>
      </c>
      <c r="AH422">
        <v>2</v>
      </c>
      <c r="AI422">
        <v>145051916</v>
      </c>
      <c r="AJ422">
        <v>422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ROW(Source!A166)</f>
        <v>166</v>
      </c>
      <c r="B423">
        <v>145051925</v>
      </c>
      <c r="C423">
        <v>145051913</v>
      </c>
      <c r="D423">
        <v>140923105</v>
      </c>
      <c r="E423">
        <v>1</v>
      </c>
      <c r="F423">
        <v>1</v>
      </c>
      <c r="G423">
        <v>1</v>
      </c>
      <c r="H423">
        <v>2</v>
      </c>
      <c r="I423" t="s">
        <v>823</v>
      </c>
      <c r="J423" t="s">
        <v>824</v>
      </c>
      <c r="K423" t="s">
        <v>825</v>
      </c>
      <c r="L423">
        <v>1367</v>
      </c>
      <c r="N423">
        <v>1011</v>
      </c>
      <c r="O423" t="s">
        <v>79</v>
      </c>
      <c r="P423" t="s">
        <v>79</v>
      </c>
      <c r="Q423">
        <v>1</v>
      </c>
      <c r="X423">
        <v>0.01</v>
      </c>
      <c r="Y423">
        <v>0</v>
      </c>
      <c r="Z423">
        <v>89.99</v>
      </c>
      <c r="AA423">
        <v>10.06</v>
      </c>
      <c r="AB423">
        <v>0</v>
      </c>
      <c r="AC423">
        <v>0</v>
      </c>
      <c r="AD423">
        <v>1</v>
      </c>
      <c r="AE423">
        <v>0</v>
      </c>
      <c r="AF423" t="s">
        <v>531</v>
      </c>
      <c r="AG423">
        <v>0.03</v>
      </c>
      <c r="AH423">
        <v>2</v>
      </c>
      <c r="AI423">
        <v>145051917</v>
      </c>
      <c r="AJ423">
        <v>423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ROW(Source!A166)</f>
        <v>166</v>
      </c>
      <c r="B424">
        <v>145051926</v>
      </c>
      <c r="C424">
        <v>145051913</v>
      </c>
      <c r="D424">
        <v>140923885</v>
      </c>
      <c r="E424">
        <v>1</v>
      </c>
      <c r="F424">
        <v>1</v>
      </c>
      <c r="G424">
        <v>1</v>
      </c>
      <c r="H424">
        <v>2</v>
      </c>
      <c r="I424" t="s">
        <v>732</v>
      </c>
      <c r="J424" t="s">
        <v>733</v>
      </c>
      <c r="K424" t="s">
        <v>734</v>
      </c>
      <c r="L424">
        <v>1367</v>
      </c>
      <c r="N424">
        <v>1011</v>
      </c>
      <c r="O424" t="s">
        <v>79</v>
      </c>
      <c r="P424" t="s">
        <v>79</v>
      </c>
      <c r="Q424">
        <v>1</v>
      </c>
      <c r="X424">
        <v>0.01</v>
      </c>
      <c r="Y424">
        <v>0</v>
      </c>
      <c r="Z424">
        <v>65.709999999999994</v>
      </c>
      <c r="AA424">
        <v>11.6</v>
      </c>
      <c r="AB424">
        <v>0</v>
      </c>
      <c r="AC424">
        <v>0</v>
      </c>
      <c r="AD424">
        <v>1</v>
      </c>
      <c r="AE424">
        <v>0</v>
      </c>
      <c r="AF424" t="s">
        <v>531</v>
      </c>
      <c r="AG424">
        <v>0.03</v>
      </c>
      <c r="AH424">
        <v>2</v>
      </c>
      <c r="AI424">
        <v>145051918</v>
      </c>
      <c r="AJ424">
        <v>424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ROW(Source!A166)</f>
        <v>166</v>
      </c>
      <c r="B425">
        <v>145051927</v>
      </c>
      <c r="C425">
        <v>145051913</v>
      </c>
      <c r="D425">
        <v>140924526</v>
      </c>
      <c r="E425">
        <v>1</v>
      </c>
      <c r="F425">
        <v>1</v>
      </c>
      <c r="G425">
        <v>1</v>
      </c>
      <c r="H425">
        <v>2</v>
      </c>
      <c r="I425" t="s">
        <v>815</v>
      </c>
      <c r="J425" t="s">
        <v>816</v>
      </c>
      <c r="K425" t="s">
        <v>817</v>
      </c>
      <c r="L425">
        <v>1367</v>
      </c>
      <c r="N425">
        <v>1011</v>
      </c>
      <c r="O425" t="s">
        <v>79</v>
      </c>
      <c r="P425" t="s">
        <v>79</v>
      </c>
      <c r="Q425">
        <v>1</v>
      </c>
      <c r="X425">
        <v>0.65</v>
      </c>
      <c r="Y425">
        <v>0</v>
      </c>
      <c r="Z425">
        <v>6.82</v>
      </c>
      <c r="AA425">
        <v>0</v>
      </c>
      <c r="AB425">
        <v>0</v>
      </c>
      <c r="AC425">
        <v>0</v>
      </c>
      <c r="AD425">
        <v>1</v>
      </c>
      <c r="AE425">
        <v>0</v>
      </c>
      <c r="AF425" t="s">
        <v>531</v>
      </c>
      <c r="AG425">
        <v>1.9500000000000002</v>
      </c>
      <c r="AH425">
        <v>2</v>
      </c>
      <c r="AI425">
        <v>145051919</v>
      </c>
      <c r="AJ425">
        <v>425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ROW(Source!A166)</f>
        <v>166</v>
      </c>
      <c r="B426">
        <v>145051928</v>
      </c>
      <c r="C426">
        <v>145051913</v>
      </c>
      <c r="D426">
        <v>140804609</v>
      </c>
      <c r="E426">
        <v>1</v>
      </c>
      <c r="F426">
        <v>1</v>
      </c>
      <c r="G426">
        <v>1</v>
      </c>
      <c r="H426">
        <v>3</v>
      </c>
      <c r="I426" t="s">
        <v>535</v>
      </c>
      <c r="J426" t="s">
        <v>537</v>
      </c>
      <c r="K426" t="s">
        <v>536</v>
      </c>
      <c r="L426">
        <v>1348</v>
      </c>
      <c r="N426">
        <v>1009</v>
      </c>
      <c r="O426" t="s">
        <v>105</v>
      </c>
      <c r="P426" t="s">
        <v>105</v>
      </c>
      <c r="Q426">
        <v>1000</v>
      </c>
      <c r="X426">
        <v>8.9999999999999993E-3</v>
      </c>
      <c r="Y426">
        <v>14312.87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531</v>
      </c>
      <c r="AG426">
        <v>2.6999999999999996E-2</v>
      </c>
      <c r="AH426">
        <v>2</v>
      </c>
      <c r="AI426">
        <v>145051920</v>
      </c>
      <c r="AJ426">
        <v>426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ROW(Source!A166)</f>
        <v>166</v>
      </c>
      <c r="B427">
        <v>145051929</v>
      </c>
      <c r="C427">
        <v>145051913</v>
      </c>
      <c r="D427">
        <v>140805221</v>
      </c>
      <c r="E427">
        <v>1</v>
      </c>
      <c r="F427">
        <v>1</v>
      </c>
      <c r="G427">
        <v>1</v>
      </c>
      <c r="H427">
        <v>3</v>
      </c>
      <c r="I427" t="s">
        <v>1069</v>
      </c>
      <c r="J427" t="s">
        <v>1070</v>
      </c>
      <c r="K427" t="s">
        <v>1071</v>
      </c>
      <c r="L427">
        <v>1346</v>
      </c>
      <c r="N427">
        <v>1009</v>
      </c>
      <c r="O427" t="s">
        <v>43</v>
      </c>
      <c r="P427" t="s">
        <v>43</v>
      </c>
      <c r="Q427">
        <v>1</v>
      </c>
      <c r="X427">
        <v>1.4</v>
      </c>
      <c r="Y427">
        <v>6.67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531</v>
      </c>
      <c r="AG427">
        <v>4.1999999999999993</v>
      </c>
      <c r="AH427">
        <v>2</v>
      </c>
      <c r="AI427">
        <v>145051921</v>
      </c>
      <c r="AJ427">
        <v>427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ROW(Source!A169)</f>
        <v>169</v>
      </c>
      <c r="B428">
        <v>145051935</v>
      </c>
      <c r="C428">
        <v>145051934</v>
      </c>
      <c r="D428">
        <v>140760001</v>
      </c>
      <c r="E428">
        <v>70</v>
      </c>
      <c r="F428">
        <v>1</v>
      </c>
      <c r="G428">
        <v>1</v>
      </c>
      <c r="H428">
        <v>1</v>
      </c>
      <c r="I428" t="s">
        <v>867</v>
      </c>
      <c r="J428" t="s">
        <v>3</v>
      </c>
      <c r="K428" t="s">
        <v>868</v>
      </c>
      <c r="L428">
        <v>1191</v>
      </c>
      <c r="N428">
        <v>1013</v>
      </c>
      <c r="O428" t="s">
        <v>725</v>
      </c>
      <c r="P428" t="s">
        <v>725</v>
      </c>
      <c r="Q428">
        <v>1</v>
      </c>
      <c r="X428">
        <v>94</v>
      </c>
      <c r="Y428">
        <v>0</v>
      </c>
      <c r="Z428">
        <v>0</v>
      </c>
      <c r="AA428">
        <v>0</v>
      </c>
      <c r="AB428">
        <v>9.07</v>
      </c>
      <c r="AC428">
        <v>0</v>
      </c>
      <c r="AD428">
        <v>1</v>
      </c>
      <c r="AE428">
        <v>1</v>
      </c>
      <c r="AF428" t="s">
        <v>91</v>
      </c>
      <c r="AG428">
        <v>124.31499999999998</v>
      </c>
      <c r="AH428">
        <v>2</v>
      </c>
      <c r="AI428">
        <v>145051935</v>
      </c>
      <c r="AJ428">
        <v>428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ROW(Source!A169)</f>
        <v>169</v>
      </c>
      <c r="B429">
        <v>145051936</v>
      </c>
      <c r="C429">
        <v>145051934</v>
      </c>
      <c r="D429">
        <v>140760225</v>
      </c>
      <c r="E429">
        <v>70</v>
      </c>
      <c r="F429">
        <v>1</v>
      </c>
      <c r="G429">
        <v>1</v>
      </c>
      <c r="H429">
        <v>1</v>
      </c>
      <c r="I429" t="s">
        <v>730</v>
      </c>
      <c r="J429" t="s">
        <v>3</v>
      </c>
      <c r="K429" t="s">
        <v>731</v>
      </c>
      <c r="L429">
        <v>1191</v>
      </c>
      <c r="N429">
        <v>1013</v>
      </c>
      <c r="O429" t="s">
        <v>725</v>
      </c>
      <c r="P429" t="s">
        <v>725</v>
      </c>
      <c r="Q429">
        <v>1</v>
      </c>
      <c r="X429">
        <v>16.899999999999999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2</v>
      </c>
      <c r="AF429" t="s">
        <v>90</v>
      </c>
      <c r="AG429">
        <v>24.293749999999999</v>
      </c>
      <c r="AH429">
        <v>2</v>
      </c>
      <c r="AI429">
        <v>145051936</v>
      </c>
      <c r="AJ429">
        <v>429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ROW(Source!A169)</f>
        <v>169</v>
      </c>
      <c r="B430">
        <v>145051937</v>
      </c>
      <c r="C430">
        <v>145051934</v>
      </c>
      <c r="D430">
        <v>140922906</v>
      </c>
      <c r="E430">
        <v>1</v>
      </c>
      <c r="F430">
        <v>1</v>
      </c>
      <c r="G430">
        <v>1</v>
      </c>
      <c r="H430">
        <v>2</v>
      </c>
      <c r="I430" t="s">
        <v>962</v>
      </c>
      <c r="J430" t="s">
        <v>963</v>
      </c>
      <c r="K430" t="s">
        <v>964</v>
      </c>
      <c r="L430">
        <v>1367</v>
      </c>
      <c r="N430">
        <v>1011</v>
      </c>
      <c r="O430" t="s">
        <v>79</v>
      </c>
      <c r="P430" t="s">
        <v>79</v>
      </c>
      <c r="Q430">
        <v>1</v>
      </c>
      <c r="X430">
        <v>0.89</v>
      </c>
      <c r="Y430">
        <v>0</v>
      </c>
      <c r="Z430">
        <v>120.24</v>
      </c>
      <c r="AA430">
        <v>15.42</v>
      </c>
      <c r="AB430">
        <v>0</v>
      </c>
      <c r="AC430">
        <v>0</v>
      </c>
      <c r="AD430">
        <v>1</v>
      </c>
      <c r="AE430">
        <v>0</v>
      </c>
      <c r="AF430" t="s">
        <v>90</v>
      </c>
      <c r="AG430">
        <v>1.2793749999999999</v>
      </c>
      <c r="AH430">
        <v>2</v>
      </c>
      <c r="AI430">
        <v>145051937</v>
      </c>
      <c r="AJ430">
        <v>430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ROW(Source!A169)</f>
        <v>169</v>
      </c>
      <c r="B431">
        <v>145051938</v>
      </c>
      <c r="C431">
        <v>145051934</v>
      </c>
      <c r="D431">
        <v>140922951</v>
      </c>
      <c r="E431">
        <v>1</v>
      </c>
      <c r="F431">
        <v>1</v>
      </c>
      <c r="G431">
        <v>1</v>
      </c>
      <c r="H431">
        <v>2</v>
      </c>
      <c r="I431" t="s">
        <v>752</v>
      </c>
      <c r="J431" t="s">
        <v>753</v>
      </c>
      <c r="K431" t="s">
        <v>754</v>
      </c>
      <c r="L431">
        <v>1367</v>
      </c>
      <c r="N431">
        <v>1011</v>
      </c>
      <c r="O431" t="s">
        <v>79</v>
      </c>
      <c r="P431" t="s">
        <v>79</v>
      </c>
      <c r="Q431">
        <v>1</v>
      </c>
      <c r="X431">
        <v>0.34</v>
      </c>
      <c r="Y431">
        <v>0</v>
      </c>
      <c r="Z431">
        <v>115.4</v>
      </c>
      <c r="AA431">
        <v>13.5</v>
      </c>
      <c r="AB431">
        <v>0</v>
      </c>
      <c r="AC431">
        <v>0</v>
      </c>
      <c r="AD431">
        <v>1</v>
      </c>
      <c r="AE431">
        <v>0</v>
      </c>
      <c r="AF431" t="s">
        <v>90</v>
      </c>
      <c r="AG431">
        <v>0.48875000000000002</v>
      </c>
      <c r="AH431">
        <v>2</v>
      </c>
      <c r="AI431">
        <v>145051938</v>
      </c>
      <c r="AJ431">
        <v>431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ROW(Source!A169)</f>
        <v>169</v>
      </c>
      <c r="B432">
        <v>145051939</v>
      </c>
      <c r="C432">
        <v>145051934</v>
      </c>
      <c r="D432">
        <v>140922957</v>
      </c>
      <c r="E432">
        <v>1</v>
      </c>
      <c r="F432">
        <v>1</v>
      </c>
      <c r="G432">
        <v>1</v>
      </c>
      <c r="H432">
        <v>2</v>
      </c>
      <c r="I432" t="s">
        <v>965</v>
      </c>
      <c r="J432" t="s">
        <v>966</v>
      </c>
      <c r="K432" t="s">
        <v>967</v>
      </c>
      <c r="L432">
        <v>1367</v>
      </c>
      <c r="N432">
        <v>1011</v>
      </c>
      <c r="O432" t="s">
        <v>79</v>
      </c>
      <c r="P432" t="s">
        <v>79</v>
      </c>
      <c r="Q432">
        <v>1</v>
      </c>
      <c r="X432">
        <v>5.8</v>
      </c>
      <c r="Y432">
        <v>0</v>
      </c>
      <c r="Z432">
        <v>120.04</v>
      </c>
      <c r="AA432">
        <v>13.5</v>
      </c>
      <c r="AB432">
        <v>0</v>
      </c>
      <c r="AC432">
        <v>0</v>
      </c>
      <c r="AD432">
        <v>1</v>
      </c>
      <c r="AE432">
        <v>0</v>
      </c>
      <c r="AF432" t="s">
        <v>90</v>
      </c>
      <c r="AG432">
        <v>8.3374999999999986</v>
      </c>
      <c r="AH432">
        <v>2</v>
      </c>
      <c r="AI432">
        <v>145051939</v>
      </c>
      <c r="AJ432">
        <v>432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ROW(Source!A169)</f>
        <v>169</v>
      </c>
      <c r="B433">
        <v>145051940</v>
      </c>
      <c r="C433">
        <v>145051934</v>
      </c>
      <c r="D433">
        <v>140922958</v>
      </c>
      <c r="E433">
        <v>1</v>
      </c>
      <c r="F433">
        <v>1</v>
      </c>
      <c r="G433">
        <v>1</v>
      </c>
      <c r="H433">
        <v>2</v>
      </c>
      <c r="I433" t="s">
        <v>1087</v>
      </c>
      <c r="J433" t="s">
        <v>1088</v>
      </c>
      <c r="K433" t="s">
        <v>1089</v>
      </c>
      <c r="L433">
        <v>1367</v>
      </c>
      <c r="N433">
        <v>1011</v>
      </c>
      <c r="O433" t="s">
        <v>79</v>
      </c>
      <c r="P433" t="s">
        <v>79</v>
      </c>
      <c r="Q433">
        <v>1</v>
      </c>
      <c r="X433">
        <v>4.8899999999999997</v>
      </c>
      <c r="Y433">
        <v>0</v>
      </c>
      <c r="Z433">
        <v>175.56</v>
      </c>
      <c r="AA433">
        <v>14.4</v>
      </c>
      <c r="AB433">
        <v>0</v>
      </c>
      <c r="AC433">
        <v>0</v>
      </c>
      <c r="AD433">
        <v>1</v>
      </c>
      <c r="AE433">
        <v>0</v>
      </c>
      <c r="AF433" t="s">
        <v>90</v>
      </c>
      <c r="AG433">
        <v>7.029374999999999</v>
      </c>
      <c r="AH433">
        <v>2</v>
      </c>
      <c r="AI433">
        <v>145051940</v>
      </c>
      <c r="AJ433">
        <v>433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ROW(Source!A169)</f>
        <v>169</v>
      </c>
      <c r="B434">
        <v>145051941</v>
      </c>
      <c r="C434">
        <v>145051934</v>
      </c>
      <c r="D434">
        <v>140922959</v>
      </c>
      <c r="E434">
        <v>1</v>
      </c>
      <c r="F434">
        <v>1</v>
      </c>
      <c r="G434">
        <v>1</v>
      </c>
      <c r="H434">
        <v>2</v>
      </c>
      <c r="I434" t="s">
        <v>1090</v>
      </c>
      <c r="J434" t="s">
        <v>1091</v>
      </c>
      <c r="K434" t="s">
        <v>1092</v>
      </c>
      <c r="L434">
        <v>1367</v>
      </c>
      <c r="N434">
        <v>1011</v>
      </c>
      <c r="O434" t="s">
        <v>79</v>
      </c>
      <c r="P434" t="s">
        <v>79</v>
      </c>
      <c r="Q434">
        <v>1</v>
      </c>
      <c r="X434">
        <v>2.2400000000000002</v>
      </c>
      <c r="Y434">
        <v>0</v>
      </c>
      <c r="Z434">
        <v>290.01</v>
      </c>
      <c r="AA434">
        <v>25.1</v>
      </c>
      <c r="AB434">
        <v>0</v>
      </c>
      <c r="AC434">
        <v>0</v>
      </c>
      <c r="AD434">
        <v>1</v>
      </c>
      <c r="AE434">
        <v>0</v>
      </c>
      <c r="AF434" t="s">
        <v>90</v>
      </c>
      <c r="AG434">
        <v>3.22</v>
      </c>
      <c r="AH434">
        <v>2</v>
      </c>
      <c r="AI434">
        <v>145051941</v>
      </c>
      <c r="AJ434">
        <v>434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ROW(Source!A169)</f>
        <v>169</v>
      </c>
      <c r="B435">
        <v>145051942</v>
      </c>
      <c r="C435">
        <v>145051934</v>
      </c>
      <c r="D435">
        <v>140923032</v>
      </c>
      <c r="E435">
        <v>1</v>
      </c>
      <c r="F435">
        <v>1</v>
      </c>
      <c r="G435">
        <v>1</v>
      </c>
      <c r="H435">
        <v>2</v>
      </c>
      <c r="I435" t="s">
        <v>968</v>
      </c>
      <c r="J435" t="s">
        <v>969</v>
      </c>
      <c r="K435" t="s">
        <v>970</v>
      </c>
      <c r="L435">
        <v>1367</v>
      </c>
      <c r="N435">
        <v>1011</v>
      </c>
      <c r="O435" t="s">
        <v>79</v>
      </c>
      <c r="P435" t="s">
        <v>79</v>
      </c>
      <c r="Q435">
        <v>1</v>
      </c>
      <c r="X435">
        <v>0.99</v>
      </c>
      <c r="Y435">
        <v>0</v>
      </c>
      <c r="Z435">
        <v>0.9</v>
      </c>
      <c r="AA435">
        <v>0</v>
      </c>
      <c r="AB435">
        <v>0</v>
      </c>
      <c r="AC435">
        <v>0</v>
      </c>
      <c r="AD435">
        <v>1</v>
      </c>
      <c r="AE435">
        <v>0</v>
      </c>
      <c r="AF435" t="s">
        <v>90</v>
      </c>
      <c r="AG435">
        <v>1.423125</v>
      </c>
      <c r="AH435">
        <v>2</v>
      </c>
      <c r="AI435">
        <v>145051942</v>
      </c>
      <c r="AJ435">
        <v>435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ROW(Source!A169)</f>
        <v>169</v>
      </c>
      <c r="B436">
        <v>145051943</v>
      </c>
      <c r="C436">
        <v>145051934</v>
      </c>
      <c r="D436">
        <v>140923885</v>
      </c>
      <c r="E436">
        <v>1</v>
      </c>
      <c r="F436">
        <v>1</v>
      </c>
      <c r="G436">
        <v>1</v>
      </c>
      <c r="H436">
        <v>2</v>
      </c>
      <c r="I436" t="s">
        <v>732</v>
      </c>
      <c r="J436" t="s">
        <v>733</v>
      </c>
      <c r="K436" t="s">
        <v>734</v>
      </c>
      <c r="L436">
        <v>1367</v>
      </c>
      <c r="N436">
        <v>1011</v>
      </c>
      <c r="O436" t="s">
        <v>79</v>
      </c>
      <c r="P436" t="s">
        <v>79</v>
      </c>
      <c r="Q436">
        <v>1</v>
      </c>
      <c r="X436">
        <v>0.5</v>
      </c>
      <c r="Y436">
        <v>0</v>
      </c>
      <c r="Z436">
        <v>65.709999999999994</v>
      </c>
      <c r="AA436">
        <v>11.6</v>
      </c>
      <c r="AB436">
        <v>0</v>
      </c>
      <c r="AC436">
        <v>0</v>
      </c>
      <c r="AD436">
        <v>1</v>
      </c>
      <c r="AE436">
        <v>0</v>
      </c>
      <c r="AF436" t="s">
        <v>90</v>
      </c>
      <c r="AG436">
        <v>0.71875</v>
      </c>
      <c r="AH436">
        <v>2</v>
      </c>
      <c r="AI436">
        <v>145051943</v>
      </c>
      <c r="AJ436">
        <v>436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ROW(Source!A169)</f>
        <v>169</v>
      </c>
      <c r="B437">
        <v>145051944</v>
      </c>
      <c r="C437">
        <v>145051934</v>
      </c>
      <c r="D437">
        <v>140924041</v>
      </c>
      <c r="E437">
        <v>1</v>
      </c>
      <c r="F437">
        <v>1</v>
      </c>
      <c r="G437">
        <v>1</v>
      </c>
      <c r="H437">
        <v>2</v>
      </c>
      <c r="I437" t="s">
        <v>777</v>
      </c>
      <c r="J437" t="s">
        <v>778</v>
      </c>
      <c r="K437" t="s">
        <v>779</v>
      </c>
      <c r="L437">
        <v>1367</v>
      </c>
      <c r="N437">
        <v>1011</v>
      </c>
      <c r="O437" t="s">
        <v>79</v>
      </c>
      <c r="P437" t="s">
        <v>79</v>
      </c>
      <c r="Q437">
        <v>1</v>
      </c>
      <c r="X437">
        <v>3.36</v>
      </c>
      <c r="Y437">
        <v>0</v>
      </c>
      <c r="Z437">
        <v>1.2</v>
      </c>
      <c r="AA437">
        <v>0</v>
      </c>
      <c r="AB437">
        <v>0</v>
      </c>
      <c r="AC437">
        <v>0</v>
      </c>
      <c r="AD437">
        <v>1</v>
      </c>
      <c r="AE437">
        <v>0</v>
      </c>
      <c r="AF437" t="s">
        <v>90</v>
      </c>
      <c r="AG437">
        <v>4.83</v>
      </c>
      <c r="AH437">
        <v>2</v>
      </c>
      <c r="AI437">
        <v>145051944</v>
      </c>
      <c r="AJ437">
        <v>437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ROW(Source!A169)</f>
        <v>169</v>
      </c>
      <c r="B438">
        <v>145051945</v>
      </c>
      <c r="C438">
        <v>145051934</v>
      </c>
      <c r="D438">
        <v>140924084</v>
      </c>
      <c r="E438">
        <v>1</v>
      </c>
      <c r="F438">
        <v>1</v>
      </c>
      <c r="G438">
        <v>1</v>
      </c>
      <c r="H438">
        <v>2</v>
      </c>
      <c r="I438" t="s">
        <v>971</v>
      </c>
      <c r="J438" t="s">
        <v>972</v>
      </c>
      <c r="K438" t="s">
        <v>973</v>
      </c>
      <c r="L438">
        <v>1367</v>
      </c>
      <c r="N438">
        <v>1011</v>
      </c>
      <c r="O438" t="s">
        <v>79</v>
      </c>
      <c r="P438" t="s">
        <v>79</v>
      </c>
      <c r="Q438">
        <v>1</v>
      </c>
      <c r="X438">
        <v>0.18</v>
      </c>
      <c r="Y438">
        <v>0</v>
      </c>
      <c r="Z438">
        <v>12.31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90</v>
      </c>
      <c r="AG438">
        <v>0.25874999999999998</v>
      </c>
      <c r="AH438">
        <v>2</v>
      </c>
      <c r="AI438">
        <v>145051945</v>
      </c>
      <c r="AJ438">
        <v>438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ROW(Source!A169)</f>
        <v>169</v>
      </c>
      <c r="B439">
        <v>145051946</v>
      </c>
      <c r="C439">
        <v>145051934</v>
      </c>
      <c r="D439">
        <v>140771005</v>
      </c>
      <c r="E439">
        <v>1</v>
      </c>
      <c r="F439">
        <v>1</v>
      </c>
      <c r="G439">
        <v>1</v>
      </c>
      <c r="H439">
        <v>3</v>
      </c>
      <c r="I439" t="s">
        <v>786</v>
      </c>
      <c r="J439" t="s">
        <v>787</v>
      </c>
      <c r="K439" t="s">
        <v>788</v>
      </c>
      <c r="L439">
        <v>1339</v>
      </c>
      <c r="N439">
        <v>1007</v>
      </c>
      <c r="O439" t="s">
        <v>66</v>
      </c>
      <c r="P439" t="s">
        <v>66</v>
      </c>
      <c r="Q439">
        <v>1</v>
      </c>
      <c r="X439">
        <v>2.98</v>
      </c>
      <c r="Y439">
        <v>6.22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2.98</v>
      </c>
      <c r="AH439">
        <v>2</v>
      </c>
      <c r="AI439">
        <v>145051946</v>
      </c>
      <c r="AJ439">
        <v>439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ROW(Source!A169)</f>
        <v>169</v>
      </c>
      <c r="B440">
        <v>145051947</v>
      </c>
      <c r="C440">
        <v>145051934</v>
      </c>
      <c r="D440">
        <v>140771011</v>
      </c>
      <c r="E440">
        <v>1</v>
      </c>
      <c r="F440">
        <v>1</v>
      </c>
      <c r="G440">
        <v>1</v>
      </c>
      <c r="H440">
        <v>3</v>
      </c>
      <c r="I440" t="s">
        <v>789</v>
      </c>
      <c r="J440" t="s">
        <v>790</v>
      </c>
      <c r="K440" t="s">
        <v>791</v>
      </c>
      <c r="L440">
        <v>1346</v>
      </c>
      <c r="N440">
        <v>1009</v>
      </c>
      <c r="O440" t="s">
        <v>43</v>
      </c>
      <c r="P440" t="s">
        <v>43</v>
      </c>
      <c r="Q440">
        <v>1</v>
      </c>
      <c r="X440">
        <v>0.90300000000000002</v>
      </c>
      <c r="Y440">
        <v>6.09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F440" t="s">
        <v>3</v>
      </c>
      <c r="AG440">
        <v>0.90300000000000002</v>
      </c>
      <c r="AH440">
        <v>2</v>
      </c>
      <c r="AI440">
        <v>145051947</v>
      </c>
      <c r="AJ440">
        <v>440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ROW(Source!A169)</f>
        <v>169</v>
      </c>
      <c r="B441">
        <v>145051948</v>
      </c>
      <c r="C441">
        <v>145051934</v>
      </c>
      <c r="D441">
        <v>140773776</v>
      </c>
      <c r="E441">
        <v>1</v>
      </c>
      <c r="F441">
        <v>1</v>
      </c>
      <c r="G441">
        <v>1</v>
      </c>
      <c r="H441">
        <v>3</v>
      </c>
      <c r="I441" t="s">
        <v>1093</v>
      </c>
      <c r="J441" t="s">
        <v>1094</v>
      </c>
      <c r="K441" t="s">
        <v>1095</v>
      </c>
      <c r="L441">
        <v>1348</v>
      </c>
      <c r="N441">
        <v>1009</v>
      </c>
      <c r="O441" t="s">
        <v>105</v>
      </c>
      <c r="P441" t="s">
        <v>105</v>
      </c>
      <c r="Q441">
        <v>1000</v>
      </c>
      <c r="X441">
        <v>3.3999999999999998E-3</v>
      </c>
      <c r="Y441">
        <v>10315.01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3.3999999999999998E-3</v>
      </c>
      <c r="AH441">
        <v>2</v>
      </c>
      <c r="AI441">
        <v>145051948</v>
      </c>
      <c r="AJ441">
        <v>441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ROW(Source!A169)</f>
        <v>169</v>
      </c>
      <c r="B442">
        <v>145051949</v>
      </c>
      <c r="C442">
        <v>145051934</v>
      </c>
      <c r="D442">
        <v>140775017</v>
      </c>
      <c r="E442">
        <v>1</v>
      </c>
      <c r="F442">
        <v>1</v>
      </c>
      <c r="G442">
        <v>1</v>
      </c>
      <c r="H442">
        <v>3</v>
      </c>
      <c r="I442" t="s">
        <v>977</v>
      </c>
      <c r="J442" t="s">
        <v>978</v>
      </c>
      <c r="K442" t="s">
        <v>979</v>
      </c>
      <c r="L442">
        <v>1346</v>
      </c>
      <c r="N442">
        <v>1009</v>
      </c>
      <c r="O442" t="s">
        <v>43</v>
      </c>
      <c r="P442" t="s">
        <v>43</v>
      </c>
      <c r="Q442">
        <v>1</v>
      </c>
      <c r="X442">
        <v>7</v>
      </c>
      <c r="Y442">
        <v>9.0399999999999991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 t="s">
        <v>3</v>
      </c>
      <c r="AG442">
        <v>7</v>
      </c>
      <c r="AH442">
        <v>2</v>
      </c>
      <c r="AI442">
        <v>145051949</v>
      </c>
      <c r="AJ442">
        <v>442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ROW(Source!A169)</f>
        <v>169</v>
      </c>
      <c r="B443">
        <v>145051950</v>
      </c>
      <c r="C443">
        <v>145051934</v>
      </c>
      <c r="D443">
        <v>140775118</v>
      </c>
      <c r="E443">
        <v>1</v>
      </c>
      <c r="F443">
        <v>1</v>
      </c>
      <c r="G443">
        <v>1</v>
      </c>
      <c r="H443">
        <v>3</v>
      </c>
      <c r="I443" t="s">
        <v>980</v>
      </c>
      <c r="J443" t="s">
        <v>981</v>
      </c>
      <c r="K443" t="s">
        <v>982</v>
      </c>
      <c r="L443">
        <v>1348</v>
      </c>
      <c r="N443">
        <v>1009</v>
      </c>
      <c r="O443" t="s">
        <v>105</v>
      </c>
      <c r="P443" t="s">
        <v>105</v>
      </c>
      <c r="Q443">
        <v>1000</v>
      </c>
      <c r="X443">
        <v>2.0000000000000002E-5</v>
      </c>
      <c r="Y443">
        <v>11978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F443" t="s">
        <v>3</v>
      </c>
      <c r="AG443">
        <v>2.0000000000000002E-5</v>
      </c>
      <c r="AH443">
        <v>2</v>
      </c>
      <c r="AI443">
        <v>145051950</v>
      </c>
      <c r="AJ443">
        <v>443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ROW(Source!A169)</f>
        <v>169</v>
      </c>
      <c r="B444">
        <v>145051951</v>
      </c>
      <c r="C444">
        <v>145051934</v>
      </c>
      <c r="D444">
        <v>140776229</v>
      </c>
      <c r="E444">
        <v>1</v>
      </c>
      <c r="F444">
        <v>1</v>
      </c>
      <c r="G444">
        <v>1</v>
      </c>
      <c r="H444">
        <v>3</v>
      </c>
      <c r="I444" t="s">
        <v>983</v>
      </c>
      <c r="J444" t="s">
        <v>984</v>
      </c>
      <c r="K444" t="s">
        <v>985</v>
      </c>
      <c r="L444">
        <v>1348</v>
      </c>
      <c r="N444">
        <v>1009</v>
      </c>
      <c r="O444" t="s">
        <v>105</v>
      </c>
      <c r="P444" t="s">
        <v>105</v>
      </c>
      <c r="Q444">
        <v>1000</v>
      </c>
      <c r="X444">
        <v>1.4999999999999999E-4</v>
      </c>
      <c r="Y444">
        <v>37900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F444" t="s">
        <v>3</v>
      </c>
      <c r="AG444">
        <v>1.4999999999999999E-4</v>
      </c>
      <c r="AH444">
        <v>2</v>
      </c>
      <c r="AI444">
        <v>145051951</v>
      </c>
      <c r="AJ444">
        <v>444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ROW(Source!A169)</f>
        <v>169</v>
      </c>
      <c r="B445">
        <v>145051952</v>
      </c>
      <c r="C445">
        <v>145051934</v>
      </c>
      <c r="D445">
        <v>140789856</v>
      </c>
      <c r="E445">
        <v>1</v>
      </c>
      <c r="F445">
        <v>1</v>
      </c>
      <c r="G445">
        <v>1</v>
      </c>
      <c r="H445">
        <v>3</v>
      </c>
      <c r="I445" t="s">
        <v>986</v>
      </c>
      <c r="J445" t="s">
        <v>987</v>
      </c>
      <c r="K445" t="s">
        <v>988</v>
      </c>
      <c r="L445">
        <v>1348</v>
      </c>
      <c r="N445">
        <v>1009</v>
      </c>
      <c r="O445" t="s">
        <v>105</v>
      </c>
      <c r="P445" t="s">
        <v>105</v>
      </c>
      <c r="Q445">
        <v>1000</v>
      </c>
      <c r="X445">
        <v>1.9E-2</v>
      </c>
      <c r="Y445">
        <v>7712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F445" t="s">
        <v>3</v>
      </c>
      <c r="AG445">
        <v>1.9E-2</v>
      </c>
      <c r="AH445">
        <v>2</v>
      </c>
      <c r="AI445">
        <v>145051952</v>
      </c>
      <c r="AJ445">
        <v>445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ROW(Source!A169)</f>
        <v>169</v>
      </c>
      <c r="B446">
        <v>145051953</v>
      </c>
      <c r="C446">
        <v>145051934</v>
      </c>
      <c r="D446">
        <v>140762027</v>
      </c>
      <c r="E446">
        <v>70</v>
      </c>
      <c r="F446">
        <v>1</v>
      </c>
      <c r="G446">
        <v>1</v>
      </c>
      <c r="H446">
        <v>3</v>
      </c>
      <c r="I446" t="s">
        <v>764</v>
      </c>
      <c r="J446" t="s">
        <v>3</v>
      </c>
      <c r="K446" t="s">
        <v>1096</v>
      </c>
      <c r="L446">
        <v>1348</v>
      </c>
      <c r="N446">
        <v>1009</v>
      </c>
      <c r="O446" t="s">
        <v>105</v>
      </c>
      <c r="P446" t="s">
        <v>105</v>
      </c>
      <c r="Q446">
        <v>1000</v>
      </c>
      <c r="X446">
        <v>5.7799999999999997E-2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 t="s">
        <v>3</v>
      </c>
      <c r="AG446">
        <v>5.7799999999999997E-2</v>
      </c>
      <c r="AH446">
        <v>2</v>
      </c>
      <c r="AI446">
        <v>145051953</v>
      </c>
      <c r="AJ446">
        <v>446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ROW(Source!A169)</f>
        <v>169</v>
      </c>
      <c r="B447">
        <v>145051954</v>
      </c>
      <c r="C447">
        <v>145051934</v>
      </c>
      <c r="D447">
        <v>140762187</v>
      </c>
      <c r="E447">
        <v>70</v>
      </c>
      <c r="F447">
        <v>1</v>
      </c>
      <c r="G447">
        <v>1</v>
      </c>
      <c r="H447">
        <v>3</v>
      </c>
      <c r="I447" t="s">
        <v>1097</v>
      </c>
      <c r="J447" t="s">
        <v>3</v>
      </c>
      <c r="K447" t="s">
        <v>1098</v>
      </c>
      <c r="L447">
        <v>1348</v>
      </c>
      <c r="N447">
        <v>1009</v>
      </c>
      <c r="O447" t="s">
        <v>105</v>
      </c>
      <c r="P447" t="s">
        <v>105</v>
      </c>
      <c r="Q447">
        <v>1000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</v>
      </c>
      <c r="AD447">
        <v>0</v>
      </c>
      <c r="AE447">
        <v>0</v>
      </c>
      <c r="AF447" t="s">
        <v>3</v>
      </c>
      <c r="AG447">
        <v>0</v>
      </c>
      <c r="AH447">
        <v>2</v>
      </c>
      <c r="AI447">
        <v>145051954</v>
      </c>
      <c r="AJ447">
        <v>447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ROW(Source!A169)</f>
        <v>169</v>
      </c>
      <c r="B448">
        <v>145051955</v>
      </c>
      <c r="C448">
        <v>145051934</v>
      </c>
      <c r="D448">
        <v>140791984</v>
      </c>
      <c r="E448">
        <v>1</v>
      </c>
      <c r="F448">
        <v>1</v>
      </c>
      <c r="G448">
        <v>1</v>
      </c>
      <c r="H448">
        <v>3</v>
      </c>
      <c r="I448" t="s">
        <v>989</v>
      </c>
      <c r="J448" t="s">
        <v>990</v>
      </c>
      <c r="K448" t="s">
        <v>991</v>
      </c>
      <c r="L448">
        <v>1302</v>
      </c>
      <c r="N448">
        <v>1003</v>
      </c>
      <c r="O448" t="s">
        <v>928</v>
      </c>
      <c r="P448" t="s">
        <v>928</v>
      </c>
      <c r="Q448">
        <v>10</v>
      </c>
      <c r="X448">
        <v>1.6E-2</v>
      </c>
      <c r="Y448">
        <v>50.24</v>
      </c>
      <c r="Z448">
        <v>0</v>
      </c>
      <c r="AA448">
        <v>0</v>
      </c>
      <c r="AB448">
        <v>0</v>
      </c>
      <c r="AC448">
        <v>0</v>
      </c>
      <c r="AD448">
        <v>1</v>
      </c>
      <c r="AE448">
        <v>0</v>
      </c>
      <c r="AF448" t="s">
        <v>3</v>
      </c>
      <c r="AG448">
        <v>1.6E-2</v>
      </c>
      <c r="AH448">
        <v>2</v>
      </c>
      <c r="AI448">
        <v>145051955</v>
      </c>
      <c r="AJ448">
        <v>448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ROW(Source!A169)</f>
        <v>169</v>
      </c>
      <c r="B449">
        <v>145051956</v>
      </c>
      <c r="C449">
        <v>145051934</v>
      </c>
      <c r="D449">
        <v>140792339</v>
      </c>
      <c r="E449">
        <v>1</v>
      </c>
      <c r="F449">
        <v>1</v>
      </c>
      <c r="G449">
        <v>1</v>
      </c>
      <c r="H449">
        <v>3</v>
      </c>
      <c r="I449" t="s">
        <v>832</v>
      </c>
      <c r="J449" t="s">
        <v>833</v>
      </c>
      <c r="K449" t="s">
        <v>834</v>
      </c>
      <c r="L449">
        <v>1348</v>
      </c>
      <c r="N449">
        <v>1009</v>
      </c>
      <c r="O449" t="s">
        <v>105</v>
      </c>
      <c r="P449" t="s">
        <v>105</v>
      </c>
      <c r="Q449">
        <v>1000</v>
      </c>
      <c r="X449">
        <v>4.0000000000000003E-5</v>
      </c>
      <c r="Y449">
        <v>4455.2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3</v>
      </c>
      <c r="AG449">
        <v>4.0000000000000003E-5</v>
      </c>
      <c r="AH449">
        <v>2</v>
      </c>
      <c r="AI449">
        <v>145051956</v>
      </c>
      <c r="AJ449">
        <v>449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ROW(Source!A169)</f>
        <v>169</v>
      </c>
      <c r="B450">
        <v>145051957</v>
      </c>
      <c r="C450">
        <v>145051934</v>
      </c>
      <c r="D450">
        <v>140762343</v>
      </c>
      <c r="E450">
        <v>70</v>
      </c>
      <c r="F450">
        <v>1</v>
      </c>
      <c r="G450">
        <v>1</v>
      </c>
      <c r="H450">
        <v>3</v>
      </c>
      <c r="I450" t="s">
        <v>1099</v>
      </c>
      <c r="J450" t="s">
        <v>3</v>
      </c>
      <c r="K450" t="s">
        <v>1100</v>
      </c>
      <c r="L450">
        <v>1348</v>
      </c>
      <c r="N450">
        <v>1009</v>
      </c>
      <c r="O450" t="s">
        <v>105</v>
      </c>
      <c r="P450" t="s">
        <v>105</v>
      </c>
      <c r="Q450">
        <v>1000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</v>
      </c>
      <c r="AD450">
        <v>0</v>
      </c>
      <c r="AE450">
        <v>0</v>
      </c>
      <c r="AF450" t="s">
        <v>3</v>
      </c>
      <c r="AG450">
        <v>0</v>
      </c>
      <c r="AH450">
        <v>2</v>
      </c>
      <c r="AI450">
        <v>145051957</v>
      </c>
      <c r="AJ450">
        <v>450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ROW(Source!A169)</f>
        <v>169</v>
      </c>
      <c r="B451">
        <v>145051958</v>
      </c>
      <c r="C451">
        <v>145051934</v>
      </c>
      <c r="D451">
        <v>140793072</v>
      </c>
      <c r="E451">
        <v>1</v>
      </c>
      <c r="F451">
        <v>1</v>
      </c>
      <c r="G451">
        <v>1</v>
      </c>
      <c r="H451">
        <v>3</v>
      </c>
      <c r="I451" t="s">
        <v>992</v>
      </c>
      <c r="J451" t="s">
        <v>993</v>
      </c>
      <c r="K451" t="s">
        <v>994</v>
      </c>
      <c r="L451">
        <v>1348</v>
      </c>
      <c r="N451">
        <v>1009</v>
      </c>
      <c r="O451" t="s">
        <v>105</v>
      </c>
      <c r="P451" t="s">
        <v>105</v>
      </c>
      <c r="Q451">
        <v>1000</v>
      </c>
      <c r="X451">
        <v>2.97E-3</v>
      </c>
      <c r="Y451">
        <v>4920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2.97E-3</v>
      </c>
      <c r="AH451">
        <v>2</v>
      </c>
      <c r="AI451">
        <v>145051958</v>
      </c>
      <c r="AJ451">
        <v>451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ROW(Source!A169)</f>
        <v>169</v>
      </c>
      <c r="B452">
        <v>145051959</v>
      </c>
      <c r="C452">
        <v>145051934</v>
      </c>
      <c r="D452">
        <v>140796351</v>
      </c>
      <c r="E452">
        <v>1</v>
      </c>
      <c r="F452">
        <v>1</v>
      </c>
      <c r="G452">
        <v>1</v>
      </c>
      <c r="H452">
        <v>3</v>
      </c>
      <c r="I452" t="s">
        <v>995</v>
      </c>
      <c r="J452" t="s">
        <v>996</v>
      </c>
      <c r="K452" t="s">
        <v>997</v>
      </c>
      <c r="L452">
        <v>1339</v>
      </c>
      <c r="N452">
        <v>1007</v>
      </c>
      <c r="O452" t="s">
        <v>66</v>
      </c>
      <c r="P452" t="s">
        <v>66</v>
      </c>
      <c r="Q452">
        <v>1</v>
      </c>
      <c r="X452">
        <v>1.2999999999999999E-3</v>
      </c>
      <c r="Y452">
        <v>1700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1.2999999999999999E-3</v>
      </c>
      <c r="AH452">
        <v>2</v>
      </c>
      <c r="AI452">
        <v>145051959</v>
      </c>
      <c r="AJ452">
        <v>452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ROW(Source!A169)</f>
        <v>169</v>
      </c>
      <c r="B453">
        <v>145051960</v>
      </c>
      <c r="C453">
        <v>145051934</v>
      </c>
      <c r="D453">
        <v>140804058</v>
      </c>
      <c r="E453">
        <v>1</v>
      </c>
      <c r="F453">
        <v>1</v>
      </c>
      <c r="G453">
        <v>1</v>
      </c>
      <c r="H453">
        <v>3</v>
      </c>
      <c r="I453" t="s">
        <v>998</v>
      </c>
      <c r="J453" t="s">
        <v>999</v>
      </c>
      <c r="K453" t="s">
        <v>1000</v>
      </c>
      <c r="L453">
        <v>1348</v>
      </c>
      <c r="N453">
        <v>1009</v>
      </c>
      <c r="O453" t="s">
        <v>105</v>
      </c>
      <c r="P453" t="s">
        <v>105</v>
      </c>
      <c r="Q453">
        <v>1000</v>
      </c>
      <c r="X453">
        <v>4.6999999999999999E-4</v>
      </c>
      <c r="Y453">
        <v>15620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 t="s">
        <v>3</v>
      </c>
      <c r="AG453">
        <v>4.6999999999999999E-4</v>
      </c>
      <c r="AH453">
        <v>2</v>
      </c>
      <c r="AI453">
        <v>145051960</v>
      </c>
      <c r="AJ453">
        <v>453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ROW(Source!A169)</f>
        <v>169</v>
      </c>
      <c r="B454">
        <v>145051961</v>
      </c>
      <c r="C454">
        <v>145051934</v>
      </c>
      <c r="D454">
        <v>140805182</v>
      </c>
      <c r="E454">
        <v>1</v>
      </c>
      <c r="F454">
        <v>1</v>
      </c>
      <c r="G454">
        <v>1</v>
      </c>
      <c r="H454">
        <v>3</v>
      </c>
      <c r="I454" t="s">
        <v>1001</v>
      </c>
      <c r="J454" t="s">
        <v>1002</v>
      </c>
      <c r="K454" t="s">
        <v>1003</v>
      </c>
      <c r="L454">
        <v>1346</v>
      </c>
      <c r="N454">
        <v>1009</v>
      </c>
      <c r="O454" t="s">
        <v>43</v>
      </c>
      <c r="P454" t="s">
        <v>43</v>
      </c>
      <c r="Q454">
        <v>1</v>
      </c>
      <c r="X454">
        <v>0.09</v>
      </c>
      <c r="Y454">
        <v>9.42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0.09</v>
      </c>
      <c r="AH454">
        <v>2</v>
      </c>
      <c r="AI454">
        <v>145051961</v>
      </c>
      <c r="AJ454">
        <v>454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 12 гр. по ФЕР</vt:lpstr>
      <vt:lpstr>Source</vt:lpstr>
      <vt:lpstr>SourceObSm</vt:lpstr>
      <vt:lpstr>SmtRes</vt:lpstr>
      <vt:lpstr>EtalonRes</vt:lpstr>
      <vt:lpstr>SrcKA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Гульдин Максим Александрович</dc:creator>
  <cp:lastModifiedBy>Вашбуш Ирина Николаевна</cp:lastModifiedBy>
  <cp:lastPrinted>2024-04-02T13:15:14Z</cp:lastPrinted>
  <dcterms:created xsi:type="dcterms:W3CDTF">2024-04-02T13:13:15Z</dcterms:created>
  <dcterms:modified xsi:type="dcterms:W3CDTF">2024-04-09T07:14:13Z</dcterms:modified>
</cp:coreProperties>
</file>