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LIPINV\Desktop\ТЗ первичное дробление\"/>
    </mc:Choice>
  </mc:AlternateContent>
  <xr:revisionPtr revIDLastSave="0" documentId="13_ncr:1_{10164C6C-D755-47C4-820C-3BD49110CA71}" xr6:coauthVersionLast="36" xr6:coauthVersionMax="36" xr10:uidLastSave="{00000000-0000-0000-0000-000000000000}"/>
  <bookViews>
    <workbookView xWindow="0" yWindow="0" windowWidth="12660" windowHeight="9345" xr2:uid="{00000000-000D-0000-FFFF-FFFF00000000}"/>
  </bookViews>
  <sheets>
    <sheet name="Лист1" sheetId="1" r:id="rId1"/>
  </sheets>
  <definedNames>
    <definedName name="_xlnm.Print_Area" localSheetId="0">Лист1!$A$1:$E$136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9" i="1" l="1"/>
  <c r="E114" i="1"/>
  <c r="E112" i="1"/>
  <c r="E113" i="1"/>
  <c r="E104" i="1"/>
  <c r="E90" i="1"/>
  <c r="E56" i="1" l="1"/>
  <c r="E60" i="1"/>
  <c r="E62" i="1"/>
  <c r="E58" i="1"/>
  <c r="E36" i="1" l="1"/>
  <c r="E37" i="1" s="1"/>
  <c r="E35" i="1" l="1"/>
  <c r="E110" i="1"/>
  <c r="E100" i="1"/>
  <c r="E118" i="1"/>
  <c r="E117" i="1"/>
  <c r="E111" i="1" l="1"/>
  <c r="E105" i="1"/>
  <c r="E85" i="1"/>
  <c r="E86" i="1" s="1"/>
  <c r="E40" i="1"/>
  <c r="E88" i="1" l="1"/>
  <c r="E89" i="1" s="1"/>
  <c r="E87" i="1"/>
  <c r="E127" i="1"/>
  <c r="E128" i="1" s="1"/>
  <c r="E39" i="1" l="1"/>
  <c r="E122" i="1"/>
  <c r="E121" i="1"/>
  <c r="E34" i="1" l="1"/>
  <c r="E31" i="1"/>
  <c r="E28" i="1"/>
  <c r="E29" i="1" s="1"/>
  <c r="E27" i="1"/>
  <c r="E30" i="1"/>
  <c r="E131" i="1" l="1"/>
  <c r="E93" i="1"/>
  <c r="E76" i="1"/>
  <c r="E25" i="1"/>
  <c r="E98" i="1" l="1"/>
  <c r="E96" i="1"/>
  <c r="E42" i="1" l="1"/>
  <c r="E41" i="1"/>
  <c r="E17" i="1"/>
  <c r="E18" i="1" s="1"/>
  <c r="E16" i="1"/>
  <c r="E54" i="1" l="1"/>
  <c r="E125" i="1" l="1"/>
  <c r="E126" i="1" s="1"/>
  <c r="E102" i="1"/>
  <c r="E46" i="1" l="1"/>
  <c r="E45" i="1"/>
  <c r="E44" i="1"/>
  <c r="E43" i="1"/>
  <c r="E124" i="1" l="1"/>
  <c r="E99" i="1"/>
  <c r="E75" i="1"/>
  <c r="E69" i="1"/>
  <c r="E70" i="1" s="1"/>
  <c r="E67" i="1"/>
  <c r="E68" i="1" s="1"/>
  <c r="E65" i="1"/>
  <c r="E66" i="1" s="1"/>
  <c r="E47" i="1"/>
  <c r="E55" i="1" s="1"/>
  <c r="E33" i="1"/>
  <c r="E26" i="1"/>
  <c r="E129" i="1" l="1"/>
  <c r="E130" i="1" s="1"/>
  <c r="E132" i="1"/>
  <c r="E49" i="1"/>
  <c r="E59" i="1" s="1"/>
  <c r="E50" i="1"/>
  <c r="E61" i="1" s="1"/>
  <c r="E48" i="1"/>
  <c r="E57" i="1" s="1"/>
  <c r="E63" i="1"/>
  <c r="E64" i="1" s="1"/>
  <c r="E20" i="1"/>
  <c r="E21" i="1" s="1"/>
  <c r="E115" i="1" l="1"/>
</calcChain>
</file>

<file path=xl/sharedStrings.xml><?xml version="1.0" encoding="utf-8"?>
<sst xmlns="http://schemas.openxmlformats.org/spreadsheetml/2006/main" count="358" uniqueCount="213">
  <si>
    <t>Ед. изм.</t>
  </si>
  <si>
    <t>Наименование работ</t>
  </si>
  <si>
    <t>Состав работ</t>
  </si>
  <si>
    <t>Объем</t>
  </si>
  <si>
    <t>Технический директор</t>
  </si>
  <si>
    <t>Согласовано:</t>
  </si>
  <si>
    <t>Утверждаю:</t>
  </si>
  <si>
    <t xml:space="preserve">Генеральный директор </t>
  </si>
  <si>
    <t>АО "Липецкцемент"</t>
  </si>
  <si>
    <t>Тюленев В.Е.___________</t>
  </si>
  <si>
    <t>Ведущий инженер по надзору</t>
  </si>
  <si>
    <t xml:space="preserve">за зданиями, сооружениями        </t>
  </si>
  <si>
    <t>___________Смирнов С.Н.</t>
  </si>
  <si>
    <t>м2</t>
  </si>
  <si>
    <t>№</t>
  </si>
  <si>
    <t>м</t>
  </si>
  <si>
    <t>Гульдин М.А.</t>
  </si>
  <si>
    <t>1</t>
  </si>
  <si>
    <t xml:space="preserve">Выполнение работ по инъецированию трещин стен из кирпичной кладки </t>
  </si>
  <si>
    <t>Зачистка от слабого бетона железобетонных конструкций  колонн в местах выпадения, отслоения защитного слоя бетона</t>
  </si>
  <si>
    <t>Зачистка от слабого бетона железобетонных конструкций  ригелей в местах выпадения, отслоения защитного слоя бетона</t>
  </si>
  <si>
    <t>Зачистка от слабого бетона железобетонных конструкций  перекрытий в местах выпадения, отслоения защитного слоя бетона</t>
  </si>
  <si>
    <t>Зачистка от слабого бетона железобетонных конструкций  стен в местах выпадения, отслоения защитного слоя бетона</t>
  </si>
  <si>
    <t xml:space="preserve">Монтаж фасадных металлических профильных листов </t>
  </si>
  <si>
    <t>Восстановление кирпичной кладки под оконными блоками</t>
  </si>
  <si>
    <t>Очистка от старой краски металлических элементов (поручни, двери, силовые элементы конструкций)</t>
  </si>
  <si>
    <t>Зачистка металлической конструкции консольных площадок, лестничного марша и ограждения межэтажного перехода</t>
  </si>
  <si>
    <t>кг</t>
  </si>
  <si>
    <t>Восстановление с усилением армирования железобетонного перекрытия в местах ее сквозного разрушения</t>
  </si>
  <si>
    <t>Ингибитор коррозии МастерЭмако Р 5000 АР</t>
  </si>
  <si>
    <t>Реновир Шлюз</t>
  </si>
  <si>
    <t>Ингибитор MasterEmaco P5000 AP</t>
  </si>
  <si>
    <t xml:space="preserve">Кирпич 250х120х88 </t>
  </si>
  <si>
    <t>Раствор цементно-песчаный М 150</t>
  </si>
  <si>
    <t>Ремонтный материал МастерЭмако S 5400</t>
  </si>
  <si>
    <t>м3</t>
  </si>
  <si>
    <t>работа на отметке +6.700, работа со строительных лесов</t>
  </si>
  <si>
    <t xml:space="preserve">Демонтаж асбестоцементных листов фасада </t>
  </si>
  <si>
    <t>шт.</t>
  </si>
  <si>
    <t>Зачистка от слабого бетона железобетонных конструкций  плит покрытия в местах выпадения, отслоения защитного слоя бетона t=25мм</t>
  </si>
  <si>
    <t>Ускоритель MasterRoc MP 355 1K Accelerator</t>
  </si>
  <si>
    <t>Устройство основания под отмостку из утрамбованного слоя песка  t=15см</t>
  </si>
  <si>
    <t>Устройство основания под отмостку из утрамбованного слоя щебня t=10см</t>
  </si>
  <si>
    <t>Металлическая сетка для отмостки</t>
  </si>
  <si>
    <t>Щебень известняковый фр.20-40</t>
  </si>
  <si>
    <t>Уголок металлический 50х50х4мм</t>
  </si>
  <si>
    <t>2</t>
  </si>
  <si>
    <t>3</t>
  </si>
  <si>
    <t>4</t>
  </si>
  <si>
    <t>5</t>
  </si>
  <si>
    <t>41</t>
  </si>
  <si>
    <t>Реновир Инжект</t>
  </si>
  <si>
    <t>Дюбель-гвоздь 6x60мм</t>
  </si>
  <si>
    <t>Сетка оцинкованная, 10x10, d0,6x1x15</t>
  </si>
  <si>
    <t>Инъекционный состав MasterRoc 355 1K</t>
  </si>
  <si>
    <t>Инъектирование железобетонных конструкций стен ниже отметки -4.400 полиуретановыми смолами</t>
  </si>
  <si>
    <t>Металлическая лента (шириной = 50 мм, t=4мм, длиной одного элемента 3м)</t>
  </si>
  <si>
    <t>Дюбель-гвоздь 6x40мм</t>
  </si>
  <si>
    <t xml:space="preserve">Срезка торчащей арматуры д.16мм </t>
  </si>
  <si>
    <t xml:space="preserve">Изготовление и монтаж металлического ограждения по периметру кровли </t>
  </si>
  <si>
    <t>Швеллер 14П, L=2,9м</t>
  </si>
  <si>
    <t>Пробитие штробы 210х90(глуб.), L=2,9м</t>
  </si>
  <si>
    <t>Шпилька 2 М12 l=100мм.</t>
  </si>
  <si>
    <t>Кровельный саморез 4,8х35</t>
  </si>
  <si>
    <t>т</t>
  </si>
  <si>
    <t>срезка в отвал</t>
  </si>
  <si>
    <t xml:space="preserve">Восстановление армирования ригеля </t>
  </si>
  <si>
    <t>Сверление отверстий д 18мм, глубиной 10см</t>
  </si>
  <si>
    <t>Сверление отверстий д 8мм, глубиной 50см</t>
  </si>
  <si>
    <t xml:space="preserve">Устройство перемычки из швеллеров </t>
  </si>
  <si>
    <t xml:space="preserve">Грунтовка поверхности фасада </t>
  </si>
  <si>
    <t>Грунтовка Оптимист G103, расход 250мл/м2</t>
  </si>
  <si>
    <t>л</t>
  </si>
  <si>
    <t xml:space="preserve">Работа в приямке внутри здания </t>
  </si>
  <si>
    <t xml:space="preserve">Выполнение работ со строительных лесов на фасаде здания </t>
  </si>
  <si>
    <t>31</t>
  </si>
  <si>
    <t>Отлив оцинкованный 1500мм длинной, 150мм шириной</t>
  </si>
  <si>
    <t>Отлив оцинкованный 2000мм длинной, 150мм шириной</t>
  </si>
  <si>
    <t>Арматура д.12 А500</t>
  </si>
  <si>
    <t>Песок фр. крупной</t>
  </si>
  <si>
    <t>Инъекционные пластиковые пакеры д.18/105 мм</t>
  </si>
  <si>
    <t>Брус 50х50мм</t>
  </si>
  <si>
    <t>Монтаж внутри здания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</si>
  <si>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</si>
  <si>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</si>
  <si>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</si>
  <si>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</si>
  <si>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</si>
  <si>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</si>
  <si>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</si>
  <si>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</si>
  <si>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</si>
  <si>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</si>
  <si>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</si>
  <si>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</si>
  <si>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</si>
  <si>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</si>
  <si>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</si>
  <si>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</si>
  <si>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</si>
  <si>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</si>
  <si>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</si>
  <si>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</si>
  <si>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32</t>
  </si>
  <si>
    <t>33</t>
  </si>
  <si>
    <t>34</t>
  </si>
  <si>
    <t>35</t>
  </si>
  <si>
    <t>36</t>
  </si>
  <si>
    <t>37</t>
  </si>
  <si>
    <t>51</t>
  </si>
  <si>
    <t>52</t>
  </si>
  <si>
    <t>53</t>
  </si>
  <si>
    <t>54</t>
  </si>
  <si>
    <t>Арматура д.16 А500</t>
  </si>
  <si>
    <t>Арматура д.8 А500</t>
  </si>
  <si>
    <t>9</t>
  </si>
  <si>
    <t>10.1</t>
  </si>
  <si>
    <t>19.1</t>
  </si>
  <si>
    <t>19.2</t>
  </si>
  <si>
    <t>21</t>
  </si>
  <si>
    <t>32.1</t>
  </si>
  <si>
    <t>Грунтовка поверхности внешних оконных откосов</t>
  </si>
  <si>
    <t>Штукатурка внешних оконных откосов</t>
  </si>
  <si>
    <t>38.1</t>
  </si>
  <si>
    <t>38</t>
  </si>
  <si>
    <t>39</t>
  </si>
  <si>
    <t>40</t>
  </si>
  <si>
    <t>41.1</t>
  </si>
  <si>
    <t>Работа на высоте 6м внутри здания с применением опалубки</t>
  </si>
  <si>
    <t>42</t>
  </si>
  <si>
    <t>43</t>
  </si>
  <si>
    <t>44</t>
  </si>
  <si>
    <t>45</t>
  </si>
  <si>
    <t>46</t>
  </si>
  <si>
    <t>48</t>
  </si>
  <si>
    <t>49</t>
  </si>
  <si>
    <t>Демонтаж опалубки</t>
  </si>
  <si>
    <t>50</t>
  </si>
  <si>
    <t>55</t>
  </si>
  <si>
    <t>56</t>
  </si>
  <si>
    <t>Уголок металлический 75х75х5мм</t>
  </si>
  <si>
    <t>Ремонт Здания первичного дробления Инв.№10-10003</t>
  </si>
  <si>
    <t>Зачистка оголённой арматуры железобетонных конструкций плит покрытия</t>
  </si>
  <si>
    <t>Арматура диаматом 12мм  А500</t>
  </si>
  <si>
    <t xml:space="preserve">Очистка поверхности фасада щётками </t>
  </si>
  <si>
    <t>Штукатурка Vetonit TT40, расход 1,7кг/м2 при толщине слоя 1 мм</t>
  </si>
  <si>
    <t>Инъекционный пакеры (Пакер для инъектирования (100 шт.; 10х100 мм, алюминий, кеглевидная маслёнка) КСГ 201)</t>
  </si>
  <si>
    <t>Зачистка оголённой арматуры железобетонных конструкций ригелей</t>
  </si>
  <si>
    <t>Зачистка оголённой арматуры железобетонных конструкций колонн</t>
  </si>
  <si>
    <t>Зачистка оголённой арматуры железобетонных конструкций перекрытий</t>
  </si>
  <si>
    <t>Зачистка оголённой арматуры железобетонных конструкций стен</t>
  </si>
  <si>
    <t>Демонтаж стеклянных блоков из оконных проёмов</t>
  </si>
  <si>
    <t xml:space="preserve">Демонтаж повреждённого кирпича под оконными блоками </t>
  </si>
  <si>
    <t>Частичная закладка оконных проёмов</t>
  </si>
  <si>
    <t xml:space="preserve">Очистка поверхности внешних оконных откосов щётками </t>
  </si>
  <si>
    <t>Установка подоконных наружных отливов</t>
  </si>
  <si>
    <t>Восстановление бетонного слоя перекрытия t=200мм местами до 1м2</t>
  </si>
  <si>
    <t>Изготовление и монтаж металлических люков в технологических проёмах</t>
  </si>
  <si>
    <t>Лист металлический рифлёный t=5 мм чечевица 2,5х1 м (4 шт.)</t>
  </si>
  <si>
    <t>Лист металлический рифлёный t=5 мм чечевица 2,5х0,75 м (2 шт.)</t>
  </si>
  <si>
    <t>ВЕДОМОСТЬ ОБЪЕМОВ РАБОТ №01-03-24</t>
  </si>
  <si>
    <t>Восстановление защитного слоя бетона плит покрытия ремонтными составами до 25мм</t>
  </si>
  <si>
    <t>Ремонт защитного слоя железобетонных конструкций ригелей с помощью ремонтных составов до 15мм</t>
  </si>
  <si>
    <t>Ремонт защитного слоя железобетонных конструкций колонн с помощью ремонтных составов до 15мм</t>
  </si>
  <si>
    <t>Ремонт защитного слоя железобетонных конструкций перекрытий с помощью ремонтных составов до 15мм</t>
  </si>
  <si>
    <t>Ремонт защитного слоя железобетонных конструкций стен с помощью ремонтных составов до 15мм</t>
  </si>
  <si>
    <t>Материал ВАЙТМИКС RT40, расход 2 кг на 1 м2 при толщине 1мм</t>
  </si>
  <si>
    <t>Материал ВАЙТМИКС RT10, расход 1,8 кг на 1 м2 при толщине 1мм</t>
  </si>
  <si>
    <t>Материал ВАЙТМИКС RT10 , расход 1,8 кг на 1 м2 при толщине 1мм</t>
  </si>
  <si>
    <t xml:space="preserve">Обработка защитными составами арматуры железобетонных конструкций стен в один слой </t>
  </si>
  <si>
    <t>Обработка защитными составами арматуры железобетонных конструкций перекрытий в один слой</t>
  </si>
  <si>
    <t xml:space="preserve">Обработка защитными составами арматуры железобетонных конструкций колонн в один слой </t>
  </si>
  <si>
    <t>Обработка защитными составами арматуры железобетонных конструкций ригелей в один слой</t>
  </si>
  <si>
    <t>Обработка защитными составами арматуры железобетонных конструкций плит покрытия в один слой</t>
  </si>
  <si>
    <t>работа на отметке от +11.000 до +19.000</t>
  </si>
  <si>
    <t xml:space="preserve">Сборка строительных лесов h=6м </t>
  </si>
  <si>
    <t>наружные леса 12х6м</t>
  </si>
  <si>
    <t>Штукатурка по сетке (фасада) до 20мм</t>
  </si>
  <si>
    <t>ПВХ окна однокамерный стеклопакет, глухой, двухстворчатые  1470х1970мм (проем 1500х2000мм)</t>
  </si>
  <si>
    <t>Устройство наклонной отмостки с армированием по периметру здания шириной 1,2 м, ср t=12см, с устройством деформационных швов через 2,5м из деревянной рейки. (47 шт), толщ 20мм</t>
  </si>
  <si>
    <t>Доска толщ. 20мм</t>
  </si>
  <si>
    <t>Бетон В15, F150, W4</t>
  </si>
  <si>
    <t xml:space="preserve">Мастика битумная гидроизоляционная </t>
  </si>
  <si>
    <t>(для обработки доски для деформационных швов)</t>
  </si>
  <si>
    <t xml:space="preserve">Монтаж и изготовление металлических уголков под крепление ограждающих профильных листов фасада </t>
  </si>
  <si>
    <t>Профильный лист НС35, t=0,55 с полимерным покрытием</t>
  </si>
  <si>
    <t>Вывоз и утилизация мусора до полигона до 35км</t>
  </si>
  <si>
    <t>Бетон В20</t>
  </si>
  <si>
    <t>Демонтаж напольных металлических листов толщинной 6мм местами до 4 м2</t>
  </si>
  <si>
    <t>Срезка грунта для выравнивания склона срt=0,75м, с вывозом грунта в карьер до 2 км.</t>
  </si>
  <si>
    <t xml:space="preserve">Срезка и планировка грунта под устройство отмостки t=0,4м с вывозом грунта до 2км </t>
  </si>
  <si>
    <t>ПВХ окна однокамерный стеклопакет, глухой, одностворчатый 1970х970мм (проем 2000х1000мм)</t>
  </si>
  <si>
    <t xml:space="preserve">Сверление отверстий под пакеры для инъектирования, глубинной  до 200мм, диаметром до 12мм, под углом 45 градусов </t>
  </si>
  <si>
    <t>работа на отметке +19.000 внутри цеха с использованием подъёмных механизмов, (коленчатый подъемник)</t>
  </si>
  <si>
    <t>работа на отметке +19.000 внутри цеха с использование подъёмных механизмов,(коленчатый подъемник)</t>
  </si>
  <si>
    <t>работы внутри здания на высоте от 3м до 7м (работы производить с вышки-туры)</t>
  </si>
  <si>
    <t>работы внутри здания на высоте до 7м (работы производить с вышки-туры)</t>
  </si>
  <si>
    <t>работы внутри здания на высоте от 4м до 5м (работы производить с вышки-туры</t>
  </si>
  <si>
    <t>работы внутри здания на высоте от 4м до 6м (работы производить с вышки-туры</t>
  </si>
  <si>
    <t>работы внутри здания на высоте от 3м до 7м (работы производить с вышки-туры</t>
  </si>
  <si>
    <t>работы внутри здания на высоте до 7м  (работы производить с вышки-туры</t>
  </si>
  <si>
    <t>работы внутри здания на высоте до 7м (работы производить с вышки-туры</t>
  </si>
  <si>
    <t xml:space="preserve"> Выполнение работы на отметке +7.000 внутри цеха с использованием подъёмных механизмов (работы производить с вышки-туры</t>
  </si>
  <si>
    <t xml:space="preserve"> Выполнение работы на отметке +17.000 с использованием подъёмных механизмов, с помощью автовышки </t>
  </si>
  <si>
    <t>Грунт-эмаль  алкидная 3 в 1 (расход 120мг/м2)</t>
  </si>
  <si>
    <t xml:space="preserve">Окраска поверхности металлической конструкции консольных площадок, лестничного марша и ограждения межэтажного перехода в 3 слоя </t>
  </si>
  <si>
    <t xml:space="preserve">Окраска поверхности металлической уголков в 3 слоя </t>
  </si>
  <si>
    <t>33.1</t>
  </si>
  <si>
    <t>Установка ПВХ оконных блоков более 2м2</t>
  </si>
  <si>
    <t>Установка ПВХ оконных блоков до 2м2</t>
  </si>
  <si>
    <t>Грунт-эмаль  алкидная 3 в 1</t>
  </si>
  <si>
    <t>«___»_____________2024 г.</t>
  </si>
  <si>
    <t>Приложение №1 к ТЗ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</si>
</sst>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2"/>
      <color theme="1"/>
      <name val="Times New Roman"/>
      <family val="2"/>
      <charset val="204"/>
    </font>
    <font>
      <sz val="14"/>
      <name val="Times New Roman"/>
      <family val="1"/>
      <charset val="204"/>
    </font>
    <font>
      <b/>
      <u/>
      <sz val="14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5" fillId="0" borderId="0" xfId="1" applyFont="1" applyAlignment="1">
      <alignment horizontal="right" vertical="top"/>
    </xf>
    <xf numFmtId="0" fontId="4" fillId="0" borderId="0" xfId="1" applyFont="1" applyAlignment="1">
      <alignment horizontal="right" vertical="top"/>
    </xf>
    <xf numFmtId="0" fontId="4" fillId="0" borderId="0" xfId="1" applyFont="1" applyAlignment="1">
      <alignment vertical="top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wrapText="1"/>
    </xf>
    <xf numFmtId="0" fontId="2" fillId="0" borderId="0" xfId="0" applyFont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top" wrapText="1"/>
    </xf>
    <xf numFmtId="0" fontId="6" fillId="0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49" fontId="1" fillId="0" borderId="0" xfId="0" applyNumberFormat="1" applyFont="1" applyFill="1" applyBorder="1"/>
    <xf numFmtId="49" fontId="2" fillId="0" borderId="0" xfId="0" applyNumberFormat="1" applyFont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6" fillId="2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7"/>
  <sheetViews>
    <sheetView tabSelected="1" zoomScale="80" zoomScaleNormal="80" workbookViewId="0">
      <selection activeCell="K4" sqref="K4"/>
    </sheetView>
  </sheetViews>
  <sheetFormatPr defaultRowHeight="15.75" x14ac:dyDescent="0.25"/>
  <cols>
    <col min="1" max="1" width="5.125" style="42" customWidth="1"/>
    <col min="2" max="2" width="62.5" customWidth="1"/>
    <col min="3" max="3" width="29.25" style="19" customWidth="1"/>
    <col min="4" max="4" width="10.25" customWidth="1"/>
    <col min="5" max="5" width="13.375" customWidth="1"/>
    <col min="6" max="8" width="11.375" bestFit="1" customWidth="1"/>
  </cols>
  <sheetData>
    <row r="1" spans="1:7" ht="15" customHeight="1" x14ac:dyDescent="0.3">
      <c r="A1" s="38"/>
      <c r="B1" s="6"/>
      <c r="C1" s="8"/>
      <c r="D1" s="7"/>
      <c r="E1" s="7"/>
      <c r="F1" s="2"/>
      <c r="G1" s="1"/>
    </row>
    <row r="2" spans="1:7" ht="15" customHeight="1" x14ac:dyDescent="0.3">
      <c r="A2" s="38"/>
      <c r="B2" s="6"/>
      <c r="C2" s="56" t="s">
        <v>212</v>
      </c>
      <c r="D2" s="56"/>
      <c r="E2" s="56"/>
      <c r="F2" s="2"/>
      <c r="G2" s="1"/>
    </row>
    <row r="3" spans="1:7" ht="15" customHeight="1" x14ac:dyDescent="0.3">
      <c r="A3" s="38"/>
      <c r="B3" s="6"/>
      <c r="C3" s="8"/>
      <c r="D3" s="7"/>
      <c r="E3" s="7"/>
      <c r="F3" s="2"/>
      <c r="G3" s="1"/>
    </row>
    <row r="4" spans="1:7" ht="15" customHeight="1" x14ac:dyDescent="0.3">
      <c r="A4" s="38"/>
      <c r="B4" s="6"/>
      <c r="C4" s="8"/>
      <c r="D4" s="7"/>
      <c r="E4" s="8"/>
      <c r="F4" s="2"/>
      <c r="G4" s="1"/>
    </row>
    <row r="5" spans="1:7" ht="15" customHeight="1" x14ac:dyDescent="0.25">
      <c r="A5" s="54" t="s">
        <v>5</v>
      </c>
      <c r="B5" s="54"/>
      <c r="C5" s="53" t="s">
        <v>6</v>
      </c>
      <c r="D5" s="53"/>
      <c r="E5" s="53"/>
      <c r="F5" s="3"/>
      <c r="G5" s="1"/>
    </row>
    <row r="6" spans="1:7" ht="18.75" x14ac:dyDescent="0.3">
      <c r="A6" s="48" t="s">
        <v>4</v>
      </c>
      <c r="B6" s="48"/>
      <c r="C6" s="55" t="s">
        <v>7</v>
      </c>
      <c r="D6" s="55"/>
      <c r="E6" s="55"/>
    </row>
    <row r="7" spans="1:7" ht="18.75" customHeight="1" x14ac:dyDescent="0.3">
      <c r="A7" s="48" t="s">
        <v>8</v>
      </c>
      <c r="B7" s="48"/>
      <c r="C7" s="50" t="s">
        <v>8</v>
      </c>
      <c r="D7" s="50"/>
      <c r="E7" s="50"/>
    </row>
    <row r="8" spans="1:7" ht="18.75" x14ac:dyDescent="0.25">
      <c r="A8" s="49" t="s">
        <v>9</v>
      </c>
      <c r="B8" s="49"/>
      <c r="C8" s="50" t="s">
        <v>12</v>
      </c>
      <c r="D8" s="50"/>
      <c r="E8" s="50"/>
    </row>
    <row r="9" spans="1:7" ht="18.75" x14ac:dyDescent="0.25">
      <c r="A9" s="51" t="s">
        <v>211</v>
      </c>
      <c r="B9" s="51"/>
      <c r="C9" s="52" t="s">
        <v>211</v>
      </c>
      <c r="D9" s="52"/>
      <c r="E9" s="52"/>
    </row>
    <row r="10" spans="1:7" x14ac:dyDescent="0.25">
      <c r="A10" s="4"/>
      <c r="B10" s="4"/>
      <c r="C10" s="16"/>
      <c r="D10" s="5"/>
      <c r="E10" s="5"/>
    </row>
    <row r="11" spans="1:7" x14ac:dyDescent="0.25">
      <c r="A11" s="4"/>
      <c r="B11" s="4"/>
      <c r="C11" s="16"/>
      <c r="D11" s="5"/>
      <c r="E11" s="5"/>
    </row>
    <row r="12" spans="1:7" ht="21" customHeight="1" x14ac:dyDescent="0.25">
      <c r="A12" s="47" t="s">
        <v>160</v>
      </c>
      <c r="B12" s="47"/>
      <c r="C12" s="47"/>
      <c r="D12" s="47"/>
      <c r="E12" s="47"/>
    </row>
    <row r="13" spans="1:7" ht="21" customHeight="1" x14ac:dyDescent="0.25">
      <c r="A13" s="39"/>
      <c r="B13" s="9"/>
      <c r="C13" s="17"/>
      <c r="D13" s="9"/>
      <c r="E13" s="9"/>
    </row>
    <row r="14" spans="1:7" ht="18.75" customHeight="1" x14ac:dyDescent="0.25">
      <c r="A14" s="44" t="s">
        <v>141</v>
      </c>
      <c r="B14" s="45"/>
      <c r="C14" s="45"/>
      <c r="D14" s="45"/>
      <c r="E14" s="46"/>
    </row>
    <row r="15" spans="1:7" x14ac:dyDescent="0.25">
      <c r="A15" s="10" t="s">
        <v>14</v>
      </c>
      <c r="B15" s="11" t="s">
        <v>1</v>
      </c>
      <c r="C15" s="11" t="s">
        <v>2</v>
      </c>
      <c r="D15" s="12" t="s">
        <v>0</v>
      </c>
      <c r="E15" s="13" t="s">
        <v>3</v>
      </c>
      <c r="G15" s="22"/>
    </row>
    <row r="16" spans="1:7" ht="63" x14ac:dyDescent="0.25">
      <c r="A16" s="10" t="s">
        <v>17</v>
      </c>
      <c r="B16" s="14" t="s">
        <v>39</v>
      </c>
      <c r="C16" s="11" t="s">
        <v>193</v>
      </c>
      <c r="D16" s="12" t="s">
        <v>13</v>
      </c>
      <c r="E16" s="13">
        <f>(63+78)*0.075*1.2</f>
        <v>12.69</v>
      </c>
      <c r="G16" s="22"/>
    </row>
    <row r="17" spans="1:7" ht="63" x14ac:dyDescent="0.25">
      <c r="A17" s="10" t="s">
        <v>46</v>
      </c>
      <c r="B17" s="14" t="s">
        <v>142</v>
      </c>
      <c r="C17" s="11" t="s">
        <v>193</v>
      </c>
      <c r="D17" s="12" t="s">
        <v>13</v>
      </c>
      <c r="E17" s="12">
        <f>(63+78)*0.02*1.2</f>
        <v>3.3839999999999999</v>
      </c>
    </row>
    <row r="18" spans="1:7" ht="78.75" x14ac:dyDescent="0.25">
      <c r="A18" s="10" t="s">
        <v>47</v>
      </c>
      <c r="B18" s="14" t="s">
        <v>173</v>
      </c>
      <c r="C18" s="11" t="s">
        <v>194</v>
      </c>
      <c r="D18" s="12" t="s">
        <v>13</v>
      </c>
      <c r="E18" s="13">
        <f>E17</f>
        <v>3.3839999999999999</v>
      </c>
      <c r="G18" s="22"/>
    </row>
    <row r="19" spans="1:7" x14ac:dyDescent="0.25">
      <c r="A19" s="10"/>
      <c r="B19" s="14" t="s">
        <v>29</v>
      </c>
      <c r="C19" s="11"/>
      <c r="D19" s="12" t="s">
        <v>27</v>
      </c>
      <c r="E19" s="13">
        <v>9.3905999999999992</v>
      </c>
      <c r="G19" s="22"/>
    </row>
    <row r="20" spans="1:7" ht="63" x14ac:dyDescent="0.25">
      <c r="A20" s="10" t="s">
        <v>48</v>
      </c>
      <c r="B20" s="25" t="s">
        <v>161</v>
      </c>
      <c r="C20" s="11" t="s">
        <v>193</v>
      </c>
      <c r="D20" s="12" t="s">
        <v>13</v>
      </c>
      <c r="E20" s="13">
        <f>E16</f>
        <v>12.69</v>
      </c>
      <c r="G20" s="22"/>
    </row>
    <row r="21" spans="1:7" x14ac:dyDescent="0.25">
      <c r="A21" s="10"/>
      <c r="B21" s="25" t="s">
        <v>34</v>
      </c>
      <c r="C21" s="11"/>
      <c r="D21" s="12" t="s">
        <v>27</v>
      </c>
      <c r="E21" s="13">
        <f>E20*20*2.5</f>
        <v>634.5</v>
      </c>
      <c r="G21" s="22"/>
    </row>
    <row r="22" spans="1:7" s="34" customFormat="1" ht="31.5" x14ac:dyDescent="0.25">
      <c r="A22" s="10" t="s">
        <v>49</v>
      </c>
      <c r="B22" s="25" t="s">
        <v>59</v>
      </c>
      <c r="C22" s="11" t="s">
        <v>174</v>
      </c>
      <c r="D22" s="12" t="s">
        <v>15</v>
      </c>
      <c r="E22" s="13">
        <v>396</v>
      </c>
      <c r="G22" s="22"/>
    </row>
    <row r="23" spans="1:7" x14ac:dyDescent="0.25">
      <c r="A23" s="10"/>
      <c r="B23" s="25" t="s">
        <v>143</v>
      </c>
      <c r="C23" s="11"/>
      <c r="D23" s="12" t="s">
        <v>27</v>
      </c>
      <c r="E23" s="13">
        <v>380.2</v>
      </c>
      <c r="G23" s="22"/>
    </row>
    <row r="24" spans="1:7" ht="31.5" x14ac:dyDescent="0.25">
      <c r="A24" s="10"/>
      <c r="B24" s="25" t="s">
        <v>56</v>
      </c>
      <c r="C24" s="11"/>
      <c r="D24" s="12" t="s">
        <v>27</v>
      </c>
      <c r="E24" s="13">
        <v>2016.12</v>
      </c>
      <c r="G24" s="22"/>
    </row>
    <row r="25" spans="1:7" s="34" customFormat="1" x14ac:dyDescent="0.25">
      <c r="A25" s="40"/>
      <c r="B25" s="14" t="s">
        <v>52</v>
      </c>
      <c r="C25" s="18"/>
      <c r="D25" s="15" t="s">
        <v>38</v>
      </c>
      <c r="E25" s="15">
        <f>4*396</f>
        <v>1584</v>
      </c>
      <c r="G25" s="35"/>
    </row>
    <row r="26" spans="1:7" x14ac:dyDescent="0.25">
      <c r="A26" s="40">
        <v>6</v>
      </c>
      <c r="B26" s="14" t="s">
        <v>175</v>
      </c>
      <c r="C26" s="18" t="s">
        <v>176</v>
      </c>
      <c r="D26" s="15" t="s">
        <v>13</v>
      </c>
      <c r="E26" s="15">
        <f>12*6</f>
        <v>72</v>
      </c>
      <c r="G26" s="23"/>
    </row>
    <row r="27" spans="1:7" ht="31.5" x14ac:dyDescent="0.25">
      <c r="A27" s="40">
        <v>7</v>
      </c>
      <c r="B27" s="14" t="s">
        <v>144</v>
      </c>
      <c r="C27" s="18" t="s">
        <v>36</v>
      </c>
      <c r="D27" s="15" t="s">
        <v>13</v>
      </c>
      <c r="E27" s="15">
        <f>12*0.5</f>
        <v>6</v>
      </c>
      <c r="G27" s="23"/>
    </row>
    <row r="28" spans="1:7" ht="31.5" x14ac:dyDescent="0.25">
      <c r="A28" s="40">
        <v>8</v>
      </c>
      <c r="B28" s="14" t="s">
        <v>70</v>
      </c>
      <c r="C28" s="18" t="s">
        <v>36</v>
      </c>
      <c r="D28" s="15" t="s">
        <v>13</v>
      </c>
      <c r="E28" s="15">
        <f>12*0.5</f>
        <v>6</v>
      </c>
      <c r="G28" s="23"/>
    </row>
    <row r="29" spans="1:7" ht="31.5" x14ac:dyDescent="0.25">
      <c r="A29" s="40"/>
      <c r="B29" s="14" t="s">
        <v>71</v>
      </c>
      <c r="C29" s="18" t="s">
        <v>36</v>
      </c>
      <c r="D29" s="15" t="s">
        <v>72</v>
      </c>
      <c r="E29" s="15">
        <f>0.25*E28</f>
        <v>1.5</v>
      </c>
      <c r="G29" s="23"/>
    </row>
    <row r="30" spans="1:7" s="19" customFormat="1" ht="31.5" x14ac:dyDescent="0.25">
      <c r="A30" s="10" t="s">
        <v>115</v>
      </c>
      <c r="B30" s="14" t="s">
        <v>177</v>
      </c>
      <c r="C30" s="18" t="s">
        <v>36</v>
      </c>
      <c r="D30" s="11" t="s">
        <v>13</v>
      </c>
      <c r="E30" s="11">
        <f>12*0.5</f>
        <v>6</v>
      </c>
      <c r="G30" s="24"/>
    </row>
    <row r="31" spans="1:7" s="19" customFormat="1" x14ac:dyDescent="0.25">
      <c r="A31" s="10"/>
      <c r="B31" s="29" t="s">
        <v>145</v>
      </c>
      <c r="C31" s="18"/>
      <c r="D31" s="20" t="s">
        <v>27</v>
      </c>
      <c r="E31" s="30">
        <f>6*20*1.7</f>
        <v>204</v>
      </c>
      <c r="G31" s="24"/>
    </row>
    <row r="32" spans="1:7" s="19" customFormat="1" x14ac:dyDescent="0.25">
      <c r="A32" s="10"/>
      <c r="B32" s="14" t="s">
        <v>53</v>
      </c>
      <c r="C32" s="18"/>
      <c r="D32" s="20" t="s">
        <v>13</v>
      </c>
      <c r="E32" s="20">
        <v>6.6</v>
      </c>
      <c r="G32" s="24"/>
    </row>
    <row r="33" spans="1:7" s="36" customFormat="1" x14ac:dyDescent="0.25">
      <c r="A33" s="10"/>
      <c r="B33" s="14" t="s">
        <v>57</v>
      </c>
      <c r="C33" s="18"/>
      <c r="D33" s="20" t="s">
        <v>38</v>
      </c>
      <c r="E33" s="20">
        <f>10*E32</f>
        <v>66</v>
      </c>
      <c r="G33" s="37"/>
    </row>
    <row r="34" spans="1:7" s="36" customFormat="1" ht="31.5" x14ac:dyDescent="0.25">
      <c r="A34" s="10" t="s">
        <v>116</v>
      </c>
      <c r="B34" s="14" t="s">
        <v>192</v>
      </c>
      <c r="C34" s="18" t="s">
        <v>73</v>
      </c>
      <c r="D34" s="20" t="s">
        <v>38</v>
      </c>
      <c r="E34" s="20">
        <f>37*5</f>
        <v>185</v>
      </c>
      <c r="G34" s="37"/>
    </row>
    <row r="35" spans="1:7" s="19" customFormat="1" ht="31.5" x14ac:dyDescent="0.25">
      <c r="A35" s="10" t="s">
        <v>83</v>
      </c>
      <c r="B35" s="14" t="s">
        <v>55</v>
      </c>
      <c r="C35" s="18" t="s">
        <v>73</v>
      </c>
      <c r="D35" s="20" t="s">
        <v>35</v>
      </c>
      <c r="E35" s="43">
        <f>ROUND((E36/1160+E37/1100),3)</f>
        <v>0.17599999999999999</v>
      </c>
      <c r="G35" s="24"/>
    </row>
    <row r="36" spans="1:7" s="36" customFormat="1" ht="31.5" x14ac:dyDescent="0.25">
      <c r="A36" s="10"/>
      <c r="B36" s="14" t="s">
        <v>54</v>
      </c>
      <c r="C36" s="18" t="s">
        <v>73</v>
      </c>
      <c r="D36" s="20" t="s">
        <v>27</v>
      </c>
      <c r="E36" s="43">
        <f>37*5</f>
        <v>185</v>
      </c>
      <c r="G36" s="37"/>
    </row>
    <row r="37" spans="1:7" s="36" customFormat="1" ht="31.5" x14ac:dyDescent="0.25">
      <c r="A37" s="10"/>
      <c r="B37" s="14" t="s">
        <v>40</v>
      </c>
      <c r="C37" s="18" t="s">
        <v>73</v>
      </c>
      <c r="D37" s="20" t="s">
        <v>27</v>
      </c>
      <c r="E37" s="43">
        <f>E36*0.1</f>
        <v>18.5</v>
      </c>
      <c r="G37" s="37"/>
    </row>
    <row r="38" spans="1:7" s="19" customFormat="1" ht="31.5" x14ac:dyDescent="0.25">
      <c r="A38" s="10"/>
      <c r="B38" s="14" t="s">
        <v>146</v>
      </c>
      <c r="C38" s="18" t="s">
        <v>73</v>
      </c>
      <c r="D38" s="20" t="s">
        <v>38</v>
      </c>
      <c r="E38" s="20">
        <v>185</v>
      </c>
      <c r="G38" s="24"/>
    </row>
    <row r="39" spans="1:7" s="19" customFormat="1" ht="47.25" x14ac:dyDescent="0.25">
      <c r="A39" s="10" t="s">
        <v>84</v>
      </c>
      <c r="B39" s="14" t="s">
        <v>18</v>
      </c>
      <c r="C39" s="18" t="s">
        <v>74</v>
      </c>
      <c r="D39" s="20" t="s">
        <v>15</v>
      </c>
      <c r="E39" s="20">
        <f>(3+2+2+3+2+2)</f>
        <v>14</v>
      </c>
      <c r="G39" s="24"/>
    </row>
    <row r="40" spans="1:7" s="19" customFormat="1" x14ac:dyDescent="0.25">
      <c r="A40" s="10"/>
      <c r="B40" s="29" t="s">
        <v>80</v>
      </c>
      <c r="C40" s="18"/>
      <c r="D40" s="20" t="s">
        <v>38</v>
      </c>
      <c r="E40" s="20">
        <f>14*5</f>
        <v>70</v>
      </c>
      <c r="G40" s="24"/>
    </row>
    <row r="41" spans="1:7" s="36" customFormat="1" x14ac:dyDescent="0.25">
      <c r="A41" s="10"/>
      <c r="B41" s="29" t="s">
        <v>51</v>
      </c>
      <c r="C41" s="18"/>
      <c r="D41" s="20" t="s">
        <v>27</v>
      </c>
      <c r="E41" s="20">
        <f>E39*15</f>
        <v>210</v>
      </c>
      <c r="G41" s="37"/>
    </row>
    <row r="42" spans="1:7" s="36" customFormat="1" x14ac:dyDescent="0.25">
      <c r="A42" s="10"/>
      <c r="B42" s="29" t="s">
        <v>30</v>
      </c>
      <c r="C42" s="18"/>
      <c r="D42" s="20" t="s">
        <v>27</v>
      </c>
      <c r="E42" s="20">
        <f>14*6</f>
        <v>84</v>
      </c>
      <c r="G42" s="37"/>
    </row>
    <row r="43" spans="1:7" s="19" customFormat="1" ht="47.25" x14ac:dyDescent="0.25">
      <c r="A43" s="10" t="s">
        <v>85</v>
      </c>
      <c r="B43" s="14" t="s">
        <v>20</v>
      </c>
      <c r="C43" s="18" t="s">
        <v>195</v>
      </c>
      <c r="D43" s="20" t="s">
        <v>13</v>
      </c>
      <c r="E43" s="20">
        <f>(12+12+12+4+2+4+(5*6.9*3)+(5*4*3)+(6*7*3))*0.3*0.4</f>
        <v>40.26</v>
      </c>
      <c r="G43" s="24"/>
    </row>
    <row r="44" spans="1:7" s="19" customFormat="1" ht="47.25" x14ac:dyDescent="0.25">
      <c r="A44" s="10" t="s">
        <v>86</v>
      </c>
      <c r="B44" s="14" t="s">
        <v>19</v>
      </c>
      <c r="C44" s="18" t="s">
        <v>196</v>
      </c>
      <c r="D44" s="20" t="s">
        <v>13</v>
      </c>
      <c r="E44" s="20">
        <f>(10*6*3*0.3*1.2)+(12*(0.4+0.4+0.6))*0.4</f>
        <v>71.52</v>
      </c>
      <c r="G44" s="24"/>
    </row>
    <row r="45" spans="1:7" s="19" customFormat="1" ht="47.25" x14ac:dyDescent="0.25">
      <c r="A45" s="10" t="s">
        <v>87</v>
      </c>
      <c r="B45" s="14" t="s">
        <v>21</v>
      </c>
      <c r="C45" s="18" t="s">
        <v>197</v>
      </c>
      <c r="D45" s="20" t="s">
        <v>13</v>
      </c>
      <c r="E45" s="30">
        <f>(10*(6+3.1+6.9)+12*(6.9+3.1+6+6+3))*0.4</f>
        <v>184</v>
      </c>
      <c r="G45" s="24"/>
    </row>
    <row r="46" spans="1:7" s="19" customFormat="1" ht="47.25" x14ac:dyDescent="0.25">
      <c r="A46" s="10" t="s">
        <v>88</v>
      </c>
      <c r="B46" s="14" t="s">
        <v>22</v>
      </c>
      <c r="C46" s="18" t="s">
        <v>198</v>
      </c>
      <c r="D46" s="20" t="s">
        <v>13</v>
      </c>
      <c r="E46" s="20">
        <f>(4*(6+4+4)+2*12+6*12*3+(12+3.1+3)*6)*0.4</f>
        <v>161.84000000000003</v>
      </c>
      <c r="G46" s="24"/>
    </row>
    <row r="47" spans="1:7" s="19" customFormat="1" ht="47.25" x14ac:dyDescent="0.25">
      <c r="A47" s="10" t="s">
        <v>89</v>
      </c>
      <c r="B47" s="14" t="s">
        <v>147</v>
      </c>
      <c r="C47" s="18" t="s">
        <v>195</v>
      </c>
      <c r="D47" s="20" t="s">
        <v>13</v>
      </c>
      <c r="E47" s="20">
        <f>E43/5</f>
        <v>8.0519999999999996</v>
      </c>
      <c r="G47" s="24"/>
    </row>
    <row r="48" spans="1:7" s="19" customFormat="1" ht="47.25" x14ac:dyDescent="0.25">
      <c r="A48" s="10" t="s">
        <v>90</v>
      </c>
      <c r="B48" s="14" t="s">
        <v>148</v>
      </c>
      <c r="C48" s="18" t="s">
        <v>196</v>
      </c>
      <c r="D48" s="20" t="s">
        <v>13</v>
      </c>
      <c r="E48" s="20">
        <f t="shared" ref="E48:E50" si="0">E44/5</f>
        <v>14.303999999999998</v>
      </c>
      <c r="G48" s="24"/>
    </row>
    <row r="49" spans="1:7" s="19" customFormat="1" ht="47.25" x14ac:dyDescent="0.25">
      <c r="A49" s="10" t="s">
        <v>91</v>
      </c>
      <c r="B49" s="14" t="s">
        <v>149</v>
      </c>
      <c r="C49" s="18" t="s">
        <v>197</v>
      </c>
      <c r="D49" s="20" t="s">
        <v>13</v>
      </c>
      <c r="E49" s="20">
        <f t="shared" si="0"/>
        <v>36.799999999999997</v>
      </c>
      <c r="G49" s="24"/>
    </row>
    <row r="50" spans="1:7" s="19" customFormat="1" ht="47.25" x14ac:dyDescent="0.25">
      <c r="A50" s="10" t="s">
        <v>92</v>
      </c>
      <c r="B50" s="14" t="s">
        <v>150</v>
      </c>
      <c r="C50" s="18" t="s">
        <v>198</v>
      </c>
      <c r="D50" s="20" t="s">
        <v>13</v>
      </c>
      <c r="E50" s="20">
        <f t="shared" si="0"/>
        <v>32.368000000000009</v>
      </c>
      <c r="G50" s="24"/>
    </row>
    <row r="51" spans="1:7" s="36" customFormat="1" ht="47.25" x14ac:dyDescent="0.25">
      <c r="A51" s="10" t="s">
        <v>117</v>
      </c>
      <c r="B51" s="14" t="s">
        <v>58</v>
      </c>
      <c r="C51" s="18" t="s">
        <v>198</v>
      </c>
      <c r="D51" s="20" t="s">
        <v>38</v>
      </c>
      <c r="E51" s="20">
        <v>1</v>
      </c>
      <c r="G51" s="37"/>
    </row>
    <row r="52" spans="1:7" s="36" customFormat="1" ht="47.25" x14ac:dyDescent="0.25">
      <c r="A52" s="10" t="s">
        <v>118</v>
      </c>
      <c r="B52" s="14" t="s">
        <v>67</v>
      </c>
      <c r="C52" s="18" t="s">
        <v>198</v>
      </c>
      <c r="D52" s="20" t="s">
        <v>38</v>
      </c>
      <c r="E52" s="20">
        <v>1</v>
      </c>
      <c r="G52" s="37"/>
    </row>
    <row r="53" spans="1:7" s="36" customFormat="1" ht="47.25" x14ac:dyDescent="0.25">
      <c r="A53" s="10" t="s">
        <v>93</v>
      </c>
      <c r="B53" s="14" t="s">
        <v>66</v>
      </c>
      <c r="C53" s="18" t="s">
        <v>198</v>
      </c>
      <c r="D53" s="20" t="s">
        <v>15</v>
      </c>
      <c r="E53" s="20">
        <v>4</v>
      </c>
      <c r="G53" s="37"/>
    </row>
    <row r="54" spans="1:7" s="36" customFormat="1" x14ac:dyDescent="0.25">
      <c r="A54" s="10"/>
      <c r="B54" s="14" t="s">
        <v>113</v>
      </c>
      <c r="C54" s="18"/>
      <c r="D54" s="20" t="s">
        <v>27</v>
      </c>
      <c r="E54" s="20">
        <f>0.89*(4)</f>
        <v>3.56</v>
      </c>
      <c r="G54" s="37"/>
    </row>
    <row r="55" spans="1:7" s="19" customFormat="1" ht="47.25" x14ac:dyDescent="0.25">
      <c r="A55" s="10" t="s">
        <v>119</v>
      </c>
      <c r="B55" s="14" t="s">
        <v>172</v>
      </c>
      <c r="C55" s="18" t="s">
        <v>199</v>
      </c>
      <c r="D55" s="20" t="s">
        <v>13</v>
      </c>
      <c r="E55" s="20">
        <f>E47</f>
        <v>8.0519999999999996</v>
      </c>
      <c r="G55" s="24"/>
    </row>
    <row r="56" spans="1:7" s="19" customFormat="1" x14ac:dyDescent="0.25">
      <c r="A56" s="10"/>
      <c r="B56" s="14" t="s">
        <v>31</v>
      </c>
      <c r="C56" s="18"/>
      <c r="D56" s="20" t="s">
        <v>27</v>
      </c>
      <c r="E56" s="20">
        <f>ROUND((E55*2.77499),3)</f>
        <v>22.344000000000001</v>
      </c>
      <c r="G56" s="24"/>
    </row>
    <row r="57" spans="1:7" s="19" customFormat="1" ht="47.25" x14ac:dyDescent="0.25">
      <c r="A57" s="10" t="s">
        <v>94</v>
      </c>
      <c r="B57" s="14" t="s">
        <v>171</v>
      </c>
      <c r="C57" s="18" t="s">
        <v>200</v>
      </c>
      <c r="D57" s="20" t="s">
        <v>13</v>
      </c>
      <c r="E57" s="20">
        <f>E48</f>
        <v>14.303999999999998</v>
      </c>
      <c r="G57" s="24"/>
    </row>
    <row r="58" spans="1:7" s="19" customFormat="1" x14ac:dyDescent="0.25">
      <c r="A58" s="10"/>
      <c r="B58" s="14" t="s">
        <v>31</v>
      </c>
      <c r="C58" s="18"/>
      <c r="D58" s="20" t="s">
        <v>27</v>
      </c>
      <c r="E58" s="20">
        <f>E57*2.775</f>
        <v>39.693599999999996</v>
      </c>
      <c r="G58" s="24"/>
    </row>
    <row r="59" spans="1:7" s="19" customFormat="1" ht="47.25" x14ac:dyDescent="0.25">
      <c r="A59" s="10" t="s">
        <v>95</v>
      </c>
      <c r="B59" s="14" t="s">
        <v>170</v>
      </c>
      <c r="C59" s="18" t="s">
        <v>197</v>
      </c>
      <c r="D59" s="20" t="s">
        <v>13</v>
      </c>
      <c r="E59" s="20">
        <f>E49</f>
        <v>36.799999999999997</v>
      </c>
      <c r="G59" s="24"/>
    </row>
    <row r="60" spans="1:7" s="19" customFormat="1" x14ac:dyDescent="0.25">
      <c r="A60" s="10"/>
      <c r="B60" s="14" t="s">
        <v>31</v>
      </c>
      <c r="C60" s="18"/>
      <c r="D60" s="20" t="s">
        <v>27</v>
      </c>
      <c r="E60" s="20">
        <f>ROUND((E59*2.77499),3)</f>
        <v>102.12</v>
      </c>
      <c r="G60" s="24"/>
    </row>
    <row r="61" spans="1:7" s="19" customFormat="1" ht="47.25" x14ac:dyDescent="0.25">
      <c r="A61" s="10" t="s">
        <v>96</v>
      </c>
      <c r="B61" s="14" t="s">
        <v>169</v>
      </c>
      <c r="C61" s="18" t="s">
        <v>198</v>
      </c>
      <c r="D61" s="20" t="s">
        <v>13</v>
      </c>
      <c r="E61" s="20">
        <f>E50</f>
        <v>32.368000000000009</v>
      </c>
      <c r="G61" s="24"/>
    </row>
    <row r="62" spans="1:7" s="19" customFormat="1" x14ac:dyDescent="0.25">
      <c r="A62" s="10"/>
      <c r="B62" s="14" t="s">
        <v>31</v>
      </c>
      <c r="C62" s="18"/>
      <c r="D62" s="20" t="s">
        <v>27</v>
      </c>
      <c r="E62" s="20">
        <f>E61*2.775</f>
        <v>89.821200000000019</v>
      </c>
      <c r="G62" s="24"/>
    </row>
    <row r="63" spans="1:7" s="19" customFormat="1" ht="47.25" x14ac:dyDescent="0.25">
      <c r="A63" s="10" t="s">
        <v>97</v>
      </c>
      <c r="B63" s="14" t="s">
        <v>162</v>
      </c>
      <c r="C63" s="18" t="s">
        <v>199</v>
      </c>
      <c r="D63" s="20" t="s">
        <v>13</v>
      </c>
      <c r="E63" s="20">
        <f>E43</f>
        <v>40.26</v>
      </c>
      <c r="G63" s="24"/>
    </row>
    <row r="64" spans="1:7" s="19" customFormat="1" x14ac:dyDescent="0.25">
      <c r="A64" s="10"/>
      <c r="B64" s="14" t="s">
        <v>168</v>
      </c>
      <c r="C64" s="18"/>
      <c r="D64" s="20" t="s">
        <v>27</v>
      </c>
      <c r="E64" s="20">
        <f>E63*15*1.8</f>
        <v>1087.02</v>
      </c>
      <c r="G64" s="24"/>
    </row>
    <row r="65" spans="1:7" s="19" customFormat="1" ht="47.25" x14ac:dyDescent="0.25">
      <c r="A65" s="10" t="s">
        <v>98</v>
      </c>
      <c r="B65" s="14" t="s">
        <v>163</v>
      </c>
      <c r="C65" s="18" t="s">
        <v>201</v>
      </c>
      <c r="D65" s="20" t="s">
        <v>13</v>
      </c>
      <c r="E65" s="20">
        <f>E44</f>
        <v>71.52</v>
      </c>
      <c r="G65" s="24"/>
    </row>
    <row r="66" spans="1:7" s="19" customFormat="1" x14ac:dyDescent="0.25">
      <c r="A66" s="10"/>
      <c r="B66" s="14" t="s">
        <v>166</v>
      </c>
      <c r="C66" s="18"/>
      <c r="D66" s="20" t="s">
        <v>27</v>
      </c>
      <c r="E66" s="20">
        <f>E65*15*2</f>
        <v>2145.6</v>
      </c>
      <c r="G66" s="24"/>
    </row>
    <row r="67" spans="1:7" s="19" customFormat="1" ht="47.25" x14ac:dyDescent="0.25">
      <c r="A67" s="10" t="s">
        <v>99</v>
      </c>
      <c r="B67" s="14" t="s">
        <v>164</v>
      </c>
      <c r="C67" s="18" t="s">
        <v>197</v>
      </c>
      <c r="D67" s="20" t="s">
        <v>13</v>
      </c>
      <c r="E67" s="30">
        <f>E45</f>
        <v>184</v>
      </c>
      <c r="G67" s="24"/>
    </row>
    <row r="68" spans="1:7" s="19" customFormat="1" x14ac:dyDescent="0.25">
      <c r="A68" s="10"/>
      <c r="B68" s="14" t="s">
        <v>167</v>
      </c>
      <c r="C68" s="18"/>
      <c r="D68" s="20" t="s">
        <v>27</v>
      </c>
      <c r="E68" s="20">
        <f>E67*15*1.8</f>
        <v>4968</v>
      </c>
      <c r="G68" s="24"/>
    </row>
    <row r="69" spans="1:7" s="19" customFormat="1" ht="47.25" x14ac:dyDescent="0.25">
      <c r="A69" s="10" t="s">
        <v>100</v>
      </c>
      <c r="B69" s="14" t="s">
        <v>165</v>
      </c>
      <c r="C69" s="18" t="s">
        <v>198</v>
      </c>
      <c r="D69" s="20" t="s">
        <v>13</v>
      </c>
      <c r="E69" s="20">
        <f>E46</f>
        <v>161.84000000000003</v>
      </c>
      <c r="G69" s="24"/>
    </row>
    <row r="70" spans="1:7" s="19" customFormat="1" x14ac:dyDescent="0.25">
      <c r="A70" s="10"/>
      <c r="B70" s="14" t="s">
        <v>166</v>
      </c>
      <c r="C70" s="18"/>
      <c r="D70" s="20" t="s">
        <v>27</v>
      </c>
      <c r="E70" s="20">
        <f>E69*15*2</f>
        <v>4855.2000000000007</v>
      </c>
      <c r="G70" s="24"/>
    </row>
    <row r="71" spans="1:7" s="19" customFormat="1" x14ac:dyDescent="0.25">
      <c r="A71" s="10" t="s">
        <v>101</v>
      </c>
      <c r="B71" s="14" t="s">
        <v>151</v>
      </c>
      <c r="C71" s="18"/>
      <c r="D71" s="20" t="s">
        <v>13</v>
      </c>
      <c r="E71" s="20">
        <v>29.12</v>
      </c>
      <c r="G71" s="24"/>
    </row>
    <row r="72" spans="1:7" s="19" customFormat="1" x14ac:dyDescent="0.25">
      <c r="A72" s="10" t="s">
        <v>102</v>
      </c>
      <c r="B72" s="14" t="s">
        <v>152</v>
      </c>
      <c r="C72" s="18"/>
      <c r="D72" s="20" t="s">
        <v>35</v>
      </c>
      <c r="E72" s="20">
        <v>0.72</v>
      </c>
      <c r="G72" s="24"/>
    </row>
    <row r="73" spans="1:7" s="19" customFormat="1" x14ac:dyDescent="0.25">
      <c r="A73" s="10" t="s">
        <v>75</v>
      </c>
      <c r="B73" s="14" t="s">
        <v>24</v>
      </c>
      <c r="C73" s="18"/>
      <c r="D73" s="20" t="s">
        <v>35</v>
      </c>
      <c r="E73" s="20">
        <v>0.72</v>
      </c>
      <c r="G73" s="24"/>
    </row>
    <row r="74" spans="1:7" s="19" customFormat="1" x14ac:dyDescent="0.25">
      <c r="A74" s="10"/>
      <c r="B74" s="29" t="s">
        <v>32</v>
      </c>
      <c r="C74" s="18"/>
      <c r="D74" s="20" t="s">
        <v>38</v>
      </c>
      <c r="E74" s="31">
        <v>288</v>
      </c>
      <c r="G74" s="24"/>
    </row>
    <row r="75" spans="1:7" s="19" customFormat="1" x14ac:dyDescent="0.25">
      <c r="A75" s="10"/>
      <c r="B75" s="29" t="s">
        <v>33</v>
      </c>
      <c r="C75" s="18"/>
      <c r="D75" s="20" t="s">
        <v>35</v>
      </c>
      <c r="E75" s="20">
        <f>0.24*E73</f>
        <v>0.17279999999999998</v>
      </c>
      <c r="G75" s="24"/>
    </row>
    <row r="76" spans="1:7" s="19" customFormat="1" x14ac:dyDescent="0.25">
      <c r="A76" s="10" t="s">
        <v>120</v>
      </c>
      <c r="B76" s="14" t="s">
        <v>68</v>
      </c>
      <c r="C76" s="18"/>
      <c r="D76" s="20" t="s">
        <v>38</v>
      </c>
      <c r="E76" s="20">
        <f>8*2*2</f>
        <v>32</v>
      </c>
      <c r="G76" s="24"/>
    </row>
    <row r="77" spans="1:7" s="19" customFormat="1" x14ac:dyDescent="0.25">
      <c r="A77" s="10" t="s">
        <v>103</v>
      </c>
      <c r="B77" s="29" t="s">
        <v>153</v>
      </c>
      <c r="C77" s="18"/>
      <c r="D77" s="32" t="s">
        <v>35</v>
      </c>
      <c r="E77" s="20">
        <v>6.42</v>
      </c>
      <c r="G77" s="24"/>
    </row>
    <row r="78" spans="1:7" s="19" customFormat="1" x14ac:dyDescent="0.25">
      <c r="A78" s="10"/>
      <c r="B78" s="29" t="s">
        <v>32</v>
      </c>
      <c r="C78" s="18"/>
      <c r="D78" s="20" t="s">
        <v>38</v>
      </c>
      <c r="E78" s="31">
        <v>2568</v>
      </c>
      <c r="G78" s="24"/>
    </row>
    <row r="79" spans="1:7" s="19" customFormat="1" x14ac:dyDescent="0.25">
      <c r="A79" s="10"/>
      <c r="B79" s="29" t="s">
        <v>33</v>
      </c>
      <c r="C79" s="18"/>
      <c r="D79" s="20" t="s">
        <v>35</v>
      </c>
      <c r="E79" s="20">
        <v>1.5407999999999999</v>
      </c>
      <c r="G79" s="24"/>
    </row>
    <row r="80" spans="1:7" s="19" customFormat="1" x14ac:dyDescent="0.25">
      <c r="A80" s="10"/>
      <c r="B80" s="14" t="s">
        <v>114</v>
      </c>
      <c r="C80" s="18"/>
      <c r="D80" s="20" t="s">
        <v>27</v>
      </c>
      <c r="E80" s="20">
        <v>12.64</v>
      </c>
      <c r="G80" s="24"/>
    </row>
    <row r="81" spans="1:7" s="19" customFormat="1" x14ac:dyDescent="0.25">
      <c r="A81" s="10" t="s">
        <v>104</v>
      </c>
      <c r="B81" s="14" t="s">
        <v>208</v>
      </c>
      <c r="C81" s="18"/>
      <c r="D81" s="20" t="s">
        <v>13</v>
      </c>
      <c r="E81" s="20">
        <v>17.38</v>
      </c>
      <c r="G81" s="24"/>
    </row>
    <row r="82" spans="1:7" s="19" customFormat="1" ht="31.5" x14ac:dyDescent="0.25">
      <c r="A82" s="10"/>
      <c r="B82" s="14" t="s">
        <v>178</v>
      </c>
      <c r="C82" s="18"/>
      <c r="D82" s="20" t="s">
        <v>38</v>
      </c>
      <c r="E82" s="20">
        <v>6</v>
      </c>
      <c r="G82" s="24"/>
    </row>
    <row r="83" spans="1:7" s="19" customFormat="1" x14ac:dyDescent="0.25">
      <c r="A83" s="10" t="s">
        <v>207</v>
      </c>
      <c r="B83" s="14" t="s">
        <v>209</v>
      </c>
      <c r="C83" s="18"/>
      <c r="D83" s="20" t="s">
        <v>13</v>
      </c>
      <c r="E83" s="20">
        <v>11.47</v>
      </c>
      <c r="G83" s="24"/>
    </row>
    <row r="84" spans="1:7" s="19" customFormat="1" ht="31.5" x14ac:dyDescent="0.25">
      <c r="A84" s="10"/>
      <c r="B84" s="14" t="s">
        <v>191</v>
      </c>
      <c r="C84" s="18"/>
      <c r="D84" s="20" t="s">
        <v>38</v>
      </c>
      <c r="E84" s="20">
        <v>6</v>
      </c>
      <c r="G84" s="24"/>
    </row>
    <row r="85" spans="1:7" s="19" customFormat="1" x14ac:dyDescent="0.25">
      <c r="A85" s="10" t="s">
        <v>105</v>
      </c>
      <c r="B85" s="14" t="s">
        <v>154</v>
      </c>
      <c r="C85" s="18"/>
      <c r="D85" s="20" t="s">
        <v>13</v>
      </c>
      <c r="E85" s="20">
        <f>((2+2)*6+(2*2+1.5)*6)*0.15</f>
        <v>8.5499999999999989</v>
      </c>
      <c r="G85" s="24"/>
    </row>
    <row r="86" spans="1:7" s="19" customFormat="1" x14ac:dyDescent="0.25">
      <c r="A86" s="10" t="s">
        <v>106</v>
      </c>
      <c r="B86" s="14" t="s">
        <v>121</v>
      </c>
      <c r="C86" s="18"/>
      <c r="D86" s="20" t="s">
        <v>13</v>
      </c>
      <c r="E86" s="20">
        <f>E85</f>
        <v>8.5499999999999989</v>
      </c>
      <c r="G86" s="24"/>
    </row>
    <row r="87" spans="1:7" s="19" customFormat="1" x14ac:dyDescent="0.25">
      <c r="A87" s="10"/>
      <c r="B87" s="14" t="s">
        <v>71</v>
      </c>
      <c r="C87" s="18"/>
      <c r="D87" s="20" t="s">
        <v>72</v>
      </c>
      <c r="E87" s="20">
        <f>E86*0.25</f>
        <v>2.1374999999999997</v>
      </c>
      <c r="G87" s="24"/>
    </row>
    <row r="88" spans="1:7" s="19" customFormat="1" x14ac:dyDescent="0.25">
      <c r="A88" s="10" t="s">
        <v>107</v>
      </c>
      <c r="B88" s="14" t="s">
        <v>122</v>
      </c>
      <c r="C88" s="18"/>
      <c r="D88" s="20" t="s">
        <v>13</v>
      </c>
      <c r="E88" s="20">
        <f>E86</f>
        <v>8.5499999999999989</v>
      </c>
      <c r="G88" s="24"/>
    </row>
    <row r="89" spans="1:7" s="19" customFormat="1" x14ac:dyDescent="0.25">
      <c r="A89" s="10"/>
      <c r="B89" s="14" t="s">
        <v>145</v>
      </c>
      <c r="C89" s="18"/>
      <c r="D89" s="20" t="s">
        <v>27</v>
      </c>
      <c r="E89" s="20">
        <f>E88*1.7*15</f>
        <v>218.02499999999998</v>
      </c>
      <c r="G89" s="24"/>
    </row>
    <row r="90" spans="1:7" s="19" customFormat="1" x14ac:dyDescent="0.25">
      <c r="A90" s="10" t="s">
        <v>108</v>
      </c>
      <c r="B90" s="14" t="s">
        <v>155</v>
      </c>
      <c r="C90" s="18"/>
      <c r="D90" s="20" t="s">
        <v>13</v>
      </c>
      <c r="E90" s="20">
        <f>1.5*0.15*6+2*0.15*6</f>
        <v>3.1499999999999995</v>
      </c>
      <c r="G90" s="24"/>
    </row>
    <row r="91" spans="1:7" s="19" customFormat="1" x14ac:dyDescent="0.25">
      <c r="A91" s="10"/>
      <c r="B91" s="14" t="s">
        <v>76</v>
      </c>
      <c r="C91" s="18"/>
      <c r="D91" s="20" t="s">
        <v>38</v>
      </c>
      <c r="E91" s="20">
        <v>6</v>
      </c>
      <c r="G91" s="24"/>
    </row>
    <row r="92" spans="1:7" s="19" customFormat="1" x14ac:dyDescent="0.25">
      <c r="A92" s="10"/>
      <c r="B92" s="14" t="s">
        <v>77</v>
      </c>
      <c r="C92" s="18"/>
      <c r="D92" s="20" t="s">
        <v>38</v>
      </c>
      <c r="E92" s="20">
        <v>6</v>
      </c>
      <c r="G92" s="24"/>
    </row>
    <row r="93" spans="1:7" s="19" customFormat="1" x14ac:dyDescent="0.25">
      <c r="A93" s="10" t="s">
        <v>123</v>
      </c>
      <c r="B93" s="14" t="s">
        <v>61</v>
      </c>
      <c r="C93" s="18"/>
      <c r="D93" s="20" t="s">
        <v>15</v>
      </c>
      <c r="E93" s="20">
        <f>2.9*2</f>
        <v>5.8</v>
      </c>
      <c r="G93" s="24"/>
    </row>
    <row r="94" spans="1:7" s="19" customFormat="1" x14ac:dyDescent="0.25">
      <c r="A94" s="10" t="s">
        <v>124</v>
      </c>
      <c r="B94" s="14" t="s">
        <v>69</v>
      </c>
      <c r="C94" s="18"/>
      <c r="D94" s="20" t="s">
        <v>38</v>
      </c>
      <c r="E94" s="20">
        <v>1</v>
      </c>
      <c r="G94" s="24"/>
    </row>
    <row r="95" spans="1:7" s="19" customFormat="1" x14ac:dyDescent="0.25">
      <c r="A95" s="10"/>
      <c r="B95" s="14" t="s">
        <v>60</v>
      </c>
      <c r="C95" s="18"/>
      <c r="D95" s="20" t="s">
        <v>27</v>
      </c>
      <c r="E95" s="20">
        <v>71.34</v>
      </c>
      <c r="G95" s="24"/>
    </row>
    <row r="96" spans="1:7" s="19" customFormat="1" x14ac:dyDescent="0.25">
      <c r="A96" s="10"/>
      <c r="B96" s="14" t="s">
        <v>81</v>
      </c>
      <c r="C96" s="18"/>
      <c r="D96" s="20" t="s">
        <v>35</v>
      </c>
      <c r="E96" s="30">
        <f>E93*0.05*0.05</f>
        <v>1.4499999999999999E-2</v>
      </c>
      <c r="G96" s="24"/>
    </row>
    <row r="97" spans="1:7" s="19" customFormat="1" x14ac:dyDescent="0.25">
      <c r="A97" s="10"/>
      <c r="B97" s="14" t="s">
        <v>62</v>
      </c>
      <c r="C97" s="18"/>
      <c r="D97" s="20" t="s">
        <v>15</v>
      </c>
      <c r="E97" s="31">
        <v>0.7</v>
      </c>
      <c r="G97" s="24"/>
    </row>
    <row r="98" spans="1:7" s="19" customFormat="1" x14ac:dyDescent="0.25">
      <c r="A98" s="10"/>
      <c r="B98" s="14" t="s">
        <v>145</v>
      </c>
      <c r="C98" s="18"/>
      <c r="D98" s="20" t="s">
        <v>27</v>
      </c>
      <c r="E98" s="33">
        <f>(E93*0.021)*1.7*90</f>
        <v>18.635400000000001</v>
      </c>
      <c r="G98" s="24"/>
    </row>
    <row r="99" spans="1:7" s="19" customFormat="1" ht="31.5" x14ac:dyDescent="0.25">
      <c r="A99" s="10" t="s">
        <v>125</v>
      </c>
      <c r="B99" s="14" t="s">
        <v>25</v>
      </c>
      <c r="C99" s="18"/>
      <c r="D99" s="20" t="s">
        <v>13</v>
      </c>
      <c r="E99" s="20">
        <f>4*0.8*6</f>
        <v>19.200000000000003</v>
      </c>
      <c r="G99" s="24"/>
    </row>
    <row r="100" spans="1:7" s="19" customFormat="1" ht="31.5" x14ac:dyDescent="0.25">
      <c r="A100" s="10" t="s">
        <v>126</v>
      </c>
      <c r="B100" s="14" t="s">
        <v>188</v>
      </c>
      <c r="C100" s="18"/>
      <c r="D100" s="20" t="s">
        <v>27</v>
      </c>
      <c r="E100" s="20">
        <f>78.5*0.6*14</f>
        <v>659.4</v>
      </c>
      <c r="G100" s="24"/>
    </row>
    <row r="101" spans="1:7" s="19" customFormat="1" ht="31.5" x14ac:dyDescent="0.25">
      <c r="A101" s="10" t="s">
        <v>50</v>
      </c>
      <c r="B101" s="14" t="s">
        <v>28</v>
      </c>
      <c r="C101" s="18"/>
      <c r="D101" s="20" t="s">
        <v>13</v>
      </c>
      <c r="E101" s="20">
        <v>4</v>
      </c>
      <c r="G101" s="24"/>
    </row>
    <row r="102" spans="1:7" s="19" customFormat="1" x14ac:dyDescent="0.25">
      <c r="A102" s="10"/>
      <c r="B102" s="14" t="s">
        <v>78</v>
      </c>
      <c r="C102" s="18"/>
      <c r="D102" s="20" t="s">
        <v>27</v>
      </c>
      <c r="E102" s="20">
        <f>0.25*E101</f>
        <v>1</v>
      </c>
      <c r="G102" s="24"/>
    </row>
    <row r="103" spans="1:7" s="19" customFormat="1" ht="84.75" customHeight="1" x14ac:dyDescent="0.25">
      <c r="A103" s="10" t="s">
        <v>127</v>
      </c>
      <c r="B103" s="25" t="s">
        <v>156</v>
      </c>
      <c r="C103" s="18" t="s">
        <v>128</v>
      </c>
      <c r="D103" s="11" t="s">
        <v>35</v>
      </c>
      <c r="E103" s="11">
        <v>0.8</v>
      </c>
      <c r="G103" s="24"/>
    </row>
    <row r="104" spans="1:7" s="19" customFormat="1" x14ac:dyDescent="0.25">
      <c r="A104" s="10"/>
      <c r="B104" s="14" t="s">
        <v>187</v>
      </c>
      <c r="C104" s="18"/>
      <c r="D104" s="20" t="s">
        <v>35</v>
      </c>
      <c r="E104" s="20">
        <f>E103*1.02</f>
        <v>0.81600000000000006</v>
      </c>
      <c r="G104" s="24"/>
    </row>
    <row r="105" spans="1:7" s="19" customFormat="1" ht="31.5" x14ac:dyDescent="0.25">
      <c r="A105" s="10" t="s">
        <v>129</v>
      </c>
      <c r="B105" s="14" t="s">
        <v>157</v>
      </c>
      <c r="C105" s="18" t="s">
        <v>82</v>
      </c>
      <c r="D105" s="20" t="s">
        <v>13</v>
      </c>
      <c r="E105" s="20">
        <f>2.5*1.5*1+2*2.5*2</f>
        <v>13.75</v>
      </c>
      <c r="G105" s="24"/>
    </row>
    <row r="106" spans="1:7" s="19" customFormat="1" x14ac:dyDescent="0.25">
      <c r="A106" s="10"/>
      <c r="B106" s="14" t="s">
        <v>158</v>
      </c>
      <c r="C106" s="18"/>
      <c r="D106" s="20" t="s">
        <v>27</v>
      </c>
      <c r="E106" s="30">
        <v>322</v>
      </c>
      <c r="G106" s="24"/>
    </row>
    <row r="107" spans="1:7" s="19" customFormat="1" x14ac:dyDescent="0.25">
      <c r="A107" s="10"/>
      <c r="B107" s="14" t="s">
        <v>159</v>
      </c>
      <c r="C107" s="18"/>
      <c r="D107" s="20" t="s">
        <v>27</v>
      </c>
      <c r="E107" s="30">
        <v>120.75</v>
      </c>
      <c r="G107" s="24"/>
    </row>
    <row r="108" spans="1:7" s="19" customFormat="1" x14ac:dyDescent="0.25">
      <c r="A108" s="10"/>
      <c r="B108" s="14" t="s">
        <v>140</v>
      </c>
      <c r="C108" s="18"/>
      <c r="D108" s="20" t="s">
        <v>27</v>
      </c>
      <c r="E108" s="30">
        <v>631.04</v>
      </c>
      <c r="G108" s="24"/>
    </row>
    <row r="109" spans="1:7" s="19" customFormat="1" ht="31.5" x14ac:dyDescent="0.25">
      <c r="A109" s="10" t="s">
        <v>130</v>
      </c>
      <c r="B109" s="14" t="s">
        <v>189</v>
      </c>
      <c r="C109" s="18" t="s">
        <v>65</v>
      </c>
      <c r="D109" s="20" t="s">
        <v>35</v>
      </c>
      <c r="E109" s="20">
        <v>18</v>
      </c>
      <c r="G109" s="24"/>
    </row>
    <row r="110" spans="1:7" s="19" customFormat="1" ht="31.5" x14ac:dyDescent="0.25">
      <c r="A110" s="10" t="s">
        <v>131</v>
      </c>
      <c r="B110" s="14" t="s">
        <v>190</v>
      </c>
      <c r="C110" s="18" t="s">
        <v>65</v>
      </c>
      <c r="D110" s="20" t="s">
        <v>35</v>
      </c>
      <c r="E110" s="20">
        <f>(30+30+24+24-12)*1.2*0.4</f>
        <v>46.08</v>
      </c>
      <c r="G110" s="24"/>
    </row>
    <row r="111" spans="1:7" s="19" customFormat="1" ht="31.5" x14ac:dyDescent="0.25">
      <c r="A111" s="10" t="s">
        <v>132</v>
      </c>
      <c r="B111" s="14" t="s">
        <v>41</v>
      </c>
      <c r="C111" s="18"/>
      <c r="D111" s="20" t="s">
        <v>13</v>
      </c>
      <c r="E111" s="20">
        <f>(30+30+24+24-12)*1.2</f>
        <v>115.19999999999999</v>
      </c>
      <c r="G111" s="24"/>
    </row>
    <row r="112" spans="1:7" s="19" customFormat="1" x14ac:dyDescent="0.25">
      <c r="A112" s="10"/>
      <c r="B112" s="14" t="s">
        <v>79</v>
      </c>
      <c r="C112" s="18"/>
      <c r="D112" s="20" t="s">
        <v>35</v>
      </c>
      <c r="E112" s="20">
        <f>E111*0.15*1.1</f>
        <v>19.007999999999999</v>
      </c>
      <c r="G112" s="24"/>
    </row>
    <row r="113" spans="1:7" s="19" customFormat="1" ht="31.5" x14ac:dyDescent="0.25">
      <c r="A113" s="10" t="s">
        <v>133</v>
      </c>
      <c r="B113" s="14" t="s">
        <v>42</v>
      </c>
      <c r="C113" s="18"/>
      <c r="D113" s="20" t="s">
        <v>13</v>
      </c>
      <c r="E113" s="20">
        <f>E111</f>
        <v>115.19999999999999</v>
      </c>
      <c r="G113" s="24"/>
    </row>
    <row r="114" spans="1:7" s="19" customFormat="1" x14ac:dyDescent="0.25">
      <c r="A114" s="10"/>
      <c r="B114" s="14" t="s">
        <v>44</v>
      </c>
      <c r="C114" s="18"/>
      <c r="D114" s="20" t="s">
        <v>35</v>
      </c>
      <c r="E114" s="20">
        <f>E113*0.1*1.15</f>
        <v>13.247999999999999</v>
      </c>
      <c r="G114" s="24"/>
    </row>
    <row r="115" spans="1:7" s="19" customFormat="1" ht="47.25" x14ac:dyDescent="0.25">
      <c r="A115" s="10" t="s">
        <v>134</v>
      </c>
      <c r="B115" s="14" t="s">
        <v>179</v>
      </c>
      <c r="C115" s="18"/>
      <c r="D115" s="20" t="s">
        <v>35</v>
      </c>
      <c r="E115" s="20">
        <f>E113*0.12</f>
        <v>13.823999999999998</v>
      </c>
      <c r="G115" s="24"/>
    </row>
    <row r="116" spans="1:7" s="19" customFormat="1" x14ac:dyDescent="0.25">
      <c r="A116" s="10"/>
      <c r="B116" s="14" t="s">
        <v>43</v>
      </c>
      <c r="C116" s="18"/>
      <c r="D116" s="20" t="s">
        <v>13</v>
      </c>
      <c r="E116" s="20">
        <v>126.72</v>
      </c>
      <c r="G116" s="24"/>
    </row>
    <row r="117" spans="1:7" s="19" customFormat="1" x14ac:dyDescent="0.25">
      <c r="A117" s="10"/>
      <c r="B117" s="14" t="s">
        <v>180</v>
      </c>
      <c r="C117" s="18"/>
      <c r="D117" s="20" t="s">
        <v>35</v>
      </c>
      <c r="E117" s="20">
        <f>47*1.2*0.02*0.1</f>
        <v>0.1128</v>
      </c>
      <c r="G117" s="24"/>
    </row>
    <row r="118" spans="1:7" s="19" customFormat="1" ht="31.5" x14ac:dyDescent="0.25">
      <c r="A118" s="10"/>
      <c r="B118" s="14" t="s">
        <v>182</v>
      </c>
      <c r="C118" s="18" t="s">
        <v>183</v>
      </c>
      <c r="D118" s="20" t="s">
        <v>27</v>
      </c>
      <c r="E118" s="20">
        <f>2.5*47*0.1*1.2*0.02</f>
        <v>0.28199999999999997</v>
      </c>
      <c r="G118" s="24"/>
    </row>
    <row r="119" spans="1:7" s="19" customFormat="1" x14ac:dyDescent="0.25">
      <c r="A119" s="10"/>
      <c r="B119" s="14" t="s">
        <v>181</v>
      </c>
      <c r="C119" s="18"/>
      <c r="D119" s="20" t="s">
        <v>35</v>
      </c>
      <c r="E119" s="20">
        <f>E115*1.02</f>
        <v>14.100479999999997</v>
      </c>
      <c r="G119" s="24"/>
    </row>
    <row r="120" spans="1:7" s="19" customFormat="1" x14ac:dyDescent="0.25">
      <c r="A120" s="10" t="s">
        <v>135</v>
      </c>
      <c r="B120" s="14" t="s">
        <v>136</v>
      </c>
      <c r="C120" s="18"/>
      <c r="D120" s="20" t="s">
        <v>13</v>
      </c>
      <c r="E120" s="20">
        <v>15.84</v>
      </c>
      <c r="G120" s="24"/>
    </row>
    <row r="121" spans="1:7" s="19" customFormat="1" ht="78.75" x14ac:dyDescent="0.25">
      <c r="A121" s="10" t="s">
        <v>137</v>
      </c>
      <c r="B121" s="14" t="s">
        <v>26</v>
      </c>
      <c r="C121" s="18" t="s">
        <v>202</v>
      </c>
      <c r="D121" s="20" t="s">
        <v>13</v>
      </c>
      <c r="E121" s="20">
        <f>20</f>
        <v>20</v>
      </c>
      <c r="G121" s="24"/>
    </row>
    <row r="122" spans="1:7" s="19" customFormat="1" ht="78.75" x14ac:dyDescent="0.25">
      <c r="A122" s="10" t="s">
        <v>109</v>
      </c>
      <c r="B122" s="14" t="s">
        <v>205</v>
      </c>
      <c r="C122" s="18" t="s">
        <v>202</v>
      </c>
      <c r="D122" s="20" t="s">
        <v>13</v>
      </c>
      <c r="E122" s="20">
        <f>20</f>
        <v>20</v>
      </c>
      <c r="G122" s="24"/>
    </row>
    <row r="123" spans="1:7" s="19" customFormat="1" x14ac:dyDescent="0.25">
      <c r="A123" s="10"/>
      <c r="B123" s="14" t="s">
        <v>210</v>
      </c>
      <c r="C123" s="18"/>
      <c r="D123" s="20" t="s">
        <v>27</v>
      </c>
      <c r="E123" s="20">
        <v>14</v>
      </c>
      <c r="G123" s="24"/>
    </row>
    <row r="124" spans="1:7" s="19" customFormat="1" ht="63" x14ac:dyDescent="0.25">
      <c r="A124" s="10" t="s">
        <v>110</v>
      </c>
      <c r="B124" s="14" t="s">
        <v>37</v>
      </c>
      <c r="C124" s="18" t="s">
        <v>203</v>
      </c>
      <c r="D124" s="11" t="s">
        <v>13</v>
      </c>
      <c r="E124" s="11">
        <f>(24+24+12)*6.37</f>
        <v>382.2</v>
      </c>
      <c r="F124" s="21"/>
      <c r="G124" s="24"/>
    </row>
    <row r="125" spans="1:7" s="19" customFormat="1" ht="63" x14ac:dyDescent="0.25">
      <c r="A125" s="10" t="s">
        <v>111</v>
      </c>
      <c r="B125" s="14" t="s">
        <v>184</v>
      </c>
      <c r="C125" s="18" t="s">
        <v>203</v>
      </c>
      <c r="D125" s="11" t="s">
        <v>27</v>
      </c>
      <c r="E125" s="11">
        <f>((6+6+5.1+6.9+12+6.9+5.1+6+6)*14)*3.05</f>
        <v>2562</v>
      </c>
      <c r="F125" s="26"/>
      <c r="G125" s="24"/>
    </row>
    <row r="126" spans="1:7" s="19" customFormat="1" x14ac:dyDescent="0.25">
      <c r="A126" s="10"/>
      <c r="B126" s="14" t="s">
        <v>45</v>
      </c>
      <c r="C126" s="18"/>
      <c r="D126" s="20" t="s">
        <v>27</v>
      </c>
      <c r="E126" s="11">
        <f>E125*1.05</f>
        <v>2690.1</v>
      </c>
      <c r="F126" s="26"/>
      <c r="G126" s="24"/>
    </row>
    <row r="127" spans="1:7" s="19" customFormat="1" x14ac:dyDescent="0.25">
      <c r="A127" s="10" t="s">
        <v>112</v>
      </c>
      <c r="B127" s="14" t="s">
        <v>206</v>
      </c>
      <c r="C127" s="18"/>
      <c r="D127" s="11" t="s">
        <v>13</v>
      </c>
      <c r="E127" s="11">
        <f>((6+6+5.1+6.9+12+6.9+5.1+6+6)*14)*0.05*4</f>
        <v>168</v>
      </c>
      <c r="F127" s="26"/>
      <c r="G127" s="24"/>
    </row>
    <row r="128" spans="1:7" s="19" customFormat="1" x14ac:dyDescent="0.25">
      <c r="A128" s="10"/>
      <c r="B128" s="14" t="s">
        <v>204</v>
      </c>
      <c r="C128" s="18"/>
      <c r="D128" s="20" t="s">
        <v>27</v>
      </c>
      <c r="E128" s="11">
        <f>E127*3*0.12</f>
        <v>60.48</v>
      </c>
      <c r="F128" s="26"/>
      <c r="G128" s="24"/>
    </row>
    <row r="129" spans="1:7" s="19" customFormat="1" x14ac:dyDescent="0.25">
      <c r="A129" s="10" t="s">
        <v>138</v>
      </c>
      <c r="B129" s="14" t="s">
        <v>23</v>
      </c>
      <c r="C129" s="18"/>
      <c r="D129" s="20" t="s">
        <v>13</v>
      </c>
      <c r="E129" s="11">
        <f>E124+(12*1.5)</f>
        <v>400.2</v>
      </c>
      <c r="F129" s="26"/>
      <c r="G129" s="24"/>
    </row>
    <row r="130" spans="1:7" s="19" customFormat="1" x14ac:dyDescent="0.25">
      <c r="A130" s="10"/>
      <c r="B130" s="14" t="s">
        <v>185</v>
      </c>
      <c r="C130" s="18"/>
      <c r="D130" s="20" t="s">
        <v>13</v>
      </c>
      <c r="E130" s="11">
        <f>E129*1.05</f>
        <v>420.21</v>
      </c>
      <c r="F130" s="26"/>
      <c r="G130" s="24"/>
    </row>
    <row r="131" spans="1:7" s="19" customFormat="1" x14ac:dyDescent="0.25">
      <c r="A131" s="10"/>
      <c r="B131" s="14" t="s">
        <v>63</v>
      </c>
      <c r="C131" s="18"/>
      <c r="D131" s="20" t="s">
        <v>38</v>
      </c>
      <c r="E131" s="11">
        <f>882/0.2</f>
        <v>4410</v>
      </c>
      <c r="F131" s="26"/>
      <c r="G131" s="24"/>
    </row>
    <row r="132" spans="1:7" s="19" customFormat="1" x14ac:dyDescent="0.25">
      <c r="A132" s="10" t="s">
        <v>139</v>
      </c>
      <c r="B132" s="14" t="s">
        <v>186</v>
      </c>
      <c r="C132" s="18"/>
      <c r="D132" s="11" t="s">
        <v>64</v>
      </c>
      <c r="E132" s="11">
        <f>((E71*0.008*2600)+(E124*0.008*1600)+(E93*0.21*0.09*1800)+(E72*0.12*1500)+((E46+E45+E44+E43+E16)*0.02*1800))/1000*1.1</f>
        <v>25.031525200000004</v>
      </c>
      <c r="F132" s="26"/>
      <c r="G132" s="24"/>
    </row>
    <row r="133" spans="1:7" s="19" customFormat="1" x14ac:dyDescent="0.25">
      <c r="A133" s="41"/>
      <c r="B133" s="27"/>
      <c r="C133" s="28"/>
      <c r="D133" s="26"/>
      <c r="E133" s="26"/>
      <c r="F133" s="26"/>
      <c r="G133" s="24"/>
    </row>
    <row r="134" spans="1:7" s="19" customFormat="1" x14ac:dyDescent="0.25">
      <c r="A134" s="42"/>
      <c r="B134" t="s">
        <v>10</v>
      </c>
      <c r="D134"/>
      <c r="E134"/>
      <c r="F134" s="26"/>
      <c r="G134" s="24"/>
    </row>
    <row r="135" spans="1:7" s="19" customFormat="1" x14ac:dyDescent="0.25">
      <c r="A135" s="42"/>
      <c r="B135" t="s">
        <v>11</v>
      </c>
      <c r="D135" t="s">
        <v>16</v>
      </c>
      <c r="E135"/>
      <c r="F135" s="26"/>
      <c r="G135" s="24"/>
    </row>
    <row r="136" spans="1:7" s="19" customFormat="1" x14ac:dyDescent="0.25">
      <c r="A136" s="42"/>
      <c r="B136"/>
      <c r="D136"/>
      <c r="E136"/>
      <c r="F136" s="26"/>
      <c r="G136" s="24"/>
    </row>
    <row r="137" spans="1:7" s="19" customFormat="1" x14ac:dyDescent="0.25">
      <c r="A137" s="42"/>
      <c r="B137"/>
      <c r="D137"/>
      <c r="E137"/>
      <c r="F137" s="26"/>
      <c r="G137" s="24"/>
    </row>
  </sheetData>
  <mergeCells count="13">
    <mergeCell ref="C2:E2"/>
    <mergeCell ref="C5:E5"/>
    <mergeCell ref="A5:B5"/>
    <mergeCell ref="C7:E7"/>
    <mergeCell ref="C6:E6"/>
    <mergeCell ref="A7:B7"/>
    <mergeCell ref="A14:E14"/>
    <mergeCell ref="A12:E12"/>
    <mergeCell ref="A6:B6"/>
    <mergeCell ref="A8:B8"/>
    <mergeCell ref="C8:E8"/>
    <mergeCell ref="A9:B9"/>
    <mergeCell ref="C9:E9"/>
  </mergeCells>
  <pageMargins left="0.25" right="0.25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Афанасьев Алексей Викторович</dc:creator>
  <cp:lastModifiedBy>Вашбуш Ирина Николаевна</cp:lastModifiedBy>
  <cp:lastPrinted>2024-02-14T06:47:27Z</cp:lastPrinted>
  <dcterms:created xsi:type="dcterms:W3CDTF">2017-03-30T07:30:31Z</dcterms:created>
  <dcterms:modified xsi:type="dcterms:W3CDTF">2024-04-05T09:20:54Z</dcterms:modified>
</cp:coreProperties>
</file>