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07BA7F7-A27E-4F4D-AE16-AEB96C633B1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сновные материалы" sheetId="1" r:id="rId1"/>
    <sheet name="Лист1" sheetId="5" r:id="rId2"/>
    <sheet name="СВСиУ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5" l="1"/>
  <c r="F28" i="5"/>
  <c r="F33" i="5"/>
  <c r="F34" i="5"/>
  <c r="F32" i="5"/>
  <c r="F31" i="5"/>
  <c r="F30" i="5"/>
  <c r="F29" i="5"/>
  <c r="F27" i="5"/>
  <c r="F26" i="5"/>
  <c r="F25" i="5"/>
  <c r="F24" i="5"/>
  <c r="F23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35" i="5" s="1"/>
  <c r="E34" i="5" l="1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C14" i="5"/>
  <c r="E18" i="5"/>
  <c r="C18" i="5"/>
  <c r="E17" i="5"/>
  <c r="C17" i="5"/>
  <c r="E16" i="5"/>
  <c r="C16" i="5"/>
  <c r="E15" i="5"/>
  <c r="C15" i="5"/>
  <c r="E14" i="5"/>
  <c r="E13" i="5"/>
  <c r="C13" i="5"/>
  <c r="E12" i="5"/>
  <c r="C12" i="5"/>
  <c r="E11" i="5"/>
  <c r="C11" i="5"/>
  <c r="E10" i="5"/>
  <c r="C10" i="5"/>
  <c r="E9" i="5"/>
  <c r="C9" i="5"/>
  <c r="E695" i="4"/>
  <c r="E692" i="4"/>
  <c r="E691" i="4"/>
  <c r="E690" i="4"/>
  <c r="E689" i="4"/>
  <c r="E669" i="4"/>
  <c r="E668" i="4"/>
  <c r="E667" i="4"/>
  <c r="E663" i="4"/>
  <c r="E657" i="4"/>
  <c r="E656" i="4"/>
  <c r="E655" i="4"/>
  <c r="E638" i="4"/>
  <c r="E635" i="4"/>
  <c r="E634" i="4"/>
  <c r="E625" i="4"/>
  <c r="E624" i="4"/>
  <c r="E623" i="4"/>
  <c r="E619" i="4"/>
  <c r="E617" i="4"/>
  <c r="E616" i="4"/>
  <c r="E613" i="4"/>
  <c r="E611" i="4"/>
  <c r="E610" i="4"/>
  <c r="E609" i="4"/>
  <c r="E606" i="4"/>
  <c r="E605" i="4"/>
  <c r="E602" i="4"/>
  <c r="E601" i="4"/>
  <c r="E600" i="4"/>
  <c r="E596" i="4"/>
  <c r="E594" i="4"/>
  <c r="E593" i="4"/>
  <c r="E590" i="4"/>
  <c r="E588" i="4"/>
  <c r="E587" i="4"/>
  <c r="E586" i="4"/>
  <c r="E583" i="4"/>
  <c r="E582" i="4"/>
  <c r="E35" i="5" l="1"/>
  <c r="E544" i="4"/>
  <c r="E543" i="4"/>
  <c r="E542" i="4"/>
  <c r="E541" i="4"/>
  <c r="E540" i="4"/>
  <c r="E539" i="4"/>
  <c r="E538" i="4"/>
  <c r="E516" i="4"/>
  <c r="E515" i="4"/>
  <c r="E514" i="4"/>
  <c r="E513" i="4"/>
  <c r="E512" i="4"/>
  <c r="E511" i="4"/>
  <c r="E510" i="4"/>
  <c r="E507" i="4"/>
  <c r="E505" i="4"/>
  <c r="E504" i="4"/>
  <c r="E495" i="4"/>
  <c r="E493" i="4"/>
  <c r="E492" i="4"/>
  <c r="E491" i="4"/>
  <c r="E490" i="4"/>
  <c r="E489" i="4"/>
  <c r="E488" i="4"/>
  <c r="E487" i="4"/>
  <c r="E466" i="4" l="1"/>
  <c r="E464" i="4"/>
  <c r="E463" i="4"/>
  <c r="E462" i="4"/>
  <c r="E461" i="4"/>
  <c r="E460" i="4"/>
  <c r="E459" i="4"/>
  <c r="E458" i="4"/>
  <c r="E457" i="4"/>
  <c r="E456" i="4"/>
  <c r="E454" i="4"/>
  <c r="E452" i="4"/>
  <c r="E451" i="4"/>
  <c r="E450" i="4"/>
  <c r="E449" i="4"/>
  <c r="E448" i="4"/>
  <c r="E447" i="4"/>
  <c r="E446" i="4"/>
  <c r="E445" i="4"/>
  <c r="E443" i="4"/>
  <c r="E442" i="4"/>
  <c r="E441" i="4"/>
  <c r="E440" i="4"/>
  <c r="E439" i="4"/>
  <c r="E438" i="4"/>
  <c r="E437" i="4"/>
  <c r="E435" i="4"/>
  <c r="E434" i="4"/>
  <c r="E433" i="4"/>
  <c r="E432" i="4"/>
  <c r="E410" i="4"/>
  <c r="E402" i="4"/>
  <c r="E389" i="4"/>
  <c r="E370" i="4" l="1"/>
  <c r="E360" i="4"/>
  <c r="E354" i="4"/>
  <c r="E346" i="4" l="1"/>
  <c r="E343" i="4"/>
  <c r="E323" i="4" l="1"/>
  <c r="E318" i="4"/>
  <c r="E317" i="4"/>
  <c r="E316" i="4"/>
  <c r="E315" i="4"/>
  <c r="E314" i="4"/>
  <c r="E311" i="4" l="1"/>
  <c r="E310" i="4"/>
  <c r="E309" i="4"/>
  <c r="E294" i="4"/>
  <c r="E28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4" i="4"/>
  <c r="E243" i="4"/>
  <c r="E242" i="4"/>
  <c r="E241" i="4"/>
  <c r="E236" i="4"/>
  <c r="E233" i="4"/>
  <c r="E207" i="4" l="1"/>
  <c r="E177" i="4"/>
  <c r="E173" i="4"/>
  <c r="E169" i="4"/>
  <c r="E150" i="4" l="1"/>
  <c r="E146" i="4"/>
  <c r="E145" i="4"/>
  <c r="E134" i="4" l="1"/>
  <c r="E137" i="4"/>
  <c r="E135" i="4"/>
  <c r="E110" i="4" l="1"/>
  <c r="E107" i="4"/>
  <c r="E106" i="4"/>
  <c r="E105" i="4"/>
  <c r="E104" i="4"/>
  <c r="E101" i="4"/>
  <c r="E100" i="4"/>
  <c r="E96" i="4"/>
  <c r="E95" i="4"/>
  <c r="E94" i="4"/>
  <c r="E92" i="4"/>
  <c r="E90" i="4"/>
  <c r="E40" i="4"/>
  <c r="E39" i="4"/>
  <c r="E38" i="4"/>
  <c r="E36" i="4"/>
  <c r="E35" i="4"/>
  <c r="E34" i="4"/>
  <c r="E32" i="4"/>
  <c r="E31" i="4"/>
  <c r="E30" i="4"/>
  <c r="E27" i="4"/>
  <c r="E26" i="4"/>
  <c r="E25" i="4"/>
  <c r="E24" i="4"/>
  <c r="E23" i="4"/>
  <c r="E22" i="4"/>
  <c r="E21" i="4"/>
  <c r="E20" i="4"/>
  <c r="E9" i="4"/>
  <c r="E8" i="4"/>
  <c r="E2195" i="1" l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59" i="1"/>
  <c r="E2157" i="1"/>
  <c r="E2156" i="1"/>
  <c r="E2155" i="1"/>
  <c r="E2153" i="1"/>
  <c r="E2152" i="1"/>
  <c r="E2151" i="1"/>
  <c r="E2150" i="1"/>
  <c r="E2149" i="1"/>
  <c r="E2221" i="1"/>
  <c r="E1838" i="1" l="1"/>
  <c r="E1810" i="1"/>
  <c r="E1782" i="1"/>
  <c r="E1754" i="1"/>
  <c r="E1726" i="1"/>
  <c r="E773" i="1"/>
  <c r="E87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46" i="1"/>
  <c r="E2144" i="1"/>
  <c r="E2142" i="1"/>
  <c r="E2140" i="1"/>
  <c r="E2138" i="1"/>
  <c r="E2137" i="1"/>
  <c r="E2136" i="1"/>
  <c r="E2135" i="1"/>
  <c r="E2134" i="1"/>
  <c r="E2133" i="1"/>
  <c r="E2132" i="1"/>
  <c r="E2131" i="1"/>
  <c r="E2128" i="1"/>
  <c r="E2126" i="1"/>
  <c r="E2125" i="1"/>
  <c r="E2124" i="1"/>
  <c r="E2123" i="1"/>
  <c r="E2122" i="1"/>
  <c r="E2121" i="1"/>
  <c r="E2120" i="1"/>
  <c r="E2118" i="1"/>
  <c r="E2116" i="1"/>
  <c r="E2114" i="1"/>
  <c r="E2112" i="1"/>
  <c r="E2111" i="1"/>
  <c r="E2110" i="1"/>
  <c r="E2109" i="1"/>
  <c r="E2108" i="1"/>
  <c r="E2107" i="1"/>
  <c r="E2104" i="1"/>
  <c r="E2103" i="1"/>
  <c r="E2102" i="1"/>
  <c r="E2101" i="1"/>
  <c r="E2098" i="1"/>
  <c r="E2097" i="1"/>
  <c r="E2096" i="1"/>
  <c r="E2095" i="1"/>
  <c r="E2093" i="1"/>
  <c r="E2092" i="1"/>
  <c r="E2091" i="1"/>
  <c r="E2090" i="1"/>
  <c r="E2089" i="1"/>
  <c r="E2087" i="1"/>
  <c r="E2086" i="1"/>
  <c r="E2085" i="1"/>
  <c r="E2084" i="1"/>
  <c r="E2083" i="1"/>
  <c r="E2081" i="1"/>
  <c r="E2080" i="1"/>
  <c r="E2079" i="1"/>
  <c r="E2078" i="1"/>
  <c r="E2077" i="1"/>
  <c r="E2076" i="1"/>
  <c r="E2075" i="1"/>
  <c r="E2074" i="1"/>
  <c r="E2073" i="1"/>
  <c r="E2072" i="1"/>
  <c r="E2071" i="1"/>
  <c r="E2069" i="1"/>
  <c r="E2068" i="1"/>
  <c r="E2067" i="1"/>
  <c r="E2066" i="1"/>
  <c r="E2065" i="1"/>
  <c r="E2064" i="1"/>
  <c r="E2063" i="1"/>
  <c r="E2062" i="1"/>
  <c r="E2060" i="1"/>
  <c r="E2059" i="1"/>
  <c r="E2057" i="1"/>
  <c r="E2056" i="1"/>
  <c r="E2055" i="1"/>
  <c r="E2053" i="1"/>
  <c r="E2052" i="1"/>
  <c r="E2051" i="1"/>
  <c r="E2050" i="1"/>
  <c r="E2049" i="1"/>
  <c r="E2048" i="1"/>
  <c r="E2047" i="1"/>
  <c r="E2045" i="1"/>
  <c r="E2043" i="1"/>
  <c r="E2041" i="1"/>
  <c r="E2039" i="1"/>
  <c r="E2038" i="1"/>
  <c r="E2037" i="1"/>
  <c r="E2036" i="1"/>
  <c r="E2035" i="1"/>
  <c r="E2034" i="1"/>
  <c r="E2031" i="1"/>
  <c r="E2030" i="1"/>
  <c r="E2029" i="1"/>
  <c r="E2028" i="1"/>
  <c r="E2025" i="1"/>
  <c r="E2024" i="1"/>
  <c r="E2023" i="1"/>
  <c r="E2022" i="1"/>
  <c r="E2021" i="1"/>
  <c r="E2020" i="1"/>
  <c r="E2018" i="1"/>
  <c r="E2017" i="1"/>
  <c r="E2011" i="1"/>
  <c r="E2015" i="1"/>
  <c r="E2014" i="1"/>
  <c r="E2013" i="1"/>
  <c r="E2010" i="1"/>
  <c r="E2009" i="1"/>
  <c r="E2008" i="1"/>
  <c r="E2007" i="1"/>
  <c r="E2006" i="1"/>
  <c r="E2005" i="1"/>
  <c r="E2003" i="1"/>
  <c r="E2001" i="1"/>
  <c r="E2000" i="1"/>
  <c r="E1998" i="1"/>
  <c r="E1997" i="1"/>
  <c r="E1996" i="1"/>
  <c r="E1995" i="1"/>
  <c r="E1994" i="1"/>
  <c r="E1993" i="1"/>
  <c r="E1990" i="1"/>
  <c r="E1989" i="1"/>
  <c r="E1988" i="1"/>
  <c r="E1987" i="1"/>
  <c r="E1979" i="1"/>
  <c r="E1977" i="1"/>
  <c r="E1986" i="1"/>
  <c r="E1985" i="1"/>
  <c r="E1983" i="1"/>
  <c r="E1982" i="1"/>
  <c r="E1981" i="1"/>
  <c r="E1978" i="1"/>
  <c r="E1976" i="1"/>
  <c r="E1973" i="1" l="1"/>
  <c r="E1972" i="1"/>
  <c r="E1971" i="1"/>
  <c r="E1970" i="1"/>
  <c r="E1969" i="1"/>
  <c r="E1967" i="1"/>
  <c r="E1966" i="1"/>
  <c r="E1965" i="1"/>
  <c r="E1964" i="1"/>
  <c r="E1963" i="1"/>
  <c r="E1961" i="1"/>
  <c r="E1960" i="1"/>
  <c r="E1959" i="1"/>
  <c r="E1958" i="1"/>
  <c r="E1955" i="1"/>
  <c r="E1957" i="1"/>
  <c r="E1956" i="1"/>
  <c r="E1954" i="1"/>
  <c r="E1952" i="1"/>
  <c r="E1951" i="1"/>
  <c r="E1950" i="1"/>
  <c r="E1949" i="1"/>
  <c r="E1948" i="1"/>
  <c r="E1947" i="1"/>
  <c r="E1945" i="1"/>
  <c r="E1944" i="1"/>
  <c r="E1943" i="1"/>
  <c r="E1941" i="1"/>
  <c r="E1940" i="1"/>
  <c r="E1938" i="1"/>
  <c r="E1937" i="1"/>
  <c r="E1936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19" i="1"/>
  <c r="E1918" i="1"/>
  <c r="E1917" i="1"/>
  <c r="E1916" i="1"/>
  <c r="E1915" i="1"/>
  <c r="E1914" i="1"/>
  <c r="E1913" i="1"/>
  <c r="E1912" i="1"/>
  <c r="E1911" i="1"/>
  <c r="E1910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59" i="1"/>
  <c r="E1858" i="1"/>
  <c r="E1860" i="1"/>
  <c r="E1862" i="1" s="1"/>
  <c r="E1855" i="1"/>
  <c r="E1857" i="1" s="1"/>
  <c r="E1854" i="1"/>
  <c r="E1852" i="1"/>
  <c r="E1851" i="1"/>
  <c r="E1850" i="1"/>
  <c r="E1849" i="1"/>
  <c r="E1847" i="1"/>
  <c r="E1845" i="1"/>
  <c r="E1837" i="1"/>
  <c r="E1836" i="1"/>
  <c r="E1834" i="1"/>
  <c r="E1833" i="1"/>
  <c r="E1831" i="1"/>
  <c r="E1830" i="1"/>
  <c r="E1829" i="1"/>
  <c r="E1828" i="1"/>
  <c r="E1827" i="1"/>
  <c r="E1824" i="1"/>
  <c r="E1823" i="1"/>
  <c r="E1822" i="1"/>
  <c r="E1821" i="1"/>
  <c r="E1819" i="1"/>
  <c r="E1817" i="1"/>
  <c r="E1809" i="1"/>
  <c r="E1808" i="1"/>
  <c r="E1806" i="1"/>
  <c r="E1805" i="1"/>
  <c r="E1803" i="1"/>
  <c r="E1802" i="1"/>
  <c r="E1801" i="1"/>
  <c r="E1800" i="1"/>
  <c r="E1799" i="1"/>
  <c r="E1796" i="1"/>
  <c r="E1795" i="1"/>
  <c r="E1794" i="1"/>
  <c r="E1793" i="1"/>
  <c r="E1791" i="1"/>
  <c r="E1789" i="1"/>
  <c r="E1781" i="1"/>
  <c r="E1780" i="1"/>
  <c r="E1778" i="1"/>
  <c r="E1777" i="1"/>
  <c r="E1775" i="1"/>
  <c r="E1774" i="1"/>
  <c r="E1773" i="1"/>
  <c r="E1772" i="1"/>
  <c r="E1771" i="1"/>
  <c r="E1763" i="1"/>
  <c r="E1761" i="1"/>
  <c r="E1753" i="1"/>
  <c r="E1752" i="1"/>
  <c r="E1750" i="1"/>
  <c r="E1749" i="1"/>
  <c r="E1747" i="1"/>
  <c r="E1746" i="1"/>
  <c r="E1745" i="1"/>
  <c r="E1744" i="1"/>
  <c r="E1743" i="1"/>
  <c r="E1768" i="1"/>
  <c r="E1767" i="1"/>
  <c r="E1766" i="1"/>
  <c r="E1765" i="1"/>
  <c r="E1739" i="1"/>
  <c r="E1740" i="1"/>
  <c r="E1738" i="1"/>
  <c r="E1737" i="1"/>
  <c r="E1735" i="1"/>
  <c r="E1733" i="1"/>
  <c r="E1725" i="1"/>
  <c r="E1724" i="1"/>
  <c r="E1722" i="1"/>
  <c r="E1721" i="1"/>
  <c r="E1719" i="1"/>
  <c r="E1718" i="1"/>
  <c r="E1717" i="1"/>
  <c r="E1716" i="1"/>
  <c r="E1715" i="1"/>
  <c r="E1712" i="1"/>
  <c r="E1711" i="1"/>
  <c r="E1710" i="1"/>
  <c r="E1709" i="1"/>
  <c r="E1708" i="1"/>
  <c r="E1707" i="1"/>
  <c r="E1706" i="1"/>
  <c r="E1705" i="1"/>
  <c r="E1704" i="1"/>
  <c r="E1700" i="1"/>
  <c r="E1697" i="1"/>
  <c r="E1694" i="1"/>
  <c r="E1691" i="1"/>
  <c r="E1690" i="1"/>
  <c r="E1689" i="1"/>
  <c r="E1688" i="1"/>
  <c r="E1686" i="1"/>
  <c r="E1685" i="1"/>
  <c r="E1682" i="1"/>
  <c r="E1681" i="1"/>
  <c r="E1680" i="1"/>
  <c r="E1679" i="1"/>
  <c r="E1678" i="1"/>
  <c r="E1677" i="1"/>
  <c r="E1676" i="1"/>
  <c r="E1675" i="1"/>
  <c r="E1674" i="1"/>
  <c r="E1673" i="1"/>
  <c r="E1672" i="1"/>
  <c r="E1668" i="1"/>
  <c r="E1665" i="1"/>
  <c r="E1662" i="1"/>
  <c r="E1659" i="1"/>
  <c r="E1658" i="1"/>
  <c r="E1657" i="1"/>
  <c r="E1656" i="1"/>
  <c r="E1654" i="1"/>
  <c r="E1653" i="1"/>
  <c r="E1650" i="1"/>
  <c r="E1649" i="1"/>
  <c r="E1648" i="1"/>
  <c r="E1647" i="1"/>
  <c r="E1646" i="1"/>
  <c r="E1645" i="1"/>
  <c r="E1644" i="1"/>
  <c r="E1643" i="1"/>
  <c r="E1642" i="1"/>
  <c r="E1641" i="1"/>
  <c r="E1640" i="1"/>
  <c r="E1636" i="1"/>
  <c r="E1633" i="1"/>
  <c r="E1630" i="1"/>
  <c r="E1627" i="1"/>
  <c r="E1626" i="1"/>
  <c r="E1625" i="1"/>
  <c r="E1624" i="1"/>
  <c r="E1622" i="1"/>
  <c r="E1621" i="1"/>
  <c r="E1618" i="1"/>
  <c r="E1617" i="1"/>
  <c r="E1616" i="1"/>
  <c r="E1615" i="1"/>
  <c r="E1614" i="1"/>
  <c r="E1613" i="1"/>
  <c r="E1612" i="1"/>
  <c r="E1611" i="1"/>
  <c r="E1610" i="1"/>
  <c r="E1606" i="1"/>
  <c r="E1603" i="1"/>
  <c r="E1600" i="1"/>
  <c r="E1597" i="1"/>
  <c r="E1596" i="1"/>
  <c r="E1595" i="1"/>
  <c r="E1594" i="1"/>
  <c r="E1592" i="1"/>
  <c r="E1591" i="1"/>
  <c r="E1588" i="1"/>
  <c r="E1587" i="1"/>
  <c r="E1586" i="1"/>
  <c r="E1585" i="1"/>
  <c r="E1584" i="1"/>
  <c r="E1583" i="1"/>
  <c r="E1582" i="1"/>
  <c r="E1581" i="1"/>
  <c r="E1580" i="1"/>
  <c r="E1576" i="1"/>
  <c r="E1573" i="1"/>
  <c r="E1570" i="1"/>
  <c r="E1567" i="1"/>
  <c r="E1566" i="1"/>
  <c r="E1565" i="1"/>
  <c r="E1564" i="1"/>
  <c r="E1562" i="1"/>
  <c r="E1561" i="1"/>
  <c r="E1856" i="1" l="1"/>
  <c r="E1861" i="1"/>
  <c r="E1556" i="1"/>
  <c r="E1555" i="1"/>
  <c r="E1554" i="1"/>
  <c r="E1552" i="1"/>
  <c r="E1551" i="1"/>
  <c r="E1550" i="1"/>
  <c r="E1549" i="1"/>
  <c r="E1548" i="1"/>
  <c r="E1547" i="1"/>
  <c r="E1546" i="1"/>
  <c r="E1545" i="1"/>
  <c r="E1544" i="1"/>
  <c r="E1543" i="1"/>
  <c r="E1541" i="1"/>
  <c r="E1540" i="1"/>
  <c r="E1539" i="1"/>
  <c r="E1538" i="1"/>
  <c r="E1537" i="1"/>
  <c r="E1534" i="1"/>
  <c r="E1533" i="1"/>
  <c r="E1532" i="1"/>
  <c r="E1531" i="1"/>
  <c r="E1530" i="1"/>
  <c r="E1529" i="1"/>
  <c r="E1527" i="1"/>
  <c r="E1526" i="1"/>
  <c r="E1525" i="1"/>
  <c r="E1524" i="1"/>
  <c r="E1523" i="1"/>
  <c r="E1522" i="1"/>
  <c r="E1520" i="1"/>
  <c r="E1519" i="1"/>
  <c r="E1518" i="1"/>
  <c r="E1517" i="1"/>
  <c r="E1516" i="1"/>
  <c r="E1515" i="1"/>
  <c r="E1514" i="1"/>
  <c r="E1553" i="1"/>
  <c r="E1542" i="1"/>
  <c r="E1535" i="1"/>
  <c r="E1528" i="1"/>
  <c r="E1521" i="1"/>
  <c r="E1510" i="1"/>
  <c r="E1509" i="1"/>
  <c r="E1508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0" i="1"/>
  <c r="E1479" i="1"/>
  <c r="E1478" i="1"/>
  <c r="E1477" i="1"/>
  <c r="E1476" i="1"/>
  <c r="E1475" i="1"/>
  <c r="E1474" i="1"/>
  <c r="E1507" i="1"/>
  <c r="E1506" i="1"/>
  <c r="E1505" i="1"/>
  <c r="E1504" i="1"/>
  <c r="E1503" i="1"/>
  <c r="E1502" i="1"/>
  <c r="E1488" i="1"/>
  <c r="E1487" i="1"/>
  <c r="E1486" i="1"/>
  <c r="E1485" i="1"/>
  <c r="E1484" i="1"/>
  <c r="E1483" i="1"/>
  <c r="E1482" i="1"/>
  <c r="E1481" i="1"/>
  <c r="E1470" i="1"/>
  <c r="E1434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0" i="1"/>
  <c r="E1428" i="1"/>
  <c r="E1429" i="1"/>
  <c r="E1423" i="1"/>
  <c r="E1426" i="1"/>
  <c r="E1425" i="1"/>
  <c r="E1424" i="1"/>
  <c r="E1400" i="1"/>
  <c r="E1398" i="1"/>
  <c r="E1399" i="1"/>
  <c r="E1397" i="1"/>
  <c r="E1396" i="1"/>
  <c r="E1395" i="1"/>
  <c r="E1394" i="1"/>
  <c r="E1427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390" i="1"/>
  <c r="E1389" i="1"/>
  <c r="E1388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0" i="1"/>
  <c r="E1359" i="1"/>
  <c r="E1358" i="1"/>
  <c r="E1357" i="1"/>
  <c r="E1356" i="1"/>
  <c r="E1355" i="1"/>
  <c r="E1354" i="1"/>
  <c r="E1387" i="1"/>
  <c r="E1386" i="1"/>
  <c r="E1385" i="1"/>
  <c r="E1384" i="1"/>
  <c r="E1383" i="1"/>
  <c r="E1382" i="1"/>
  <c r="E1368" i="1"/>
  <c r="E1367" i="1"/>
  <c r="E1366" i="1"/>
  <c r="E1365" i="1"/>
  <c r="E1364" i="1"/>
  <c r="E1363" i="1"/>
  <c r="E1362" i="1"/>
  <c r="E1361" i="1"/>
  <c r="E1350" i="1"/>
  <c r="E1314" i="1"/>
  <c r="E1320" i="1"/>
  <c r="E1319" i="1"/>
  <c r="E1318" i="1"/>
  <c r="E1317" i="1"/>
  <c r="E1316" i="1"/>
  <c r="E1315" i="1"/>
  <c r="E1321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10" i="1"/>
  <c r="E1309" i="1"/>
  <c r="E1308" i="1"/>
  <c r="E1303" i="1"/>
  <c r="E1280" i="1"/>
  <c r="E1279" i="1"/>
  <c r="E1278" i="1"/>
  <c r="E1277" i="1"/>
  <c r="E1276" i="1"/>
  <c r="E1275" i="1"/>
  <c r="E1274" i="1"/>
  <c r="E1307" i="1"/>
  <c r="E1306" i="1"/>
  <c r="E1305" i="1"/>
  <c r="E1304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70" i="1"/>
  <c r="E1268" i="1"/>
  <c r="E1269" i="1"/>
  <c r="E1263" i="1"/>
  <c r="E1240" i="1"/>
  <c r="E1239" i="1"/>
  <c r="E1238" i="1"/>
  <c r="E1237" i="1"/>
  <c r="E1236" i="1"/>
  <c r="E1235" i="1"/>
  <c r="E1234" i="1"/>
  <c r="E1267" i="1"/>
  <c r="E1266" i="1"/>
  <c r="E1265" i="1"/>
  <c r="E1264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30" i="1"/>
  <c r="E1200" i="1"/>
  <c r="E1199" i="1"/>
  <c r="E1198" i="1"/>
  <c r="E1197" i="1"/>
  <c r="E1196" i="1"/>
  <c r="E1195" i="1"/>
  <c r="E1194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190" i="1"/>
  <c r="E1188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0" i="1"/>
  <c r="E1159" i="1"/>
  <c r="E1158" i="1"/>
  <c r="E1157" i="1"/>
  <c r="E1156" i="1"/>
  <c r="E1155" i="1"/>
  <c r="E1154" i="1"/>
  <c r="E1187" i="1"/>
  <c r="E1186" i="1"/>
  <c r="E1185" i="1"/>
  <c r="E1184" i="1"/>
  <c r="E1183" i="1"/>
  <c r="E1182" i="1"/>
  <c r="E1181" i="1"/>
  <c r="E1168" i="1"/>
  <c r="E1167" i="1"/>
  <c r="E1166" i="1"/>
  <c r="E1165" i="1"/>
  <c r="E1164" i="1"/>
  <c r="E1163" i="1"/>
  <c r="E1162" i="1"/>
  <c r="E1161" i="1"/>
  <c r="E1150" i="1" l="1"/>
  <c r="E1148" i="1"/>
  <c r="E1149" i="1"/>
  <c r="E1143" i="1"/>
  <c r="E1120" i="1"/>
  <c r="E1119" i="1"/>
  <c r="E1118" i="1"/>
  <c r="E1117" i="1"/>
  <c r="E1116" i="1"/>
  <c r="E1115" i="1"/>
  <c r="E1114" i="1"/>
  <c r="E1147" i="1"/>
  <c r="E1146" i="1"/>
  <c r="E1145" i="1"/>
  <c r="E1144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10" i="1"/>
  <c r="E1109" i="1"/>
  <c r="E1108" i="1"/>
  <c r="E1103" i="1"/>
  <c r="E1080" i="1"/>
  <c r="E1079" i="1"/>
  <c r="E1078" i="1"/>
  <c r="E1077" i="1"/>
  <c r="E1076" i="1"/>
  <c r="E1075" i="1"/>
  <c r="E1074" i="1"/>
  <c r="E1107" i="1"/>
  <c r="E1106" i="1"/>
  <c r="E1105" i="1"/>
  <c r="E1104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70" i="1"/>
  <c r="E1069" i="1"/>
  <c r="E1068" i="1"/>
  <c r="E1063" i="1"/>
  <c r="E1040" i="1"/>
  <c r="E1039" i="1"/>
  <c r="E1038" i="1"/>
  <c r="E1037" i="1"/>
  <c r="E1036" i="1"/>
  <c r="E1035" i="1"/>
  <c r="E1034" i="1"/>
  <c r="E1067" i="1"/>
  <c r="E1066" i="1"/>
  <c r="E1065" i="1"/>
  <c r="E1064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30" i="1"/>
  <c r="E1029" i="1"/>
  <c r="E1028" i="1"/>
  <c r="E1023" i="1"/>
  <c r="E1026" i="1"/>
  <c r="E1025" i="1"/>
  <c r="E1024" i="1"/>
  <c r="E1000" i="1"/>
  <c r="E999" i="1"/>
  <c r="E998" i="1"/>
  <c r="E997" i="1"/>
  <c r="E996" i="1"/>
  <c r="E995" i="1"/>
  <c r="E994" i="1"/>
  <c r="E1027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990" i="1"/>
  <c r="E988" i="1"/>
  <c r="E989" i="1"/>
  <c r="E983" i="1"/>
  <c r="E960" i="1"/>
  <c r="E959" i="1"/>
  <c r="E958" i="1"/>
  <c r="E957" i="1"/>
  <c r="E956" i="1"/>
  <c r="E955" i="1"/>
  <c r="E954" i="1"/>
  <c r="E987" i="1"/>
  <c r="E986" i="1"/>
  <c r="E985" i="1"/>
  <c r="E984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50" i="1"/>
  <c r="E948" i="1"/>
  <c r="E949" i="1"/>
  <c r="E920" i="1"/>
  <c r="E919" i="1"/>
  <c r="E918" i="1"/>
  <c r="E917" i="1"/>
  <c r="E916" i="1"/>
  <c r="E915" i="1"/>
  <c r="E914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10" i="1"/>
  <c r="E909" i="1"/>
  <c r="E908" i="1"/>
  <c r="E907" i="1"/>
  <c r="E902" i="1"/>
  <c r="E895" i="1"/>
  <c r="E906" i="1"/>
  <c r="E905" i="1"/>
  <c r="E904" i="1"/>
  <c r="E903" i="1"/>
  <c r="E901" i="1"/>
  <c r="E900" i="1"/>
  <c r="E899" i="1"/>
  <c r="E898" i="1"/>
  <c r="E897" i="1"/>
  <c r="E896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0" i="1"/>
  <c r="E879" i="1"/>
  <c r="E878" i="1"/>
  <c r="E877" i="1"/>
  <c r="E876" i="1"/>
  <c r="E875" i="1"/>
  <c r="E874" i="1"/>
  <c r="E881" i="1"/>
  <c r="E864" i="1"/>
  <c r="E867" i="1"/>
  <c r="E866" i="1"/>
  <c r="E863" i="1"/>
  <c r="E862" i="1"/>
  <c r="E861" i="1"/>
  <c r="E860" i="1"/>
  <c r="E859" i="1"/>
  <c r="E858" i="1"/>
  <c r="E857" i="1"/>
  <c r="E856" i="1"/>
  <c r="E855" i="1"/>
  <c r="E854" i="1"/>
  <c r="E852" i="1"/>
  <c r="E851" i="1"/>
  <c r="E850" i="1"/>
  <c r="E848" i="1"/>
  <c r="E847" i="1"/>
  <c r="E846" i="1"/>
  <c r="E845" i="1"/>
  <c r="E844" i="1"/>
  <c r="E843" i="1"/>
  <c r="E842" i="1"/>
  <c r="E841" i="1"/>
  <c r="E839" i="1"/>
  <c r="E838" i="1"/>
  <c r="E837" i="1"/>
  <c r="E835" i="1"/>
  <c r="E834" i="1"/>
  <c r="E833" i="1"/>
  <c r="E832" i="1"/>
  <c r="E831" i="1"/>
  <c r="E830" i="1"/>
  <c r="E829" i="1"/>
  <c r="E827" i="1"/>
  <c r="E826" i="1"/>
  <c r="E825" i="1"/>
  <c r="E101" i="1"/>
  <c r="E42" i="1"/>
  <c r="E43" i="1" s="1"/>
  <c r="E39" i="1"/>
  <c r="E36" i="1"/>
  <c r="E33" i="1"/>
  <c r="E30" i="1"/>
  <c r="E26" i="1"/>
  <c r="E823" i="1"/>
  <c r="E822" i="1"/>
  <c r="E821" i="1"/>
  <c r="E820" i="1"/>
  <c r="E819" i="1"/>
  <c r="E818" i="1"/>
  <c r="E817" i="1"/>
  <c r="E816" i="1"/>
  <c r="E815" i="1"/>
  <c r="E814" i="1"/>
  <c r="E813" i="1"/>
  <c r="E811" i="1"/>
  <c r="E810" i="1"/>
  <c r="E809" i="1"/>
  <c r="E807" i="1"/>
  <c r="E806" i="1"/>
  <c r="E805" i="1"/>
  <c r="E804" i="1"/>
  <c r="E803" i="1"/>
  <c r="E802" i="1"/>
  <c r="E780" i="1"/>
  <c r="E801" i="1"/>
  <c r="E800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4" i="1"/>
  <c r="E782" i="1"/>
  <c r="E771" i="1"/>
  <c r="E770" i="1"/>
  <c r="E769" i="1"/>
  <c r="E768" i="1"/>
  <c r="E767" i="1"/>
  <c r="E766" i="1"/>
  <c r="E765" i="1"/>
  <c r="E764" i="1"/>
  <c r="E763" i="1"/>
  <c r="E762" i="1"/>
  <c r="E761" i="1"/>
  <c r="E759" i="1"/>
  <c r="E758" i="1"/>
  <c r="E757" i="1"/>
  <c r="E756" i="1"/>
  <c r="E755" i="1"/>
  <c r="E750" i="1"/>
  <c r="E747" i="1"/>
  <c r="E744" i="1"/>
  <c r="E743" i="1"/>
  <c r="E742" i="1"/>
  <c r="E741" i="1"/>
  <c r="E740" i="1"/>
  <c r="E739" i="1"/>
  <c r="E737" i="1"/>
  <c r="E736" i="1"/>
  <c r="E732" i="1"/>
  <c r="E730" i="1"/>
  <c r="E731" i="1"/>
  <c r="E729" i="1"/>
  <c r="E727" i="1"/>
  <c r="E726" i="1"/>
  <c r="E725" i="1"/>
  <c r="E724" i="1"/>
  <c r="E722" i="1"/>
  <c r="E721" i="1"/>
  <c r="E720" i="1"/>
  <c r="E719" i="1"/>
  <c r="E718" i="1"/>
  <c r="E717" i="1"/>
  <c r="E715" i="1"/>
  <c r="E728" i="1"/>
  <c r="E723" i="1"/>
  <c r="E716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89" i="1"/>
  <c r="E686" i="1"/>
  <c r="E688" i="1"/>
  <c r="E687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6" i="1"/>
  <c r="E657" i="1"/>
  <c r="E655" i="1"/>
  <c r="E654" i="1"/>
  <c r="E653" i="1"/>
  <c r="E652" i="1"/>
  <c r="E651" i="1"/>
  <c r="E650" i="1"/>
  <c r="E649" i="1"/>
  <c r="E648" i="1"/>
  <c r="E635" i="1"/>
  <c r="E634" i="1"/>
  <c r="E627" i="1"/>
  <c r="E623" i="1"/>
  <c r="E620" i="1"/>
  <c r="E619" i="1"/>
  <c r="E618" i="1"/>
  <c r="E617" i="1"/>
  <c r="E615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641" i="1"/>
  <c r="E640" i="1"/>
  <c r="E639" i="1"/>
  <c r="E638" i="1"/>
  <c r="E637" i="1"/>
  <c r="E636" i="1"/>
  <c r="E633" i="1"/>
  <c r="E625" i="1"/>
  <c r="E624" i="1"/>
  <c r="E622" i="1"/>
  <c r="E621" i="1"/>
  <c r="E616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3" i="1"/>
  <c r="E592" i="1"/>
  <c r="E578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39" i="1"/>
  <c r="E548" i="1"/>
  <c r="E547" i="1"/>
  <c r="E546" i="1"/>
  <c r="E545" i="1"/>
  <c r="E544" i="1"/>
  <c r="E543" i="1"/>
  <c r="E542" i="1"/>
  <c r="E540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301" i="1"/>
  <c r="E477" i="1"/>
  <c r="E454" i="1"/>
  <c r="E452" i="1"/>
  <c r="E451" i="1"/>
  <c r="E450" i="1"/>
  <c r="E449" i="1"/>
  <c r="E520" i="1"/>
  <c r="E519" i="1"/>
  <c r="E515" i="1"/>
  <c r="E511" i="1"/>
  <c r="E509" i="1"/>
  <c r="E504" i="1"/>
  <c r="E503" i="1"/>
  <c r="E501" i="1"/>
  <c r="E500" i="1"/>
  <c r="E499" i="1"/>
  <c r="E498" i="1"/>
  <c r="E497" i="1"/>
  <c r="E496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1" i="1"/>
  <c r="E480" i="1"/>
  <c r="E479" i="1"/>
  <c r="E478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1" i="1"/>
  <c r="E460" i="1"/>
  <c r="E459" i="1"/>
  <c r="E458" i="1"/>
  <c r="E457" i="1"/>
  <c r="E456" i="1"/>
  <c r="E455" i="1"/>
  <c r="E453" i="1"/>
  <c r="E448" i="1"/>
  <c r="E441" i="1"/>
  <c r="E440" i="1"/>
  <c r="E439" i="1"/>
  <c r="E438" i="1"/>
  <c r="E437" i="1"/>
  <c r="E436" i="1"/>
  <c r="E435" i="1"/>
  <c r="E430" i="1"/>
  <c r="E426" i="1"/>
  <c r="E423" i="1"/>
  <c r="E424" i="1" s="1"/>
  <c r="E419" i="1"/>
  <c r="E418" i="1"/>
  <c r="E417" i="1"/>
  <c r="E415" i="1"/>
  <c r="E414" i="1"/>
  <c r="E413" i="1"/>
  <c r="E411" i="1"/>
  <c r="E410" i="1"/>
  <c r="E409" i="1"/>
  <c r="E408" i="1"/>
  <c r="E407" i="1"/>
  <c r="E406" i="1"/>
  <c r="E404" i="1"/>
  <c r="E403" i="1"/>
  <c r="E402" i="1"/>
  <c r="E401" i="1"/>
  <c r="E400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0" i="1"/>
  <c r="E376" i="1"/>
  <c r="E375" i="1"/>
  <c r="E379" i="1" s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4" i="1"/>
  <c r="E343" i="1"/>
  <c r="E339" i="1"/>
  <c r="E335" i="1"/>
  <c r="E333" i="1"/>
  <c r="E328" i="1"/>
  <c r="E327" i="1"/>
  <c r="E325" i="1"/>
  <c r="E324" i="1"/>
  <c r="E323" i="1"/>
  <c r="E322" i="1"/>
  <c r="E321" i="1"/>
  <c r="E320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08" i="1"/>
  <c r="E265" i="1"/>
  <c r="E210" i="1"/>
  <c r="E267" i="1"/>
  <c r="E266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39" i="1"/>
  <c r="E242" i="1"/>
  <c r="E241" i="1"/>
  <c r="E240" i="1"/>
  <c r="E238" i="1"/>
  <c r="E237" i="1"/>
  <c r="E236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09" i="1"/>
  <c r="E207" i="1"/>
  <c r="E206" i="1"/>
  <c r="E205" i="1"/>
  <c r="E204" i="1"/>
  <c r="E203" i="1"/>
  <c r="E202" i="1"/>
  <c r="E196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7" i="1"/>
  <c r="E178" i="1"/>
  <c r="E176" i="1"/>
  <c r="E175" i="1"/>
  <c r="E174" i="1"/>
  <c r="E173" i="1"/>
  <c r="E172" i="1"/>
  <c r="E161" i="1"/>
  <c r="E171" i="1"/>
  <c r="E170" i="1"/>
  <c r="E169" i="1"/>
  <c r="E168" i="1"/>
  <c r="E167" i="1"/>
  <c r="E166" i="1"/>
  <c r="E165" i="1"/>
  <c r="E164" i="1"/>
  <c r="E162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3" i="1"/>
  <c r="E337" i="1" l="1"/>
  <c r="E336" i="1"/>
  <c r="E421" i="1"/>
  <c r="E420" i="1"/>
  <c r="E428" i="1"/>
  <c r="E427" i="1"/>
  <c r="E432" i="1"/>
  <c r="E431" i="1"/>
  <c r="E643" i="1"/>
  <c r="E642" i="1"/>
  <c r="E329" i="1"/>
  <c r="E330" i="1"/>
  <c r="E425" i="1"/>
  <c r="E44" i="1"/>
  <c r="E377" i="1"/>
  <c r="E378" i="1"/>
  <c r="E99" i="1"/>
  <c r="E97" i="1"/>
  <c r="E96" i="1"/>
  <c r="E95" i="1"/>
  <c r="E94" i="1"/>
  <c r="E86" i="1"/>
  <c r="E85" i="1"/>
  <c r="E84" i="1"/>
  <c r="E82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7" i="1"/>
  <c r="E644" i="1" l="1"/>
  <c r="E422" i="1"/>
  <c r="E429" i="1"/>
  <c r="E331" i="1"/>
  <c r="E338" i="1"/>
  <c r="E433" i="1"/>
</calcChain>
</file>

<file path=xl/sharedStrings.xml><?xml version="1.0" encoding="utf-8"?>
<sst xmlns="http://schemas.openxmlformats.org/spreadsheetml/2006/main" count="5609" uniqueCount="1062">
  <si>
    <t>№ п/п</t>
  </si>
  <si>
    <t>Наименование материала</t>
  </si>
  <si>
    <t>Обоснование расхода</t>
  </si>
  <si>
    <t>Объем по ПД</t>
  </si>
  <si>
    <t>Ед изм</t>
  </si>
  <si>
    <t>Мост через р. Лена</t>
  </si>
  <si>
    <t>Металлическое ПС 6-12 (105м+300м+2х840м+300м+105м)</t>
  </si>
  <si>
    <t>ТКР-4.1.1. ВР1</t>
  </si>
  <si>
    <t>тн</t>
  </si>
  <si>
    <t>Бетон В45 F300 W8</t>
  </si>
  <si>
    <t>м3</t>
  </si>
  <si>
    <t>Арматура d20 A400</t>
  </si>
  <si>
    <t>Арматура d16 A400</t>
  </si>
  <si>
    <t>Анкер клиновой плитный АКП-19</t>
  </si>
  <si>
    <t>шт</t>
  </si>
  <si>
    <t>Канат К7-1860 диаметром 15,7мм по ГОСТ Р53772</t>
  </si>
  <si>
    <t>Каналообразователи металлические 100/105</t>
  </si>
  <si>
    <t>м</t>
  </si>
  <si>
    <t>Раствор инъекционный 30Мпа</t>
  </si>
  <si>
    <t>Направляющая опорная часть</t>
  </si>
  <si>
    <t>Опорная часть Kga-U 7500 кН (допуск. перем. +-590мм)</t>
  </si>
  <si>
    <t>Опорная часть Kga-U 7500 кН (допуск. перем. +-880мм)</t>
  </si>
  <si>
    <t>Опорная часть Kga-U 14200 кН (допуск. перем. +-800мм)</t>
  </si>
  <si>
    <t>Смесь безусадочная типа Emaco</t>
  </si>
  <si>
    <t>Ненатяжной анкер вант типа 6-22</t>
  </si>
  <si>
    <t>Ненатяжной анкер вант типа 6-27</t>
  </si>
  <si>
    <t>Ненатяжной анкер вант типа 6-31</t>
  </si>
  <si>
    <t>Ненатяжной анкер вант типа 6-37</t>
  </si>
  <si>
    <t>Ненатяжной анкер вант типа 6-43</t>
  </si>
  <si>
    <t>Вантовая система</t>
  </si>
  <si>
    <t>Опорные части</t>
  </si>
  <si>
    <t>М/к ПС</t>
  </si>
  <si>
    <t>Узел прикрепления ПС к пилону 9</t>
  </si>
  <si>
    <t>М/к смотровых приспособлений и обтекателей</t>
  </si>
  <si>
    <t>Ненатяжной анкер вант типа 6-55</t>
  </si>
  <si>
    <t>Демпфер фрикционный типа 6-19</t>
  </si>
  <si>
    <t>Демпфер фрикционный типа 6-22</t>
  </si>
  <si>
    <t>Демпфер фрикционный типа 6-31</t>
  </si>
  <si>
    <t>Демпфер фрикционный типа 6-37</t>
  </si>
  <si>
    <t>Демпфер фрикционный типа 6-43</t>
  </si>
  <si>
    <t>Демпфер фрикционный типа 6-55</t>
  </si>
  <si>
    <t>Ненатяжной анкер вант типа 6-19</t>
  </si>
  <si>
    <t>Натяжной анкер вант типа 6-19</t>
  </si>
  <si>
    <t>Натяжной анкер вант типа 6-22</t>
  </si>
  <si>
    <t>Натяжной анкер вант типа 6-27</t>
  </si>
  <si>
    <t>Натяжной анкер вант типа 6-31</t>
  </si>
  <si>
    <t>Натяжной анкер вант типа 6-37</t>
  </si>
  <si>
    <t>Натяжной анкер вант типа 6-43</t>
  </si>
  <si>
    <t>Натяжной анкер вант типа 6-55</t>
  </si>
  <si>
    <t>Направляющее кольцо (tension ring) типа 6-19</t>
  </si>
  <si>
    <t>Направляющее кольцо (tension ring) типа 6-22</t>
  </si>
  <si>
    <t>Направляющее кольцо (tension ring) типа 6-27</t>
  </si>
  <si>
    <t>Направляющее кольцо (tension ring) типа 6-31</t>
  </si>
  <si>
    <t>Направляющее кольцо (tension ring) типа 6-37</t>
  </si>
  <si>
    <t>Направляющее кольцо (tension ring) типа 6-43</t>
  </si>
  <si>
    <t>Направляющее кольцо (tension ring) типа 6-55</t>
  </si>
  <si>
    <t>Оболочки 140/5.4мм вант</t>
  </si>
  <si>
    <t>Оболочки 160/6.2мм вант</t>
  </si>
  <si>
    <t>Оболочки 180/6.2мм вант</t>
  </si>
  <si>
    <t>Оболочки 200/6.2мм вант</t>
  </si>
  <si>
    <t>Направляющие трубы</t>
  </si>
  <si>
    <t>Антивандальные оболочки вант</t>
  </si>
  <si>
    <t>Семипроволочные высокопрочные пряди вант Y1860 S7 16 по EN 10138</t>
  </si>
  <si>
    <t>Деформационные швы</t>
  </si>
  <si>
    <t>Деформационный шов марки DS1760St из стали 10ХСНД-3</t>
  </si>
  <si>
    <t>Барьерное ограждение</t>
  </si>
  <si>
    <t>Оцинкованные м/к цоколей барьерного ограждения и мачт освещения из стали 10ХСНД-3</t>
  </si>
  <si>
    <t>Бетон В25 F200 W6</t>
  </si>
  <si>
    <t>Гидроизоляция мостового полотна</t>
  </si>
  <si>
    <t>м2</t>
  </si>
  <si>
    <t>Дробь (необходимо посчитать)</t>
  </si>
  <si>
    <t>л</t>
  </si>
  <si>
    <t>кг</t>
  </si>
  <si>
    <t>Барьерное ограждение 11МО-1,12С/2,0-С/С/С-350 (в комплекте с метизами крепления к цоколям)</t>
  </si>
  <si>
    <t>п.м.</t>
  </si>
  <si>
    <t>Смотровая тележка</t>
  </si>
  <si>
    <t>Рельс Р50 по ГОСТ7174-75</t>
  </si>
  <si>
    <t>Подкладки для раздельного рельсового скрепления типа СК 50 по ГОСТ16277-93</t>
  </si>
  <si>
    <t>Клеммы раздельного рельсового скрепления ж.д. пути</t>
  </si>
  <si>
    <t>Штроба между асфальтом и бортом</t>
  </si>
  <si>
    <t>Мастика МБП-Г/Шм-75 по ТУ 5775-010-11149403-2004</t>
  </si>
  <si>
    <t>Переходная зона деф шва типа ПУГМК</t>
  </si>
  <si>
    <t>Освещение</t>
  </si>
  <si>
    <t>Фленцевые граненные опоры освещения оцинкованные</t>
  </si>
  <si>
    <t>Труба оцинкованная 90х4,5 по ГОСТ 3262-75 (кабельная канализация)</t>
  </si>
  <si>
    <t>Металлоконструкции оцинкованные из стали 295-09Г2С-18 для крепления инженерных коммуникаций на пролетном строении</t>
  </si>
  <si>
    <t>Металлорукав МРН-Пинг-100</t>
  </si>
  <si>
    <t>Кабельная канализация</t>
  </si>
  <si>
    <t>Муфта соединительная СТМ(Р)-100</t>
  </si>
  <si>
    <t>Металлоконструкции оцинкованные из стали 09Г2СД для крепления инженерных коммуникаций на пролетном строении</t>
  </si>
  <si>
    <t>Металлоконструкции оцинкованные из стали Ст3 для крепления инженерных коммуникаций на пролетном строении</t>
  </si>
  <si>
    <t>Труба хризотилцементная марки ВТ6 200 мерной длины 3950мм</t>
  </si>
  <si>
    <t>Металлоконструкции оцинкованные из стали 15ХСНД для крепления инженерных коммуникаций на пролетном строении</t>
  </si>
  <si>
    <t>Муфта САМ 6 200 ГОСТ 31416-2009</t>
  </si>
  <si>
    <t>Уплотнительные кольца САМ 200 по ГОСТ 5228-89</t>
  </si>
  <si>
    <t>Водоотвод</t>
  </si>
  <si>
    <t>Водоотводные лотки из коррозионно-стойкой стали марки 12Х18Н10Т по ГОСТ 5632-2014</t>
  </si>
  <si>
    <t>Металлоконструкции из стали 10ХСНД-3 для крепления водоотводного лотка на пролетном строении</t>
  </si>
  <si>
    <t>ЛВМ Bridge-Light 380х85-Р (сталь марки 09Г2С-15 оцинкованная 120мкм)</t>
  </si>
  <si>
    <t>ЛВМ Bridge-Light 380х85-T-BBd159мм-h=500 (сталь марки 09Г2С-15 оцинкованная 120мкм)</t>
  </si>
  <si>
    <t>РЧЩ Light 100 (кл. Е600, крепеж в комплекте)</t>
  </si>
  <si>
    <t>РЧЩ Bridge-Light 225 (кл. Е600, крепеж в комплекте)</t>
  </si>
  <si>
    <t>Водоотводная решетка</t>
  </si>
  <si>
    <t>Труба раструбная под соединение TYTON длиной 500мм, DN150мм</t>
  </si>
  <si>
    <t>Колено УРГ 150 (Т)</t>
  </si>
  <si>
    <t>Труба раструбная под соединение TYTON длиной 1000мм, DN150мм</t>
  </si>
  <si>
    <t>Труба раструбная под соединение TYTON длиной 900мм, DN250мм</t>
  </si>
  <si>
    <t>Труба раструбная под соединение TYTON длиной 3650мм, DN250мм</t>
  </si>
  <si>
    <t>Колено УРГ 250 (Т)</t>
  </si>
  <si>
    <t>Патрубок ПФГ 250 (Т)</t>
  </si>
  <si>
    <t>Заглушка фланцевая ЗФ 250 (Т)</t>
  </si>
  <si>
    <t>Тройник ТР250х250 (Т)</t>
  </si>
  <si>
    <t>Труба раструбная под соединение TYTON длиной 7710мм, DN350мм</t>
  </si>
  <si>
    <t>Труба раструбная под соединение TYTON длиной 800мм, DN350мм</t>
  </si>
  <si>
    <t>Труба раструбная под соединение TYTON длиной 3700мм, DN350мм</t>
  </si>
  <si>
    <t>Колено УРГ 350 (Т)</t>
  </si>
  <si>
    <t>Патрубок ПФГ 350 (Т)</t>
  </si>
  <si>
    <t>Заглушка фланцевая ЗФ 350 (Т)</t>
  </si>
  <si>
    <t>Тройник ТР350х250 (Т)</t>
  </si>
  <si>
    <t>Тройник ТР350х300 (Т)</t>
  </si>
  <si>
    <t>Опора №6</t>
  </si>
  <si>
    <t>БНС D=1,5м L=10м</t>
  </si>
  <si>
    <t>Бетон В30 F300 W6</t>
  </si>
  <si>
    <t>Арматура d40мм - А400</t>
  </si>
  <si>
    <t>Арматура d16мм - А400</t>
  </si>
  <si>
    <t>Труба 57х3 сталь Ст2сп ГОСТ 8732-78</t>
  </si>
  <si>
    <t>Муфта соединительная для арматуры Concon СС40Р13 (или аналог)</t>
  </si>
  <si>
    <t>Ж.б. ростверк</t>
  </si>
  <si>
    <t>Бетон В45 F500 W12</t>
  </si>
  <si>
    <t>Арматура d32мм - А400</t>
  </si>
  <si>
    <t>Арматура d25мм - А400</t>
  </si>
  <si>
    <t>Арматура d20мм - А400</t>
  </si>
  <si>
    <t>Сетка 4Ср 5В500С/5В500С 100х100 ГОСТ 23279-2012</t>
  </si>
  <si>
    <t>Муфта соединительная для арматуры Concon СС32Р13 (или аналог)</t>
  </si>
  <si>
    <t>Ж.б. контурные блоки тела опоры</t>
  </si>
  <si>
    <t>Бетон В60 F500 W20</t>
  </si>
  <si>
    <t>Арматура d12мм - А400</t>
  </si>
  <si>
    <t>Арматура d22мм - А240</t>
  </si>
  <si>
    <t>Арматура d8мм - А240</t>
  </si>
  <si>
    <t>Состав ЦМИД-3 или аналог</t>
  </si>
  <si>
    <t>Ж.б. заполнение стойки</t>
  </si>
  <si>
    <t>Бетон В40 F300 W8</t>
  </si>
  <si>
    <t>Арматура d10мм - А400</t>
  </si>
  <si>
    <t>Муфта соединительная для арматуры Concon СС40А12 (или аналог)</t>
  </si>
  <si>
    <t>Ж.б. ригель</t>
  </si>
  <si>
    <t>Бетон В40 F300 W12</t>
  </si>
  <si>
    <t>Муфта соединительная для арматуры Concon СС16А12 (или аналог)</t>
  </si>
  <si>
    <t>Мостовое полотно</t>
  </si>
  <si>
    <t>Гидроизоляция напыляемая "Гидрофлекс-1" (или аналог)</t>
  </si>
  <si>
    <t>Барьерное ограждение 11МО-1,12С/2,0-С/С/С-350</t>
  </si>
  <si>
    <t>Болт М24-6g 55.88.0,16 ГОСТ 7798-70</t>
  </si>
  <si>
    <t>Шайба 24 Ст3 ТД10 ГОСТ 11371-78</t>
  </si>
  <si>
    <t>Перильное ограждение из стали 09Г2С-14</t>
  </si>
  <si>
    <t>Stelpant-Pu-Zinc (расход 0,563кг/м2, запас 1,4)</t>
  </si>
  <si>
    <t>Stelpant-Pu-Mica UV (расход 0,299кг/м2, запас 1,4)</t>
  </si>
  <si>
    <t>Stelpant-Pu Thinner</t>
  </si>
  <si>
    <t>Опора №7</t>
  </si>
  <si>
    <t>Замена грунта основания</t>
  </si>
  <si>
    <t>компл</t>
  </si>
  <si>
    <t>Щебень М800 70-120</t>
  </si>
  <si>
    <t>Щебень М800 40-70</t>
  </si>
  <si>
    <t>Щебень М800 20-400</t>
  </si>
  <si>
    <t>БНС D=1,5м L=37м</t>
  </si>
  <si>
    <t>Покраска перильного ограждения</t>
  </si>
  <si>
    <t>Перильное ограждение</t>
  </si>
  <si>
    <t>Пилон №8</t>
  </si>
  <si>
    <t>БНС D=1,5м L=21м</t>
  </si>
  <si>
    <t>Труба 1380х12 L2200мм сталь Ст3</t>
  </si>
  <si>
    <t>Муфта соединительная для арматуры Concon СС32А12 (или аналог)</t>
  </si>
  <si>
    <t>Ж.б. ригель основания пилона</t>
  </si>
  <si>
    <t>Бетон В45 F300 W12</t>
  </si>
  <si>
    <t>Ж.б. подферменник</t>
  </si>
  <si>
    <t>Предварительно напряженная арматура АП-31-150-1860</t>
  </si>
  <si>
    <t>Анкер для предварительно напряженной арматуры АКС-31Х-150-1860</t>
  </si>
  <si>
    <t>Каналообразователь КО-31-130/138</t>
  </si>
  <si>
    <t>Сетка 4С 8А400/8А400 100х100 ГОСТ 23279</t>
  </si>
  <si>
    <t>Ж.б. стойки пилона</t>
  </si>
  <si>
    <t>Эксплуатационные металлоконструкции пилона</t>
  </si>
  <si>
    <t>Металлоконструкции эксплуатационные из стали 10ХСНД-3 ГОСТ 55374-2012</t>
  </si>
  <si>
    <t>Покраска эксплуатационных металлоконструкций пилона</t>
  </si>
  <si>
    <t>Металлоконструкции пилона</t>
  </si>
  <si>
    <t>Металлоконструкции пилона из стали 10ХСНД-3 ГОСТ 55374-2012</t>
  </si>
  <si>
    <t>Высокопрочные болты М22 марки ХЛ</t>
  </si>
  <si>
    <t>Окраска металлоконструкций пилона</t>
  </si>
  <si>
    <t>Окраска участков стыков металлоконструкций пилона</t>
  </si>
  <si>
    <t>Пилон №9</t>
  </si>
  <si>
    <t>БНС D=1,5м L=27м</t>
  </si>
  <si>
    <t>Полоса 100х10 из стали Ст3</t>
  </si>
  <si>
    <t>Труба 1380х12 L2400мм сталь Ст3</t>
  </si>
  <si>
    <t>Муфта соединительная для арматуры Concon СС25А12 (или аналог)</t>
  </si>
  <si>
    <t>Муфта соединительная для арматуры Concon СС25Р13 (или аналог)</t>
  </si>
  <si>
    <t>Арматура d14мм - А400</t>
  </si>
  <si>
    <t>Ж.б. верхняя распорка пилона</t>
  </si>
  <si>
    <t>Грузопассажирский подъемник г/п 500кг</t>
  </si>
  <si>
    <t>Окраска внутренних поверхностей металлоконструкций пилона</t>
  </si>
  <si>
    <t>Мостовое полотно опоры №9</t>
  </si>
  <si>
    <t>Пилон №10</t>
  </si>
  <si>
    <t>БНС D=1,5м L=40м</t>
  </si>
  <si>
    <t>Опора №11</t>
  </si>
  <si>
    <t>Опора №12</t>
  </si>
  <si>
    <t>БНС D=1,5м L=26м</t>
  </si>
  <si>
    <t>Русловая часть</t>
  </si>
  <si>
    <t>Левобережная часть</t>
  </si>
  <si>
    <t>Опора №4 (устой)</t>
  </si>
  <si>
    <t>БНС D=1,5м L=25м</t>
  </si>
  <si>
    <t>Арматура d10мм - А240</t>
  </si>
  <si>
    <t>Лист 10мм ГОСТ 19903-2015</t>
  </si>
  <si>
    <t>Полоса 4х80 ГОСТ 103-2006</t>
  </si>
  <si>
    <t>Щебень М800 фр. 40-70</t>
  </si>
  <si>
    <t>Цемент М400</t>
  </si>
  <si>
    <t>Бетон В30 F300 W8</t>
  </si>
  <si>
    <t>Сетка 4Ср 5Вр-I-100/5Вр-I-100 ГОСТ 23279-2012</t>
  </si>
  <si>
    <t>Ж.б. стойки тела опоры</t>
  </si>
  <si>
    <t>Бетон В35 F300 W8</t>
  </si>
  <si>
    <t>Ж.б. оголовок опоры</t>
  </si>
  <si>
    <t>Бетон В35 F300 W10</t>
  </si>
  <si>
    <t>Ж.б. шкафная стенка</t>
  </si>
  <si>
    <t>Труба 127х3,5 оцинкованная ГОСТ 10704-91</t>
  </si>
  <si>
    <t>Труба 406,4х8 оцинкованная ГОСТ 10704-91</t>
  </si>
  <si>
    <t>Гидроизоляция засыпаемых поверхностей за 2 раза</t>
  </si>
  <si>
    <t>Битумная мастика типа БМ-3</t>
  </si>
  <si>
    <t>Опора №5</t>
  </si>
  <si>
    <t>Арматура d28мм - А400</t>
  </si>
  <si>
    <t>Труба 57х3,5 сталь Ст2сп ГОСТ 8732-78</t>
  </si>
  <si>
    <t>Бетон В15</t>
  </si>
  <si>
    <t>Сетка 4С 10-А400 100х100 ГОСТ 23279-2012</t>
  </si>
  <si>
    <t>СТЖБ пролетное строение 4-6</t>
  </si>
  <si>
    <t>М/к смотровых ходов</t>
  </si>
  <si>
    <t>Металлоконструкции смотровых ходов из стали марки 15-09Г2С</t>
  </si>
  <si>
    <t>Решетчатый настил SP 34х38/30х3 Zn S4 тип А шириной 800мм</t>
  </si>
  <si>
    <t>Решетчатый настил SP 34х38/30х3 Zn S4 тип А шириной 1000мм</t>
  </si>
  <si>
    <t>Скрепитель универсальный</t>
  </si>
  <si>
    <t>Метизы оцинкованные</t>
  </si>
  <si>
    <t>Грунтование монтажных стыков</t>
  </si>
  <si>
    <t>Металлоконструкции пролетных строений из стали марки 10ХСНД-3 по ГОСТ Р6713-21 (огрунтованные на заводе)</t>
  </si>
  <si>
    <t>Металлоконструкции смотровых приспособлений 15ХСНД (огрунтованные на заводе)</t>
  </si>
  <si>
    <t>Металлоконструкции аэродинамического обтекателя 10ХСНД-3 по ГОСТ Р6713-21 (огрунтованные на заводе)</t>
  </si>
  <si>
    <t>Металлоконструкции сварных балок под пути катания из стали 10ХСНД-3 (огрунтованные на заводе)</t>
  </si>
  <si>
    <t>Окраска огрунтованных пролетных строений</t>
  </si>
  <si>
    <t>Stelpant-Pu-Mica UV RAL 9003 (расход 0,299кг/м2, запас 1,4)</t>
  </si>
  <si>
    <t>Окраска опорных листов</t>
  </si>
  <si>
    <t>Линейно-подвижная ОЧШС-ВЛ-400/79-140 (+-140)</t>
  </si>
  <si>
    <t>Всесторонне-подвижная ОЧШС-ВП-420-140/40 (+-140/+-40)</t>
  </si>
  <si>
    <t>Линейно-подвижная ОЧШС-ВЛ-1200/119-10 (+-10)</t>
  </si>
  <si>
    <t>Неподвижная ОЧШС-ВН-1250/119/286</t>
  </si>
  <si>
    <t>Монолитная плита проезжей части</t>
  </si>
  <si>
    <t>Бетон В35 F300 W12</t>
  </si>
  <si>
    <t>Арматура d18мм - А400</t>
  </si>
  <si>
    <t>Муфта соединительная для арматуры Concon СС20А12 (или аналог)</t>
  </si>
  <si>
    <t>Металлоконструкции закладных деталей из Ст3сп</t>
  </si>
  <si>
    <t>Металлоконструкции закладных деталей барьерного ограждения из Ст3сп оцинкованные</t>
  </si>
  <si>
    <t>Труба водоотводная "Левша и Ко" ЧК-150 или аналог</t>
  </si>
  <si>
    <t>Дренажная трубка ПЭ SDR 21-50х2,4 L=1200мм</t>
  </si>
  <si>
    <t>Мостовое полотно 4-6</t>
  </si>
  <si>
    <t>Дренажный канал</t>
  </si>
  <si>
    <t>Дренажная смесь типа "Казинаки"</t>
  </si>
  <si>
    <t>Решетка водоотодная по т.п. 3.503.1-81.3-1-21</t>
  </si>
  <si>
    <t>Водоотодная воронка по т.п. 3.503.1-81.3-1-20</t>
  </si>
  <si>
    <t>Сетка из стекловолокна 200х200мм по ГОСТ 19170-2001</t>
  </si>
  <si>
    <t>Подвесной лоток из стали 15-09Г2С ГОСТ 19281-2014 сечением 270х400 (горячее цинкование 120мкм)</t>
  </si>
  <si>
    <t>Отвод П45 377х8,0 Ст20 ГОСТ 17375-2001</t>
  </si>
  <si>
    <t>Труба 377х8,0 L=0,4м Ст20 ГОСТ 10704-91</t>
  </si>
  <si>
    <t>Воронка из стали индивидуального проектирования</t>
  </si>
  <si>
    <t>Уголок 50х50х5 ГОСТ 8509-93 L=400мм (горячее цинкование 120мкм)</t>
  </si>
  <si>
    <t>Резьбовая шпилька М12х350 ТД10</t>
  </si>
  <si>
    <t>Резьбовая шпилька М12х270 ТД10</t>
  </si>
  <si>
    <t>Гайка М12-10 ТД10</t>
  </si>
  <si>
    <t>Шайба 12 Ст3 ТД10</t>
  </si>
  <si>
    <t>Деформационный шов ДШ1 (опора 4) ход шва +-120мм из стали 10ХСНД-3</t>
  </si>
  <si>
    <t>Деформационный шов ДШ1 (опора 6) ход шва +-120мм из стали 10ХСНД-3</t>
  </si>
  <si>
    <t>Бетон В40 F400 W10</t>
  </si>
  <si>
    <t>Арматура d8мм - А400</t>
  </si>
  <si>
    <t>Барьерное ограждение 21-МО/350-1,3(0,15)х2,0-0,75(1,14)</t>
  </si>
  <si>
    <t>Конус на опоре №4</t>
  </si>
  <si>
    <t>Песок средний с Кф&gt;2м/сут</t>
  </si>
  <si>
    <t>Щебень гранитный М800 F300 фр. 20-40</t>
  </si>
  <si>
    <t>Бетон В25 F300 W8</t>
  </si>
  <si>
    <t>Антисептированная доска 30х100</t>
  </si>
  <si>
    <t>Щебень гранитный М800 F300 фр. 40-70</t>
  </si>
  <si>
    <t>Бутовый камень М800 F300 фр. 0-700 Dср=0,52м</t>
  </si>
  <si>
    <t>Грунтование монтажных стыков пролетных строений</t>
  </si>
  <si>
    <t>Грунтование монтажных стыков аэродинамических обтекателей</t>
  </si>
  <si>
    <t>Грунтование монтажных стыков смотровых приспособлений</t>
  </si>
  <si>
    <t>Окраска огрунтованных аэродинамических обтекателей</t>
  </si>
  <si>
    <t>Окраска огрунтованных смотровых приспособлений</t>
  </si>
  <si>
    <t>Сопряжение с насыпью у опоры №4</t>
  </si>
  <si>
    <t>Геотекстиль типа "Дорнит" 250г/м2</t>
  </si>
  <si>
    <t>Бетон В30 F300 W10</t>
  </si>
  <si>
    <t>Ж.б. переходные плиты</t>
  </si>
  <si>
    <t>Ж.б. лежень</t>
  </si>
  <si>
    <t>Гидроизоляция переходной плиты</t>
  </si>
  <si>
    <t>Гидроизоляция "Техноэластмост С"</t>
  </si>
  <si>
    <t>Праймер MATACRYL BITU-PRIMER</t>
  </si>
  <si>
    <t>Кварцевый песок фр. 0,7-1,2мм</t>
  </si>
  <si>
    <t>Защитный слой переходных плит</t>
  </si>
  <si>
    <t>Лестничный сход у опоры №4</t>
  </si>
  <si>
    <t>Фундаментная плита ФЛ 10.12-2</t>
  </si>
  <si>
    <t>Фундамент Ф60.60.130</t>
  </si>
  <si>
    <t>Косоур лестничного схода КЛ535.210</t>
  </si>
  <si>
    <t>Косоур лестничного схода КЛ495.210</t>
  </si>
  <si>
    <t>Уголок 70х70х5</t>
  </si>
  <si>
    <t>Площадка ПЛ75.75.7</t>
  </si>
  <si>
    <t>Площадка ПЛ150.75.7</t>
  </si>
  <si>
    <t>Ступени СЛ75.35.7</t>
  </si>
  <si>
    <t>Ступени СЛ75.35.7-1</t>
  </si>
  <si>
    <t>Металлоконструкции перильного ограждения Ст3</t>
  </si>
  <si>
    <t>Правобережная часть</t>
  </si>
  <si>
    <t>Опора №13</t>
  </si>
  <si>
    <t>Бетон В7,5</t>
  </si>
  <si>
    <t>Опора №14</t>
  </si>
  <si>
    <t>БНС D=1,5м L=29м</t>
  </si>
  <si>
    <t>Опора №15</t>
  </si>
  <si>
    <t>БНС D=1,5м L=23,5м</t>
  </si>
  <si>
    <t>Опора №16</t>
  </si>
  <si>
    <t>Опора №17</t>
  </si>
  <si>
    <t>Опора №18</t>
  </si>
  <si>
    <t>БНС D=1,5м L=28,5м</t>
  </si>
  <si>
    <t>Опора №19</t>
  </si>
  <si>
    <t>БНС D=1,5м L=31,5м</t>
  </si>
  <si>
    <t>Опора №20</t>
  </si>
  <si>
    <t>БНС D=1,5м L=34,5м</t>
  </si>
  <si>
    <t>Опора №21</t>
  </si>
  <si>
    <t>БНС D=1,5м L=24,5м</t>
  </si>
  <si>
    <t>Опора №22</t>
  </si>
  <si>
    <t>БНС D=1,5м L=25,5м</t>
  </si>
  <si>
    <t>Опора №23</t>
  </si>
  <si>
    <t>Опора №24</t>
  </si>
  <si>
    <t>Опора №25</t>
  </si>
  <si>
    <t>БНС D=1,5м L=27,5м</t>
  </si>
  <si>
    <t>Опора №26</t>
  </si>
  <si>
    <t>БНС D=1,5м L=29,5м</t>
  </si>
  <si>
    <t>Опора №27</t>
  </si>
  <si>
    <t>Опора №28</t>
  </si>
  <si>
    <t>БНС D=1,5м L=31м</t>
  </si>
  <si>
    <t>Опора №29 (устой)</t>
  </si>
  <si>
    <t>БНС D=1,5м L=39,5м</t>
  </si>
  <si>
    <t>Круг 32-08Х18Н10</t>
  </si>
  <si>
    <t>Труба 325х8 оцинкованная ГОСТ 10704-91</t>
  </si>
  <si>
    <t>Металлическое ПС 12-15</t>
  </si>
  <si>
    <t>ТКР-4.1.3. ВР2</t>
  </si>
  <si>
    <t>Металлическое ПС 12-29</t>
  </si>
  <si>
    <t>М/к ПС 12-15</t>
  </si>
  <si>
    <t>Металлоконструкции смотровых приспособлений 15-09Г2С (огрунтованные на заводе)</t>
  </si>
  <si>
    <t>М/к смотровых ходов 12-15</t>
  </si>
  <si>
    <t>Грунтование монтажных стыков пролетных строений 12-15</t>
  </si>
  <si>
    <t>Окраска огрунтованных пролетных строений 12-15</t>
  </si>
  <si>
    <t>Грунтование монтажных стыков смотровых ходов 12-15</t>
  </si>
  <si>
    <t>Окраска огрунтованных смотровых ходов 12-15</t>
  </si>
  <si>
    <t>Опорные части в пролете 12-15</t>
  </si>
  <si>
    <t>Опорная часть всесторонне подв. 6500кН (+-230мм)</t>
  </si>
  <si>
    <t>Опорная часть линейно подв. 6500кН (+-230мм)</t>
  </si>
  <si>
    <t>Опорная часть всесторонне подв. 15000кН (+-160мм)</t>
  </si>
  <si>
    <t>Опорная часть линейно подв. 15000кН (+-160мм)</t>
  </si>
  <si>
    <t>Опорная часть линейно подв. поперек 15000кН (+-20мм)</t>
  </si>
  <si>
    <t>Опорная часть неподв. 15000кН</t>
  </si>
  <si>
    <t>Опорная часть всесторонне подв. 6500кН (+-160мм)</t>
  </si>
  <si>
    <t>Опорная часть линейно подв. 6500кН (+-160мм)</t>
  </si>
  <si>
    <t>Металлическое ПС 15-18</t>
  </si>
  <si>
    <t>М/к ПС 15-18</t>
  </si>
  <si>
    <t>М/к смотровых ходов 15-18</t>
  </si>
  <si>
    <t>Грунтование монтажных стыков пролетных строений 15-18</t>
  </si>
  <si>
    <t>Окраска огрунтованных пролетных строений 15-18</t>
  </si>
  <si>
    <t>Грунтование монтажных стыков смотровых ходов 15-18</t>
  </si>
  <si>
    <t>Окраска огрунтованных смотровых ходов 15-18</t>
  </si>
  <si>
    <t>Опорные части в пролете 15-18</t>
  </si>
  <si>
    <t>Металлическое ПС 18-22</t>
  </si>
  <si>
    <t>М/к ПС 18-22</t>
  </si>
  <si>
    <t>М/к смотровых ходов 18-22</t>
  </si>
  <si>
    <t>Грунтование монтажных стыков пролетных строений 18-22</t>
  </si>
  <si>
    <t>Окраска огрунтованных пролетных строений 18-22</t>
  </si>
  <si>
    <t>Грунтование монтажных стыков смотровых ходов 18-22</t>
  </si>
  <si>
    <t>Окраска огрунтованных смотровых ходов 18-22</t>
  </si>
  <si>
    <t>Опорные части в пролете 18-22</t>
  </si>
  <si>
    <t>Опорная часть линейно подв. поперек 12500кН (+-20мм)</t>
  </si>
  <si>
    <t>Опорная часть неподв. 12500кН</t>
  </si>
  <si>
    <t>Опорная часть всесторонне подв. 7500кН (+-230мм)</t>
  </si>
  <si>
    <t>Опорная часть линейно подв. 5100кН (+-230мм)</t>
  </si>
  <si>
    <t>Металлическое ПС 22-26</t>
  </si>
  <si>
    <t>М/к ПС 22-26</t>
  </si>
  <si>
    <t>М/к смотровых ходов 22-26</t>
  </si>
  <si>
    <t>Грунтование монтажных стыков пролетных строений 22-26</t>
  </si>
  <si>
    <t>Окраска огрунтованных пролетных строений 22-26</t>
  </si>
  <si>
    <t>Грунтование монтажных стыков смотровых ходов 22-26</t>
  </si>
  <si>
    <t>Окраска огрунтованных смотровых ходов 22-26</t>
  </si>
  <si>
    <t>Опорные части в пролете 22-26</t>
  </si>
  <si>
    <t>Металлическое ПС 26-29</t>
  </si>
  <si>
    <t>М/к ПС 26-29</t>
  </si>
  <si>
    <t>М/к смотровых ходов 26-29</t>
  </si>
  <si>
    <t>Грунтование монтажных стыков пролетных строений 26-29</t>
  </si>
  <si>
    <t>Окраска огрунтованных пролетных строений 26-29</t>
  </si>
  <si>
    <t>Грунтование монтажных стыков смотровых ходов 26-29</t>
  </si>
  <si>
    <t>Окраска огрунтованных смотровых ходов 26-29</t>
  </si>
  <si>
    <t>Опорные части в пролете 26-29</t>
  </si>
  <si>
    <t>Мостовое полотно 12-15</t>
  </si>
  <si>
    <t>Барьерное ограждение 12-15</t>
  </si>
  <si>
    <t>Оцинкованные м/к цоколей барьерного ограждения из стали 10ХСНД-3</t>
  </si>
  <si>
    <t>Барьерное ограждение 21-МО/350-1,3(0,15)х2,0-0,75(1,27)</t>
  </si>
  <si>
    <t>Дренажный канал 12-15</t>
  </si>
  <si>
    <t>Стекловолокно 200х200 ГОСТ 19170-2001</t>
  </si>
  <si>
    <t>Водоотвод 12-15</t>
  </si>
  <si>
    <t>Водоотводная воронка "Левша и Ко" ВР.330.350.165 или аналог</t>
  </si>
  <si>
    <t>Решетка водоотводная "Левша и Ко" РВ.270.290.50 или аналог</t>
  </si>
  <si>
    <t>Гидроизоляция мостового полотна 12-15</t>
  </si>
  <si>
    <t>Переходная зона деф шва типа ПУГМК 12-15</t>
  </si>
  <si>
    <t>Оцинкованные м/к цоколей мачт освещения из стали 09Г2С-12</t>
  </si>
  <si>
    <t>Болт М30-6g 120.88. ТД10 ГОСТ 7798-70</t>
  </si>
  <si>
    <t>Шайба 30 Ст3 ТД10 ГОСТ 11371-78</t>
  </si>
  <si>
    <t>Гайка М30-10 ТД10 ГОСТ ISO 4032</t>
  </si>
  <si>
    <t>Штроба между асфальтом и бортом 12-15</t>
  </si>
  <si>
    <t>Мостовое полотно 15-18</t>
  </si>
  <si>
    <t>Барьерное ограждение 15-18</t>
  </si>
  <si>
    <t>Дренажный канал 15-18</t>
  </si>
  <si>
    <t>Водоотвод 15-18</t>
  </si>
  <si>
    <t>Гидроизоляция мостового полотна 15-18</t>
  </si>
  <si>
    <t>Переходная зона деф шва типа ПУГМК 15-18</t>
  </si>
  <si>
    <t>Штроба между асфальтом и бортом 15-18</t>
  </si>
  <si>
    <t>Крепление освещения 15-18</t>
  </si>
  <si>
    <t>Крепление освещения 12-15</t>
  </si>
  <si>
    <t>Мостовое полотно 18-22</t>
  </si>
  <si>
    <t>Барьерное ограждение 18-22</t>
  </si>
  <si>
    <t>Дренажный канал 18-22</t>
  </si>
  <si>
    <t>Водоотвод 18-22</t>
  </si>
  <si>
    <t>Гидроизоляция мостового полотна 18-22</t>
  </si>
  <si>
    <t>Переходная зона деф шва типа ПУГМК 18-22</t>
  </si>
  <si>
    <t>Штроба между асфальтом и бортом 18-22</t>
  </si>
  <si>
    <t>Крепление освещения 18-22</t>
  </si>
  <si>
    <t>Мостовое полотно 22-26</t>
  </si>
  <si>
    <t>Барьерное ограждение 22-26</t>
  </si>
  <si>
    <t>Дренажный канал 22-26</t>
  </si>
  <si>
    <t>Водоотвод 22-26</t>
  </si>
  <si>
    <t>Гидроизоляция мостового полотна 22-26</t>
  </si>
  <si>
    <t>Переходная зона деф шва типа ПУГМК 22-26</t>
  </si>
  <si>
    <t>Штроба между асфальтом и бортом 22-26</t>
  </si>
  <si>
    <t>Крепление освещения 22-26</t>
  </si>
  <si>
    <t>Мостовое полотно 26-29</t>
  </si>
  <si>
    <t>Барьерное ограждение 26-29</t>
  </si>
  <si>
    <t>Дренажный канал 26-29</t>
  </si>
  <si>
    <t>Водоотвод 26-29</t>
  </si>
  <si>
    <t>Гидроизоляция мостового полотна 26-29</t>
  </si>
  <si>
    <t>Переходная зона деф шва типа ПУГМК 26-29</t>
  </si>
  <si>
    <t>Штроба между асфальтом и бортом 26-29</t>
  </si>
  <si>
    <t>Крепление освещения 26-29</t>
  </si>
  <si>
    <t>Деформационный шов марки DS400 из стали 10ХСНД-3</t>
  </si>
  <si>
    <r>
      <t>Бетон В35 F</t>
    </r>
    <r>
      <rPr>
        <sz val="9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300 W8</t>
    </r>
  </si>
  <si>
    <t>Проволока 1,2-О-Ч</t>
  </si>
  <si>
    <t>Деформационный шов марки DS560 из стали 10ХСНД-3</t>
  </si>
  <si>
    <t>Деформационный шов марки DS640 из стали 10ХСНД-3</t>
  </si>
  <si>
    <t>Водоотвод на пролетном строении 12-15</t>
  </si>
  <si>
    <t>Труба наращивания ПЭ80 225х12,8</t>
  </si>
  <si>
    <t>Труба наращивания ПЭ80 90х4,3</t>
  </si>
  <si>
    <t>Хомут оцинкованный для трубы d225мм</t>
  </si>
  <si>
    <t>Хомут оцинкованный для трубы d90мм</t>
  </si>
  <si>
    <t>Кронштейн 1 оцинкованный</t>
  </si>
  <si>
    <t>Болт М16-6g 120.88. ТД10 ГОСТ 7798-70</t>
  </si>
  <si>
    <t>Болт М12-6g 50.88. ТД10 ГОСТ 7798-70</t>
  </si>
  <si>
    <t>Гайка М16-10 ТД10 ГОСТ ISO 4032</t>
  </si>
  <si>
    <t>Шайба 16 Ст3 ТД10 ГОСТ 11371-78</t>
  </si>
  <si>
    <t>Гайка М12-10 ТД10 ГОСТ ISO 4032</t>
  </si>
  <si>
    <t>Шайба 12 Ст3 ТД10 ГОСТ 11371-78</t>
  </si>
  <si>
    <t>Водоотвод на пролетном строении 15-18</t>
  </si>
  <si>
    <t>Труба наращивания ПЭ80 200х7,7</t>
  </si>
  <si>
    <t>Водоотвод на пролетном строении 18-22</t>
  </si>
  <si>
    <t>Водоотвод на пролетном строении 22-26</t>
  </si>
  <si>
    <t>Резьбовая шпилька М12 ТД10</t>
  </si>
  <si>
    <t>Водоотвод на пролетном строении 26-29</t>
  </si>
  <si>
    <t>Сопряжение с насыпью у опоры №29</t>
  </si>
  <si>
    <t>Щебень гранитный М1000 фр. 40-70</t>
  </si>
  <si>
    <t>Раствор М100</t>
  </si>
  <si>
    <t>Щебень гранитный М800 фр. 40-70</t>
  </si>
  <si>
    <t>Щебеночная подготовка под переходные плиты</t>
  </si>
  <si>
    <t>Бетон В35 F(2)300 W10</t>
  </si>
  <si>
    <t>Труба ПЭ 32 SDR 21 63х3,0 тех  L=410мм</t>
  </si>
  <si>
    <t>Шнур типа "Вилатерм" d30мм</t>
  </si>
  <si>
    <t>Отсыпка и укрепление струенаправляющей дамбы</t>
  </si>
  <si>
    <t>Ж.б. плиты 6х2м толщиной 140мм</t>
  </si>
  <si>
    <t>Грунтовый анкер типа Manta Ray MR 3</t>
  </si>
  <si>
    <t>Монолитный ж.б. упор</t>
  </si>
  <si>
    <t>Щебень гранитный М800 F300 фр. 20-70</t>
  </si>
  <si>
    <t>Бетон В20 F(2)300 W8</t>
  </si>
  <si>
    <t>Земляные работы</t>
  </si>
  <si>
    <t>Левый берег р. Лена (ПК43+00 - ПК46+13,92)</t>
  </si>
  <si>
    <t>Песок мелкий</t>
  </si>
  <si>
    <t>Армирующий геоматериал</t>
  </si>
  <si>
    <t>Проволока Вр-1 d5мм</t>
  </si>
  <si>
    <t>Геотекстиль нетканный</t>
  </si>
  <si>
    <t>Плита ж.б. 3х2,5 толщиной 15см</t>
  </si>
  <si>
    <t>Щебень М600 F300 фр. 20-40</t>
  </si>
  <si>
    <t>Укрепление откосов сборными плитами</t>
  </si>
  <si>
    <t>Устройство монолитных упоров</t>
  </si>
  <si>
    <t>Бетон В20 F300 W8</t>
  </si>
  <si>
    <t>Арматура d12мм - А240</t>
  </si>
  <si>
    <t>Щебень М400 фр. 40-70</t>
  </si>
  <si>
    <t>Дорожная одежда</t>
  </si>
  <si>
    <t>ЩМА-16 с применением ПБВ 90</t>
  </si>
  <si>
    <t>Битумная эмульсия</t>
  </si>
  <si>
    <t>Асфальтобетон А22Нт на БНД 100/130</t>
  </si>
  <si>
    <t>Асфальтобетон А32От на БНД 100/130</t>
  </si>
  <si>
    <t>Фракционированный щебень М800</t>
  </si>
  <si>
    <t>Песок крупный с Кф&gt;2м/сут</t>
  </si>
  <si>
    <t>Песок крупный с Кф&gt;1м/сут</t>
  </si>
  <si>
    <t>Устройство асфальтобетонных покрытий</t>
  </si>
  <si>
    <t>Устройство оснований</t>
  </si>
  <si>
    <t>Устройство дополнительного слоя оснований</t>
  </si>
  <si>
    <t>ТКР-3.1.ВР</t>
  </si>
  <si>
    <t>Укрепление обочин (асфальтобетоном на участках установки барьерного ограждения)</t>
  </si>
  <si>
    <t>Укрепление обочин (однослойным асфальтобетоном на участках укрепления откосов насыпи бетонными плитами)</t>
  </si>
  <si>
    <t>Асфальтобетон А5 ВЛ на БНД 100/130</t>
  </si>
  <si>
    <t>Фракционированный щебень М400</t>
  </si>
  <si>
    <t>Укрепление обочин (щебнем)</t>
  </si>
  <si>
    <t>Щебень М800 фр. 5-40</t>
  </si>
  <si>
    <t>Лента стыковочная битумно-полимерная Брит-А</t>
  </si>
  <si>
    <t>Водосбросные сооружения</t>
  </si>
  <si>
    <t>Лоток ЛВК ВМ Sir 300 Тип 1</t>
  </si>
  <si>
    <t>Лоток ЛВК ВМ Plus 300 Тип 1</t>
  </si>
  <si>
    <t>Пескоуловитель Sir 300 односекционный</t>
  </si>
  <si>
    <t xml:space="preserve">Решетка чугунная щелевая Sir 300 </t>
  </si>
  <si>
    <t>Правый берег р. Лена (ПК92+30,23 - ПК143+64)</t>
  </si>
  <si>
    <t>Земляные работы ПК 132+00 - ПК 143+64</t>
  </si>
  <si>
    <t>Биоматы</t>
  </si>
  <si>
    <t>Растительный грунт</t>
  </si>
  <si>
    <t>Устройство присыпных обочин</t>
  </si>
  <si>
    <t>Лоток ЛВК ВМ Sir 300 №40</t>
  </si>
  <si>
    <t>Лоток ЛВК ВМ Plus 300 №40</t>
  </si>
  <si>
    <t>Пескоуловитель Sir 300 многосекционный</t>
  </si>
  <si>
    <t>Водопропускная металлическая труба D=1,5м</t>
  </si>
  <si>
    <t>Песчано-гравийная смесь</t>
  </si>
  <si>
    <t>Грунтовая смесь с цементом</t>
  </si>
  <si>
    <t>Водопропускная металлическая гофрированная труба D=1,5м</t>
  </si>
  <si>
    <t>Блок лотка Л1</t>
  </si>
  <si>
    <t>Нетканный геотекстиль</t>
  </si>
  <si>
    <t>Щебень М1000 фр. 20-40</t>
  </si>
  <si>
    <t>Камень М1200 F300 фр 100-200</t>
  </si>
  <si>
    <t>Геомембрана композиционная</t>
  </si>
  <si>
    <t>Земляные работы ПК 92+30,23 - ПК 132+00</t>
  </si>
  <si>
    <t>Песок средний</t>
  </si>
  <si>
    <t>Щебень М800 фр. 20-70</t>
  </si>
  <si>
    <t>Плита ж.б. 6х2 толщиной 14см</t>
  </si>
  <si>
    <t>Грунтовый анкер типа Manta Ray MR 3 l=2,5м</t>
  </si>
  <si>
    <t>Песок</t>
  </si>
  <si>
    <t>Арматура АШ12</t>
  </si>
  <si>
    <t>Щебень М600 F300 фр. 20-70</t>
  </si>
  <si>
    <t>Примыкание к А-360</t>
  </si>
  <si>
    <t>ТКР-3.4.ВР</t>
  </si>
  <si>
    <t>Щебень М800 фр. 20-40</t>
  </si>
  <si>
    <t>Дорожная одежда основной ход ПК143+64 - ПК147+05</t>
  </si>
  <si>
    <t xml:space="preserve">Георешетка </t>
  </si>
  <si>
    <t>Шумозащитные экраны</t>
  </si>
  <si>
    <t>ТКР-3.5.ВР1</t>
  </si>
  <si>
    <t>Бетон В15 F100 W4</t>
  </si>
  <si>
    <t>Труба 426х8мм сталь 09Г2С оцинкованная длиной 8м</t>
  </si>
  <si>
    <t>Щебень М600 фр. 20-40</t>
  </si>
  <si>
    <t>Доска t=50мм с пропиткой антисептиком</t>
  </si>
  <si>
    <t>Бетон В30 F(2)300 W8</t>
  </si>
  <si>
    <t>Металлоконструкции закладных деталей из трубы 102х4мм оцинкованные</t>
  </si>
  <si>
    <t>Шпилька типа HIT-V-5.8 М20х480 или аналог</t>
  </si>
  <si>
    <t>Клеевой состав химического анкера</t>
  </si>
  <si>
    <t>Гайка М20 оцинкованная</t>
  </si>
  <si>
    <t>Стойки шумозащитного экрана оцинкованные из стали 09Г2С</t>
  </si>
  <si>
    <t>Панель шумопоглащающая ПШП L=2,96м, H=1,0м</t>
  </si>
  <si>
    <t>Панель шумопоглащающая ПШП L=0,96м, H=1,0м</t>
  </si>
  <si>
    <t>Панель светопрозрачная ПСП L=2,96м, H=1,0м</t>
  </si>
  <si>
    <t>Панель шумоотражающая ПШО L=2,96м, H=1,0м</t>
  </si>
  <si>
    <t>Калитка шумозащитного экрана оцинкованная из стали 09Г2С</t>
  </si>
  <si>
    <t>Антивандальная краска (расход 0,4кг/м2)</t>
  </si>
  <si>
    <t>Металлоконструкции заземления шумозащитного экрана оцинкованные из стали 09Г2С</t>
  </si>
  <si>
    <t>Купершлак (расход 26кг на 1м2)</t>
  </si>
  <si>
    <t>Песок кварцевый фр. 1-3</t>
  </si>
  <si>
    <t>"Гидрофлекс-1" (грунт) либо Акридек 103</t>
  </si>
  <si>
    <t>"Гидрофлекс-1" (основа) либо Акридек 801</t>
  </si>
  <si>
    <t>"Гидрофлекс-1" (слой сцепления) либо Акридек 304</t>
  </si>
  <si>
    <t>Переустройство русла р. Тамма и Восточно Хаптагайской протоки</t>
  </si>
  <si>
    <t>Камень М600 F150 фр 200-500</t>
  </si>
  <si>
    <t>ИЛО-1.1.ВР</t>
  </si>
  <si>
    <t>Площадка ПВП/ЦУДД</t>
  </si>
  <si>
    <t>ТКР-9-ВР1</t>
  </si>
  <si>
    <t>Устройство проездов</t>
  </si>
  <si>
    <t>Песок крупный</t>
  </si>
  <si>
    <t>Фракционированный щебень М800 фр 40-80</t>
  </si>
  <si>
    <t>Асфальтобетон А22Вл на БНД 100/130</t>
  </si>
  <si>
    <t>Асфальтобетон А16Вл на ПБВ 90</t>
  </si>
  <si>
    <t>Бортовой камень БР 100.30.18</t>
  </si>
  <si>
    <t>Устройство тротуаров</t>
  </si>
  <si>
    <t>Асфальтобетон песчаный высокопористый МП на БНД 60/90</t>
  </si>
  <si>
    <t>Бортовой камень БР 100.20.8</t>
  </si>
  <si>
    <t>Устройство газонов</t>
  </si>
  <si>
    <t>Семяна многолетних трав</t>
  </si>
  <si>
    <t>Устройство водоотводных лотков Л1, Л2, Л6, Л7, Л8, Л9</t>
  </si>
  <si>
    <t>Гидроизоляционный материал пергамин</t>
  </si>
  <si>
    <t>Бетон В25 F100 W4</t>
  </si>
  <si>
    <t>Бетон В12,5</t>
  </si>
  <si>
    <t>Лоток водоотводной ЛВ-30.38.41-Б-К30 арт. 4700/30-30</t>
  </si>
  <si>
    <t>Решетка водоприемная MAX DN300 щелевая</t>
  </si>
  <si>
    <t>Лоток водоотводной ЛВ-30.38.41-Б-К22 арт. 4700/22-22</t>
  </si>
  <si>
    <t>Лоток водоотводной ЛВ-30.38.41-Б-К14 арт. 4700/14-14</t>
  </si>
  <si>
    <t>Лоток водоотводной ЛВ-30.38.41-Б-К08 арт. 4700/08-08</t>
  </si>
  <si>
    <t>Лоток водоотводной ЛВ-30.38.41-Б арт. 4700</t>
  </si>
  <si>
    <t>Устройство водоотводных лотков Л3, Л4, Л5, Л7.1</t>
  </si>
  <si>
    <t>Лоток водоотводной BETOMAX DN160 H21, арт. 4340</t>
  </si>
  <si>
    <t>Решетка Max РВ-16.23.50-щель-ВЧ кл. Е, арт. 23305</t>
  </si>
  <si>
    <t>Технологические площадки под ВЗИС</t>
  </si>
  <si>
    <t>01-ПД/МП-Л-2-ПОС-1.2</t>
  </si>
  <si>
    <t>Площадка №1 (Вахтовый городок)</t>
  </si>
  <si>
    <t>щебень М600 фракции 40-70 мм</t>
  </si>
  <si>
    <t>щебень М600 фракции 5-10 мм</t>
  </si>
  <si>
    <t>щебень М600 фракции 10-20 мм</t>
  </si>
  <si>
    <t>Устройство водоотводных канав и накопителей левобережной перевалочной базы</t>
  </si>
  <si>
    <t>геомембрана HDPE Тип 5/2 толщиной 1мм</t>
  </si>
  <si>
    <t>песок мелкий</t>
  </si>
  <si>
    <t>плиты 2ПДН-14</t>
  </si>
  <si>
    <t>ФБС 12.4.3-Т</t>
  </si>
  <si>
    <t>анкер 6-А240 ГОСТ 5781-82 L=500 Шаг 1 м</t>
  </si>
  <si>
    <t>матрацно-тюфячное ГСИ-М-2,0х3,0х0,17-С60-2,4-ЦАММ</t>
  </si>
  <si>
    <t>матрацно-тюфячное ГСИ-М-2,0х4,0х0,17-С60-2,4-ЦАММ</t>
  </si>
  <si>
    <t>щебень фракции 70/120</t>
  </si>
  <si>
    <t>труба 80х3</t>
  </si>
  <si>
    <t>бетон В15 F150 W6</t>
  </si>
  <si>
    <t>щебеночно-песчаная смесь С4</t>
  </si>
  <si>
    <t>пластиковая заглушка 80х80</t>
  </si>
  <si>
    <t>труба 40х3</t>
  </si>
  <si>
    <t>труба 60х40х3</t>
  </si>
  <si>
    <t>проф. лист С21-1000-0,7</t>
  </si>
  <si>
    <t>саморезы 4,8х28 с EPDM прокладкой</t>
  </si>
  <si>
    <t>Устройство модульных зданий</t>
  </si>
  <si>
    <t>Административно-бытовой комплекс</t>
  </si>
  <si>
    <t>блок-контейнер, размерами 6250х2440х3230мм</t>
  </si>
  <si>
    <t>блок-контейнер, размерами 4895х2440х3230мм</t>
  </si>
  <si>
    <t>блок-контейнер, размерами 2440х2440х3230мм</t>
  </si>
  <si>
    <t>Общежитие для проживания инженерно-технического персонала (ИТР)</t>
  </si>
  <si>
    <t>Общежитие для проживания рабочих</t>
  </si>
  <si>
    <t>Столовая</t>
  </si>
  <si>
    <t>Банно-прачечный комплекс</t>
  </si>
  <si>
    <t>Медицинский пункт</t>
  </si>
  <si>
    <t>Устройство конструкций фундаментов зданий</t>
  </si>
  <si>
    <t>ФБС 9.4.6-Т</t>
  </si>
  <si>
    <t>Площадка №1 (производственная площадка)</t>
  </si>
  <si>
    <t>Площадка№2</t>
  </si>
  <si>
    <t>Щебень М600, фр 20-40 мм</t>
  </si>
  <si>
    <t>Сухой док</t>
  </si>
  <si>
    <t>Гибкие бетонные плиты ГБП-150</t>
  </si>
  <si>
    <t>Щебень М600 фр.40-80 мм</t>
  </si>
  <si>
    <t>Геотекстиль (плотность 150-200 г/м2)</t>
  </si>
  <si>
    <t>Пиломатериалы (сосна 2-го сорта)</t>
  </si>
  <si>
    <t>Двуосная георешетка СД-40 (40х40)</t>
  </si>
  <si>
    <t>Водоотводные канавы</t>
  </si>
  <si>
    <t>Геомембрана HDPE Тип 5/2 толщиной 1мм</t>
  </si>
  <si>
    <t>Анкер 6-А240 ГОСТ 5781-82 L=500 Шаг 1 м</t>
  </si>
  <si>
    <t>Матрац «Рено» (3,0×2,0×0,17м)</t>
  </si>
  <si>
    <t>Камни М800 F300 фр.40-70 мм</t>
  </si>
  <si>
    <t>Накопители</t>
  </si>
  <si>
    <t>Плиты 2ПДН-14</t>
  </si>
  <si>
    <t>Сооружение площадки № 3.1</t>
  </si>
  <si>
    <t>Щебень M600 фракции 40-70</t>
  </si>
  <si>
    <t>Сооружение площадки № 3.2</t>
  </si>
  <si>
    <t>Подъездная дорога №1 к площадке №1</t>
  </si>
  <si>
    <t>Щебень М800 фр.40-70</t>
  </si>
  <si>
    <t>Георешетка Славрос ГР 15.210</t>
  </si>
  <si>
    <t>Арматура А-1 диаметром 12 мм</t>
  </si>
  <si>
    <t>Подъездная дорога №2 к площадке №1</t>
  </si>
  <si>
    <t>Подъездная дорога №4 к площадке №3</t>
  </si>
  <si>
    <t>Электроснабжение площадки №3 и №4</t>
  </si>
  <si>
    <t>Кабельные линии</t>
  </si>
  <si>
    <t>Кирпич</t>
  </si>
  <si>
    <t>Кабель ААБл 10 3х95</t>
  </si>
  <si>
    <t>Муфта концевая термоусаживаемая для кабеля ААБл 10 3х95</t>
  </si>
  <si>
    <t>Муфта соединительная термоусаживаемая для кабеля ААБл 10 3х95</t>
  </si>
  <si>
    <t>Воздушные линии</t>
  </si>
  <si>
    <t>железобетонная опора (10,5м) для ВЛ-10,0кВ (вертикальная стойка)</t>
  </si>
  <si>
    <t>промежуточная железобетонная опора (10,5м) для ВЛ-10,0кВ (отко)</t>
  </si>
  <si>
    <t>опорная плита П103И</t>
  </si>
  <si>
    <t>опорная плита П104И</t>
  </si>
  <si>
    <t>траверса ТМ75И</t>
  </si>
  <si>
    <t>траверса ТМ85И</t>
  </si>
  <si>
    <t>траверса ТМ90И</t>
  </si>
  <si>
    <t>траверса ТМ92И</t>
  </si>
  <si>
    <t>траверса ТМ95И</t>
  </si>
  <si>
    <t>опорные изоляторыдля СИП</t>
  </si>
  <si>
    <t>натяжные полимерные изоляторы для СИП</t>
  </si>
  <si>
    <t>зажимы для СИП</t>
  </si>
  <si>
    <t>провод СИП-3(1х70) 3 цепи по 3,7км</t>
  </si>
  <si>
    <t>Охрана</t>
  </si>
  <si>
    <t>Пост охраны</t>
  </si>
  <si>
    <t>Две камеры ивидеорегистратор на модульное здание контрольно-пропускного пункта (КПП)</t>
  </si>
  <si>
    <t>т</t>
  </si>
  <si>
    <t>км</t>
  </si>
  <si>
    <t>Песок мелкий по ГОСТ 8736-2014</t>
  </si>
  <si>
    <t>Плита 2ПДН-14</t>
  </si>
  <si>
    <t>Бутовый камнень (марка М400, фр. 300-1000 мм, F50)</t>
  </si>
  <si>
    <t>Технологические площадки для опор</t>
  </si>
  <si>
    <t>бетонные плиты ГБП-150</t>
  </si>
  <si>
    <t>Жб плиты 2ПДН-14 (бетон В30)</t>
  </si>
  <si>
    <t>Технологические площадки для пролетов</t>
  </si>
  <si>
    <t>Технологические площадки на левом берегу</t>
  </si>
  <si>
    <t>Песок средней крупности</t>
  </si>
  <si>
    <t>Щебень M600 фр. 40-70мм по ГОСТ 8267-93)</t>
  </si>
  <si>
    <t>Бетон В30 F100 W4</t>
  </si>
  <si>
    <t>Технологические площадки и дамба на правом берегу</t>
  </si>
  <si>
    <t>Дамба</t>
  </si>
  <si>
    <t>лоток водосточный дренажный межпутевой МПЛ1,0 1500х730х1000</t>
  </si>
  <si>
    <t>крышка бетонная лотковая КБЛ 500.50.65.11</t>
  </si>
  <si>
    <t xml:space="preserve">Плиты ГБП-150 по ГОСТ Р 58411-2019 </t>
  </si>
  <si>
    <t>Геотекстиля (дорнит (400 г/ м2))</t>
  </si>
  <si>
    <t>Рабочий мост через Табагинскую протоку</t>
  </si>
  <si>
    <t>Устройство опор</t>
  </si>
  <si>
    <t>Труба Ø720х 10 сталь B-09Г2С-15</t>
  </si>
  <si>
    <t>Листовой прокат сталь 345-09Г2С-15</t>
  </si>
  <si>
    <t>бетон B25 F300 W6</t>
  </si>
  <si>
    <t>Арматура А400 d12-32мм</t>
  </si>
  <si>
    <t>Заполнение ЦПС (В7,5)</t>
  </si>
  <si>
    <t>Устройство пролетного строения</t>
  </si>
  <si>
    <t>Труба Ø325х 11 сталь B-09Г2С-15</t>
  </si>
  <si>
    <t>Сталь 345-09Г2С-15</t>
  </si>
  <si>
    <t>Смесь типа MasterFlow 928</t>
  </si>
  <si>
    <t>Резиновые опорные части ДШР-РОЧ СО 300х400х63-0,6 по СТО 73108225-001-2008</t>
  </si>
  <si>
    <t>Устройство проезжей части</t>
  </si>
  <si>
    <t>Пиломатериалы хвойных пород 2-го сорта</t>
  </si>
  <si>
    <t>Сталь С245</t>
  </si>
  <si>
    <t>Метизы</t>
  </si>
  <si>
    <t>Гвозди</t>
  </si>
  <si>
    <t>Устройство сопряжения</t>
  </si>
  <si>
    <t>Индивидуальные металлоконструкции ригеля из стали 345-09Г2С-15</t>
  </si>
  <si>
    <t>Индивидуальные металлоконструкции для опирания ригеля из стали 345-09Г2С-15</t>
  </si>
  <si>
    <t>Щебеночная подготовка (известняковый щебень фр 40-70)</t>
  </si>
  <si>
    <t>Плиты 2ПДН-14 по ГОСТ 56600-2015</t>
  </si>
  <si>
    <t>Подпорная стенка</t>
  </si>
  <si>
    <t>Блоки ФБС 24.6.6</t>
  </si>
  <si>
    <t>Блоки ФБС 9.6.6</t>
  </si>
  <si>
    <t>Шпунт Ларсен Л5-УМ из стали 09Г2С длиной 12 м</t>
  </si>
  <si>
    <t>Индивидуальных металлоконструкций обвязки из стали 345-09Г2С-15</t>
  </si>
  <si>
    <t>Прокат круглый диаметром 50 мм из стали 345-09Г2С-15</t>
  </si>
  <si>
    <t>Индивидуальные металлоконструкции из стали С245</t>
  </si>
  <si>
    <t>Высокопрочные метизы</t>
  </si>
  <si>
    <t>Устройство ледорезов (5 шт)</t>
  </si>
  <si>
    <t>Сваи из труб Ø1020х10мм из стали 345-09Г2С-15 длиной 19,9-24,3 м</t>
  </si>
  <si>
    <t>листовой прокат t12…t25</t>
  </si>
  <si>
    <t>Трубы Ø 1,02 м</t>
  </si>
  <si>
    <t>Трубы Ø 0,325 м</t>
  </si>
  <si>
    <t>Уголок 250х250х25</t>
  </si>
  <si>
    <t>Бетон В25</t>
  </si>
  <si>
    <t>Коффердамы, СВСиУ на сухой док, причал</t>
  </si>
  <si>
    <t>Коффердам для опоры Оп9</t>
  </si>
  <si>
    <t>Облицовка листовой прокат t=20 С345</t>
  </si>
  <si>
    <t>Верт.балка листовой прокат t=20 С345</t>
  </si>
  <si>
    <t>Верхн пояс листовой прокат t=20 С345</t>
  </si>
  <si>
    <t>Стрингера листовой прокат t=12 С345</t>
  </si>
  <si>
    <t>Стрингера листовой прокат t=14 С345</t>
  </si>
  <si>
    <t>трубы 1620х12</t>
  </si>
  <si>
    <t>Фланцы листовой прокат t=16 С345</t>
  </si>
  <si>
    <t>Ребра листовой прокат t=8 С345</t>
  </si>
  <si>
    <t>Высоуопрочные метизы (болтокомплект М24 )</t>
  </si>
  <si>
    <t>Резиновые прокладки (1ф-1-ТМКЩ-С-10)</t>
  </si>
  <si>
    <t>арматура 32-А500с</t>
  </si>
  <si>
    <t>арматура 25-А500с</t>
  </si>
  <si>
    <t>гибкие упоры 20х100</t>
  </si>
  <si>
    <t>анкерные болты М24 L=1120мм</t>
  </si>
  <si>
    <t>высокопрочные метизы</t>
  </si>
  <si>
    <t>листовой прокат t=16</t>
  </si>
  <si>
    <t>бетон D200 В40 W8 F300</t>
  </si>
  <si>
    <t>кабель STB 30-2-CR</t>
  </si>
  <si>
    <t>индивидуальные м/к служебных проходов и лестниц</t>
  </si>
  <si>
    <t>пиломатериалы служебных проходов</t>
  </si>
  <si>
    <t>Инвентарные м/к МИК-П</t>
  </si>
  <si>
    <t>труба 1820х12</t>
  </si>
  <si>
    <t>листовой прокат t=32</t>
  </si>
  <si>
    <t>индивидуальные м/к оголовков</t>
  </si>
  <si>
    <t>индивидуальные м/к обстройки</t>
  </si>
  <si>
    <t>индивидуальные м/к накаточного пути</t>
  </si>
  <si>
    <t>пиломатриалы</t>
  </si>
  <si>
    <t>индивидуальные м/к скользунов и направляющих балок</t>
  </si>
  <si>
    <t>Коффердам для опоры Оп8 (10)</t>
  </si>
  <si>
    <t>щебень фр.20-40</t>
  </si>
  <si>
    <t>плиты 1П30.18-30</t>
  </si>
  <si>
    <t>брус 150х150</t>
  </si>
  <si>
    <t>доска 25х100</t>
  </si>
  <si>
    <t>балка 55Б1</t>
  </si>
  <si>
    <t>листовой прокат t=10</t>
  </si>
  <si>
    <t>уголок 63х63х6</t>
  </si>
  <si>
    <t>листовой прокат t=3</t>
  </si>
  <si>
    <t>арматура 12-А400</t>
  </si>
  <si>
    <t>пиломатериаы</t>
  </si>
  <si>
    <t>подмости PSK-CUP</t>
  </si>
  <si>
    <t>якорь массой 15 т</t>
  </si>
  <si>
    <t>якорь массой 10 т</t>
  </si>
  <si>
    <t>Временный причал</t>
  </si>
  <si>
    <t>шпунтовые сваи Л5-УМ l=13,6м</t>
  </si>
  <si>
    <t>1/2 шпунта Л5-УМ l=13,6м</t>
  </si>
  <si>
    <t>труба 1020х10</t>
  </si>
  <si>
    <t>индивидуальные м/к обвязки и тяжей</t>
  </si>
  <si>
    <t>индивидуальные м/к швартовочных устройств</t>
  </si>
  <si>
    <t>кнехты 1Б-219</t>
  </si>
  <si>
    <t>индивидуальные м/к отбойных устройств</t>
  </si>
  <si>
    <t>цилиндрические резиновые отбойники Д400 l=2м</t>
  </si>
  <si>
    <t>метизы</t>
  </si>
  <si>
    <t>индивидуальные м/к шапочного бруса</t>
  </si>
  <si>
    <t>геотекстиль</t>
  </si>
  <si>
    <t>Транспортировка коффердам</t>
  </si>
  <si>
    <t>обстройки коффердама из индивидуальных м/к С345 - горячекатаный профиль</t>
  </si>
  <si>
    <t>обстройки коффердама из индивидуальных м/к С345 - толстолистовая сталь</t>
  </si>
  <si>
    <t>бутовый камень фр.300-500 М600</t>
  </si>
  <si>
    <t>м.п.</t>
  </si>
  <si>
    <t>Шпунтовое ограждение для правобережного участка (Оп12 - Оп28) и левобережного (Оп5 и Оп6)</t>
  </si>
  <si>
    <t>Шпунтовое ограждение опор Оп12-Оп28</t>
  </si>
  <si>
    <t xml:space="preserve">ПШС 70/150-6760 </t>
  </si>
  <si>
    <t>труба 1020х14</t>
  </si>
  <si>
    <t>труба 720х12</t>
  </si>
  <si>
    <t>двутавр 80Ш1</t>
  </si>
  <si>
    <t>листовой прокат t=12-25</t>
  </si>
  <si>
    <t>Уголок 75х75х8</t>
  </si>
  <si>
    <t>Лист ПВЛ</t>
  </si>
  <si>
    <t>Арматура 20мм</t>
  </si>
  <si>
    <t>Тампонажный слой толщиной 1,5 м из бетона B15</t>
  </si>
  <si>
    <t>Стенды для испытания свай</t>
  </si>
  <si>
    <t>листовой прокат t=12-32</t>
  </si>
  <si>
    <t>листовой прокат t=20-40</t>
  </si>
  <si>
    <t>труба 1220х20</t>
  </si>
  <si>
    <t>высокопрочные болты</t>
  </si>
  <si>
    <t>жб плита 2П30.18-30</t>
  </si>
  <si>
    <t>балка МИК-П</t>
  </si>
  <si>
    <t>Шпунтовое ограждение для руслового участка (Оп7, Оп11)</t>
  </si>
  <si>
    <t>Шпунтовое ограждение опор Оп7, Оп11</t>
  </si>
  <si>
    <t xml:space="preserve"> ПШС 80/150-7200</t>
  </si>
  <si>
    <t>труба 530х16</t>
  </si>
  <si>
    <t>уголок 75х75х6</t>
  </si>
  <si>
    <t>двутавр 70Б2</t>
  </si>
  <si>
    <t>арматура 20мм</t>
  </si>
  <si>
    <t>Инвентарные лестницы из PSK-CUP</t>
  </si>
  <si>
    <t>Тампонажный слой толщиной 2,15 м из бетона B15</t>
  </si>
  <si>
    <t>листовой прокат t=12-40</t>
  </si>
  <si>
    <t>листовой прокат t=32-40 (крепление)</t>
  </si>
  <si>
    <t>СВСиУ для сооружения опор правобережного участка (Оп12 - Оп29) и левобережного (Оп4 - Оп6)</t>
  </si>
  <si>
    <t>Технологические укрытия для бетонирования ростверков</t>
  </si>
  <si>
    <t>блоки ФБС24.4.6</t>
  </si>
  <si>
    <t>блоки ФБС12.6.6</t>
  </si>
  <si>
    <t>индивидуальные м/к (прокат трубы 60х5, 80х5, лист t=6)</t>
  </si>
  <si>
    <t>высокопрочные болтокомплекты М24</t>
  </si>
  <si>
    <t>пиломатериалы (2-го сорта)</t>
  </si>
  <si>
    <t>фанера бакелизированная t=20мм</t>
  </si>
  <si>
    <t>утепленный брезент 600г/м2 СКПВ-ОП</t>
  </si>
  <si>
    <t>Технологические укрытия для бетонирования ригелей</t>
  </si>
  <si>
    <t>индивидуальные м/к (прокат трубы 60х5, 80х5, 60х40х5, 40х40х5, уголок 50х5, лист t=6-8)</t>
  </si>
  <si>
    <t>болтокомплекты М16</t>
  </si>
  <si>
    <t>болтокомплекты М24</t>
  </si>
  <si>
    <t>Подмости для сооружения тела опоры</t>
  </si>
  <si>
    <t>щебень М600 фр. 20-40</t>
  </si>
  <si>
    <t>плиты 2ПНД-14</t>
  </si>
  <si>
    <t>бетон В15</t>
  </si>
  <si>
    <t>инвентарные подмости ИПРС</t>
  </si>
  <si>
    <t>индивидуальные м/к подмостей</t>
  </si>
  <si>
    <t>подливка под стойки MasterFlow</t>
  </si>
  <si>
    <t>СВСиУ для сооружения опор руслового участка (Оп7 - Оп11)</t>
  </si>
  <si>
    <t>Технологические укрытия для бетонирования ростверков (Оп7 и Оп11)</t>
  </si>
  <si>
    <t>труба 90х60х5 С345</t>
  </si>
  <si>
    <t>труба 50х50х4 С345</t>
  </si>
  <si>
    <t>уголок 63х63х4 С345</t>
  </si>
  <si>
    <t>лист t=8 С345</t>
  </si>
  <si>
    <t>болтокомплект</t>
  </si>
  <si>
    <t>Подмости для сооружения тела опоры (Оп7 и Оп11)</t>
  </si>
  <si>
    <t>индивидуальные м/к подмостей С345</t>
  </si>
  <si>
    <t>технологические укрытия Тарпаулин</t>
  </si>
  <si>
    <t>индивидуальные м/к оставляемых монтажных каркасов из стали С345</t>
  </si>
  <si>
    <t>СВСиУ для сооружения пилона (Оп9)</t>
  </si>
  <si>
    <t>индивидуальные м/к монтажной арматуры из стали С345</t>
  </si>
  <si>
    <t>индивидуальные м/к технологического укрытия С345</t>
  </si>
  <si>
    <t>огнеупорный брезент технологического укрытия</t>
  </si>
  <si>
    <t>инвентарные поддерживающие м/к клиновых подмостей</t>
  </si>
  <si>
    <t>Поддерживающие конструкции для башенного крана г/п 80т</t>
  </si>
  <si>
    <t>двутавр 200БС3 С345</t>
  </si>
  <si>
    <t>труба 1020х14 С345</t>
  </si>
  <si>
    <t>лист t=30 С345</t>
  </si>
  <si>
    <t>лист t=40 С345</t>
  </si>
  <si>
    <t>лист t=50 С345</t>
  </si>
  <si>
    <t>арматура 32-А400</t>
  </si>
  <si>
    <t>крепедные изделия (шайба/гайка)</t>
  </si>
  <si>
    <t>безусадочный полимербетон</t>
  </si>
  <si>
    <t>Поддерживающие конструкции для башенного крана г/п 25т</t>
  </si>
  <si>
    <t>двутавр 100Б1 С345</t>
  </si>
  <si>
    <t>труба 630х10 С345</t>
  </si>
  <si>
    <t>лист t=20 С345</t>
  </si>
  <si>
    <t>лист t=25 С345</t>
  </si>
  <si>
    <t>арматура 25-А400</t>
  </si>
  <si>
    <t>крепежные изделия (шайба/гайка)</t>
  </si>
  <si>
    <t>Временные распорки</t>
  </si>
  <si>
    <t>двутавр 55Б2 С345</t>
  </si>
  <si>
    <t>лист t=10-20 С345</t>
  </si>
  <si>
    <t>закладные детали С345</t>
  </si>
  <si>
    <t>индивидуальные м/к С345</t>
  </si>
  <si>
    <t>лист t=16-20 С345</t>
  </si>
  <si>
    <t>труба 325х8 С345</t>
  </si>
  <si>
    <t>листовой прокат С345</t>
  </si>
  <si>
    <t>Сооружение пилона выше балки
жёсткости</t>
  </si>
  <si>
    <t>Подмости для сборки стальных блоков пилона и натяжения вант</t>
  </si>
  <si>
    <t>швеллер 24П С345</t>
  </si>
  <si>
    <t>лист t=12 С345</t>
  </si>
  <si>
    <t>лист t=10 С345</t>
  </si>
  <si>
    <t>инвентарные м/к рабочих площадок</t>
  </si>
  <si>
    <t>Установка подъемников</t>
  </si>
  <si>
    <t>индивидуальные м/к опорных рам и крепления лифтового мачтового подъемника на опоре №9</t>
  </si>
  <si>
    <t>СВСиУ для сооружения пилона (Оп8, Оп10)</t>
  </si>
  <si>
    <t>Поддерживающие конструкции для башенного крана</t>
  </si>
  <si>
    <t>двутавр 140Б1 С345</t>
  </si>
  <si>
    <t>клинья С345</t>
  </si>
  <si>
    <t>Подмости для натяжения вант</t>
  </si>
  <si>
    <t>двутавр 55Б1 С345</t>
  </si>
  <si>
    <t>труба 325х10 С345</t>
  </si>
  <si>
    <t>швеллер 12П С345</t>
  </si>
  <si>
    <t>уголок 63х63х6 С345</t>
  </si>
  <si>
    <t>лист t=3 С345</t>
  </si>
  <si>
    <t>лист просечно вытяжной 508</t>
  </si>
  <si>
    <t>индивидуальные м/к опорных рам и крепления лифтового мачтового подъемника на опоре №8 и №10</t>
  </si>
  <si>
    <t>СВСиУ для плавсредств</t>
  </si>
  <si>
    <t>индивидуальные м/к из горячекатаных профилей С345</t>
  </si>
  <si>
    <t>индивидуальные м/к из толстолистовой стали С345</t>
  </si>
  <si>
    <t>индивидуальные м/к для
усиления баржи из стали С345</t>
  </si>
  <si>
    <t>песок средней крупности</t>
  </si>
  <si>
    <t>плиты ПАГ14-V</t>
  </si>
  <si>
    <t>инвентарные подмости МИК-П</t>
  </si>
  <si>
    <t>индивидуальные м/к подмостей для натяжения пучков высокопрочной арматуры пилона С345</t>
  </si>
  <si>
    <t>СВСиУ для сооружения пролетных строений правобережного участка (Оп12 - Оп29) и левобережного (Оп4 - Оп6)</t>
  </si>
  <si>
    <t>Времнные опоры для монтажа пролетных строений 4-6, 12-15, 15-18, 18-22, 22-26</t>
  </si>
  <si>
    <t>щебень М600 фр.20-40мм</t>
  </si>
  <si>
    <t>блоки ФБС24.5.6-Т</t>
  </si>
  <si>
    <t>инвентарные подмости МИК-С</t>
  </si>
  <si>
    <t>индивидуальные м/к подмостей С255</t>
  </si>
  <si>
    <t>высокопрочные болтокомплекты</t>
  </si>
  <si>
    <t>инвентарные подмости PSK-CUP</t>
  </si>
  <si>
    <t>пиломатериалы (2-й сорт)</t>
  </si>
  <si>
    <t>Стапель для укрупнения блоков пролетных строений 4-6, 12-15, 15-18, 18-22, 22-26</t>
  </si>
  <si>
    <t>щебень М600 фр.40-70мм</t>
  </si>
  <si>
    <t>блоки ФБС12.6.6-Т</t>
  </si>
  <si>
    <t>утепленный брезент 600 г/м2 СКПВ-ОП</t>
  </si>
  <si>
    <t>Траверса для монтажа укрупненных блоков ортотропных плит пролетных строений 12-15, 15-18, 18-22, 22-26</t>
  </si>
  <si>
    <t>индивидуальные м/к рамы траверсы (уголок 100х10, швеллер 24П, лист t=12-20)</t>
  </si>
  <si>
    <t>высокопрочные болты М20</t>
  </si>
  <si>
    <t>высокопрочные болты со сферической головкой М20</t>
  </si>
  <si>
    <t>Технологические укрытия для устройства сварных стыков пролетных строений 12-15, 15-18, 18-22, 22-26, 26-29</t>
  </si>
  <si>
    <t>индивидуальные м/к укрытия стыков главных балок (труба 100х100х5, проф. лист С44-1000-0,7)</t>
  </si>
  <si>
    <t>индивидуальные м/к укрытия стыков ортотропной плиты (труба 50х50х3, проф. лист С44-1000-0,7)</t>
  </si>
  <si>
    <t>блоки ФБС12.5.6-Т</t>
  </si>
  <si>
    <t>Обстройка опор для опускания пролетных строений 4-6, 12-15, 15-18, 18-22, 22-26</t>
  </si>
  <si>
    <t>механические анкера 12х85</t>
  </si>
  <si>
    <t>безусадочная смесь MasterFlow</t>
  </si>
  <si>
    <t>индивидуальные м/к домкратных клеток, боковых и продольных упоров С345</t>
  </si>
  <si>
    <t>высокопрочные болтокомплекты М22</t>
  </si>
  <si>
    <t>механические анкера 20х260</t>
  </si>
  <si>
    <t>анкерные шпильки 20х260</t>
  </si>
  <si>
    <t>химические анкера V=0,5л</t>
  </si>
  <si>
    <t>антифрикционные прокладки (фторопласт-4) t=20мм</t>
  </si>
  <si>
    <t>Стапель для сборки и надвижки пролетных строений 26-29</t>
  </si>
  <si>
    <t>труба 1020х12 l=10м (сваи)</t>
  </si>
  <si>
    <t>индивидуальные м/к стапеля С245 (двутавр 100ДБ1, 55Б1, лист t=12-40)</t>
  </si>
  <si>
    <t>индивидуальные м/к стапеля С345 (двутавр 100ДБ1, 55Б1, лист t=12-40)</t>
  </si>
  <si>
    <t>механические анкера 20х170</t>
  </si>
  <si>
    <t xml:space="preserve">индивидуальные м/к сборочных клеток С345 </t>
  </si>
  <si>
    <t>болтокомплекты М22</t>
  </si>
  <si>
    <t>Толкающие устройства и арьербек</t>
  </si>
  <si>
    <t>индивидуальные м/к толкающих устройств С345 (швеллер 20П, лист t=14-40)</t>
  </si>
  <si>
    <t>индивидуальные м/к катучих опор С345 (швеллер 20П, 20П, лист t=10-20)</t>
  </si>
  <si>
    <t>индивидуальные м/к арьербека С345 (лист t=10-32)</t>
  </si>
  <si>
    <t>РОЧ Н 30х40х8,5</t>
  </si>
  <si>
    <t>Аванбек</t>
  </si>
  <si>
    <t>индивидуальные м/к аванбека С345 (трубы 200х8, 160х5, 150х5, 120х5, лист t=12-50)</t>
  </si>
  <si>
    <t>Обстройка для надвижки</t>
  </si>
  <si>
    <t>анкерные шпильки 24х300</t>
  </si>
  <si>
    <t>карточка скольжения типа "Даклен" 21х300х400</t>
  </si>
  <si>
    <t>ДШР-РОЧ-Н 25х40-7,8-1,0</t>
  </si>
  <si>
    <t>Обстройка для опускания</t>
  </si>
  <si>
    <t>фанера t=5-20</t>
  </si>
  <si>
    <t>Рабочие подмости</t>
  </si>
  <si>
    <t>индивидуальные м/к рамы для выкатки накаточных обустройств С345</t>
  </si>
  <si>
    <t>Навесные подмости на пролетном строении</t>
  </si>
  <si>
    <t>индивидуальные м/к подмостей С255 (труба 120х120х8, уголок 75х75х8, арматура 18, гайка-шайба М16))</t>
  </si>
  <si>
    <t>фанера t=5</t>
  </si>
  <si>
    <t>СВСиУ для бетонирования плиты п.ч.</t>
  </si>
  <si>
    <t>индивидуальные м/к С255 (швеллер 14, уголок 50х5, лист t=6)</t>
  </si>
  <si>
    <t>высокопрочные болтокомплекты М20</t>
  </si>
  <si>
    <t>Технологическое укрытие для бетонирования плиты п.ч.</t>
  </si>
  <si>
    <t>индивидуальные м/к С255 (труба 95х5, лист t=6)</t>
  </si>
  <si>
    <t>индивидуальные м/к С255 (труба 89х3,5, профиль 120х6, двутавр 16Б1, лист t=6)</t>
  </si>
  <si>
    <t>болтокомплекты М20</t>
  </si>
  <si>
    <t>СВСиУ для сооружения пролетных строений руслового участка (Оп6 - Оп12)</t>
  </si>
  <si>
    <t>Пролетное строение в осях опор 6-7</t>
  </si>
  <si>
    <t>Стапель для укрупнительной сборки блоков пролетного строения и надвижки</t>
  </si>
  <si>
    <t>труба 530х10 С345</t>
  </si>
  <si>
    <t>накаточные устройства из индивидуальных м/к</t>
  </si>
  <si>
    <t>опорная рама и толкающее устройство из индивидуальных м/к</t>
  </si>
  <si>
    <t>пиломатериалы (сосна 2-го сорта)</t>
  </si>
  <si>
    <t>инвентарные м/к МИК-С</t>
  </si>
  <si>
    <t>индивидуальные м/к временных опор С345</t>
  </si>
  <si>
    <t>Траверса для монтажа укрупненных блоков пролетного строения</t>
  </si>
  <si>
    <t>кремпления траверсы из индивидуальных м/к С345</t>
  </si>
  <si>
    <t>Технологические укрытия для устройства сварных монтажных швов</t>
  </si>
  <si>
    <t>брезент</t>
  </si>
  <si>
    <t>колеса с резиновыми шинами 1А-200-400</t>
  </si>
  <si>
    <t>Обстройка постоянных опор Оп6 и Оп7</t>
  </si>
  <si>
    <t>обстройка из индивидуальных м/к С345</t>
  </si>
  <si>
    <t>рабочие подмости из индивидуальных м/к С345</t>
  </si>
  <si>
    <t>Пролетное строение в осях опор 11-12</t>
  </si>
  <si>
    <t>Технологическая площадки в пролете между опорами №11 и №12 для устройства стапеля и установки крана г. п. 130 т</t>
  </si>
  <si>
    <t>щебень М600, фр. 20-40 мм</t>
  </si>
  <si>
    <t>геотекстиль (плотность 150-200 г/м2)</t>
  </si>
  <si>
    <t>бутовый камень (марка М400, фр. 300-1000 мм, F50)</t>
  </si>
  <si>
    <t>Пролетное строение в осях опор 7-11</t>
  </si>
  <si>
    <t>Временные опоры МИК-С  для монтажа стартовых блоков</t>
  </si>
  <si>
    <t>труба 530х10 В-09Г2С-15</t>
  </si>
  <si>
    <t>листовой прокат С345-09Г2С-15</t>
  </si>
  <si>
    <t>инвентарные м/к МИК-П</t>
  </si>
  <si>
    <t>индивидуальные м/к обстройки временных опор С345-09Г2С-15</t>
  </si>
  <si>
    <t>индивидуальные м/к обстройки стапеля С345-09Г2С-15</t>
  </si>
  <si>
    <t>индивидуальные м/к обстройки стапеля подмостями С345-09Г2С-15</t>
  </si>
  <si>
    <t>индивидуальные м/к сборочных клеток С345-09Г2С-15</t>
  </si>
  <si>
    <t>болтокомплкт М22</t>
  </si>
  <si>
    <t>Консоли для монтажа стартовых блоков</t>
  </si>
  <si>
    <t>индивидуальные м/к консолей С345-09Г2С-15</t>
  </si>
  <si>
    <t>механический анкер М30</t>
  </si>
  <si>
    <t>Монтажный агрегат для установки блоков пролетного строения</t>
  </si>
  <si>
    <t>пути для перемещения монтажного агрегата (двутавр 55Б1, лист С345)</t>
  </si>
  <si>
    <t>индивидуальные м/к монтажного агрегата С345</t>
  </si>
  <si>
    <t>Ж/б пригруз</t>
  </si>
  <si>
    <t>Передвижные подмости для оформления стыков пролетного строения</t>
  </si>
  <si>
    <t>индивидуальные м/к тележки С345</t>
  </si>
  <si>
    <t>индивидуальные м/к лестниц передвижных подмостей С345</t>
  </si>
  <si>
    <t>индивидуальные м/к верхней рамы с ограждениями (швеллер 36П, уголок 75х75х6 С345)</t>
  </si>
  <si>
    <t>просечно-вытяжной лист ПВ 508</t>
  </si>
  <si>
    <t>Вспомогательные устройства</t>
  </si>
  <si>
    <t>индивидуальные м/к для компенсации температурных деформаций пролетного строения перед монтажом замыкающих блоков (сталь 345-09Г2С-15)</t>
  </si>
  <si>
    <t>ж/б якоря-присосы</t>
  </si>
  <si>
    <t>Перегружатель блоков пролетного строения</t>
  </si>
  <si>
    <t>труба 1020х10 С345</t>
  </si>
  <si>
    <t>труба 720х10 С345</t>
  </si>
  <si>
    <t>труба 325х10</t>
  </si>
  <si>
    <t>индивидуальные м/к оголовка С345</t>
  </si>
  <si>
    <t>индивидуальные м/к для установки ригелей С345</t>
  </si>
  <si>
    <t>индивидуальные м/к ригелей С345</t>
  </si>
  <si>
    <t>индивидуальные м/к фермы С345</t>
  </si>
  <si>
    <t>рельсы железнодорожные Р75</t>
  </si>
  <si>
    <t>индивидуальные м/к перегружателя С345</t>
  </si>
  <si>
    <t>Обстройка баржи г.п. 900 т для транспортировки блоков пролетного строения</t>
  </si>
  <si>
    <t>якорных лебедки тяговое усилие до 150 кН (15 тс)</t>
  </si>
  <si>
    <t>Якоря-присосы для позиционирования барж в акватории</t>
  </si>
  <si>
    <t>бетон В30 W6 F300</t>
  </si>
  <si>
    <t>Ледовые площадки для сооружения стартовых блоков пролетного строения</t>
  </si>
  <si>
    <t>лес круглый Ø20 см l=6м</t>
  </si>
  <si>
    <t>лес круглый Ø20 см</t>
  </si>
  <si>
    <t>проволока 8мм</t>
  </si>
  <si>
    <t>Площадки для сборки блоков пролетного строения</t>
  </si>
  <si>
    <t>горная массы фр.300 мм F50 ГОСТ 4001-2013</t>
  </si>
  <si>
    <t>рельсы железнодорожные Р65</t>
  </si>
  <si>
    <t>ж. б. балки подкрановых путей БРП-62.8.3 (размеры 6,230х0,8х0,3м)</t>
  </si>
  <si>
    <t>индивидуальные м/к подкрановых путей С345</t>
  </si>
  <si>
    <t>блок ФБС 24.6.6</t>
  </si>
  <si>
    <t>блок ФБС 12.6.6</t>
  </si>
  <si>
    <t>инвентарные м/к ИПРС</t>
  </si>
  <si>
    <t>индивидуальные м/к тепляка С345</t>
  </si>
  <si>
    <t>тента из брезента</t>
  </si>
  <si>
    <t xml:space="preserve">утеплитель из изолона </t>
  </si>
  <si>
    <t>Стоимость за ед. изм</t>
  </si>
  <si>
    <t>Стоимость ВСЕГО</t>
  </si>
  <si>
    <t>Тип свай</t>
  </si>
  <si>
    <t>ед. изм.</t>
  </si>
  <si>
    <t>кол-во</t>
  </si>
  <si>
    <t>Итого</t>
  </si>
  <si>
    <t>Ведомость объёмов работ</t>
  </si>
  <si>
    <t>кол-во свай,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</si>
</sst>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3" borderId="0" xfId="0" applyFont="1" applyFill="1"/>
    <xf numFmtId="0" fontId="1" fillId="4" borderId="1" xfId="0" applyFont="1" applyFill="1" applyBorder="1"/>
    <xf numFmtId="0" fontId="1" fillId="4" borderId="0" xfId="0" applyFont="1" applyFill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5" borderId="0" xfId="0" applyFont="1" applyFill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4" fontId="3" fillId="4" borderId="1" xfId="0" applyNumberFormat="1" applyFont="1" applyFill="1" applyBorder="1"/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0" xfId="0" applyFont="1" applyFill="1"/>
    <xf numFmtId="0" fontId="3" fillId="4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0" xfId="0" applyNumberFormat="1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/>
    <xf numFmtId="4" fontId="3" fillId="4" borderId="2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1" xfId="0" applyBorder="1"/>
    <xf numFmtId="4" fontId="0" fillId="0" borderId="1" xfId="0" applyNumberForma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221"/>
  <sheetViews>
    <sheetView topLeftCell="A1461" workbookViewId="0">
      <selection activeCell="E1473" sqref="E1473"/>
    </sheetView>
  </sheetViews>
  <sheetFormatPr defaultColWidth="8.88671875" defaultRowHeight="15.6" x14ac:dyDescent="0.3"/>
  <cols>
    <col min="1" max="1" width="4.88671875" style="1" customWidth="1"/>
    <col min="2" max="2" width="60.109375" style="1" customWidth="1"/>
    <col min="3" max="3" width="21.6640625" style="1" bestFit="1" customWidth="1"/>
    <col min="4" max="4" width="7.5546875" style="1" bestFit="1" customWidth="1"/>
    <col min="5" max="5" width="13.88671875" style="16" bestFit="1" customWidth="1"/>
    <col min="6" max="6" width="15.77734375" style="16" customWidth="1"/>
    <col min="7" max="7" width="22.77734375" style="16" customWidth="1"/>
    <col min="8" max="126" width="8.88671875" style="59"/>
    <col min="127" max="16384" width="8.88671875" style="1"/>
  </cols>
  <sheetData>
    <row r="1" spans="1:126" s="2" customFormat="1" ht="31.2" x14ac:dyDescent="0.3">
      <c r="A1" s="4" t="s">
        <v>0</v>
      </c>
      <c r="B1" s="4" t="s">
        <v>1</v>
      </c>
      <c r="C1" s="4" t="s">
        <v>2</v>
      </c>
      <c r="D1" s="4" t="s">
        <v>4</v>
      </c>
      <c r="E1" s="12" t="s">
        <v>3</v>
      </c>
      <c r="F1" s="12" t="s">
        <v>1054</v>
      </c>
      <c r="G1" s="12" t="s">
        <v>1055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</row>
    <row r="2" spans="1:126" s="7" customFormat="1" x14ac:dyDescent="0.3">
      <c r="A2" s="6"/>
      <c r="B2" s="6" t="s">
        <v>5</v>
      </c>
      <c r="C2" s="6"/>
      <c r="D2" s="6"/>
      <c r="E2" s="13"/>
      <c r="F2" s="13"/>
      <c r="G2" s="13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</row>
    <row r="3" spans="1:126" s="7" customFormat="1" x14ac:dyDescent="0.3">
      <c r="A3" s="6"/>
      <c r="B3" s="6" t="s">
        <v>201</v>
      </c>
      <c r="C3" s="6"/>
      <c r="D3" s="6"/>
      <c r="E3" s="13"/>
      <c r="F3" s="13"/>
      <c r="G3" s="1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</row>
    <row r="4" spans="1:126" s="9" customFormat="1" x14ac:dyDescent="0.3">
      <c r="A4" s="8"/>
      <c r="B4" s="10" t="s">
        <v>6</v>
      </c>
      <c r="C4" s="8" t="s">
        <v>7</v>
      </c>
      <c r="D4" s="8"/>
      <c r="E4" s="14"/>
      <c r="F4" s="14"/>
      <c r="G4" s="14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</row>
    <row r="5" spans="1:126" s="3" customFormat="1" x14ac:dyDescent="0.3">
      <c r="A5" s="21"/>
      <c r="B5" s="21" t="s">
        <v>31</v>
      </c>
      <c r="C5" s="21"/>
      <c r="D5" s="21"/>
      <c r="E5" s="22"/>
      <c r="F5" s="22"/>
      <c r="G5" s="22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</row>
    <row r="6" spans="1:126" ht="31.2" x14ac:dyDescent="0.3">
      <c r="A6" s="5"/>
      <c r="B6" s="11" t="s">
        <v>234</v>
      </c>
      <c r="C6" s="5"/>
      <c r="D6" s="5" t="s">
        <v>8</v>
      </c>
      <c r="E6" s="15">
        <v>20911</v>
      </c>
      <c r="F6" s="15"/>
      <c r="G6" s="15"/>
    </row>
    <row r="7" spans="1:126" x14ac:dyDescent="0.3">
      <c r="A7" s="5"/>
      <c r="B7" s="5" t="s">
        <v>182</v>
      </c>
      <c r="C7" s="5"/>
      <c r="D7" s="5" t="s">
        <v>8</v>
      </c>
      <c r="E7" s="15">
        <f>1255</f>
        <v>1255</v>
      </c>
      <c r="F7" s="15"/>
      <c r="G7" s="15"/>
    </row>
    <row r="8" spans="1:126" s="3" customFormat="1" x14ac:dyDescent="0.3">
      <c r="A8" s="21"/>
      <c r="B8" s="21" t="s">
        <v>32</v>
      </c>
      <c r="C8" s="21"/>
      <c r="D8" s="21"/>
      <c r="E8" s="22"/>
      <c r="F8" s="22"/>
      <c r="G8" s="22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</row>
    <row r="9" spans="1:126" x14ac:dyDescent="0.3">
      <c r="A9" s="5"/>
      <c r="B9" s="5" t="s">
        <v>9</v>
      </c>
      <c r="C9" s="5"/>
      <c r="D9" s="5" t="s">
        <v>10</v>
      </c>
      <c r="E9" s="15">
        <f>61.6</f>
        <v>61.6</v>
      </c>
      <c r="F9" s="15"/>
      <c r="G9" s="15"/>
    </row>
    <row r="10" spans="1:126" x14ac:dyDescent="0.3">
      <c r="A10" s="5"/>
      <c r="B10" s="5" t="s">
        <v>11</v>
      </c>
      <c r="C10" s="5"/>
      <c r="D10" s="5" t="s">
        <v>8</v>
      </c>
      <c r="E10" s="15">
        <f>4.8</f>
        <v>4.8</v>
      </c>
      <c r="F10" s="15"/>
      <c r="G10" s="15"/>
    </row>
    <row r="11" spans="1:126" x14ac:dyDescent="0.3">
      <c r="A11" s="5"/>
      <c r="B11" s="5" t="s">
        <v>12</v>
      </c>
      <c r="C11" s="5"/>
      <c r="D11" s="5" t="s">
        <v>8</v>
      </c>
      <c r="E11" s="15">
        <f>2.1</f>
        <v>2.1</v>
      </c>
      <c r="F11" s="15"/>
      <c r="G11" s="15"/>
    </row>
    <row r="12" spans="1:126" x14ac:dyDescent="0.3">
      <c r="A12" s="5"/>
      <c r="B12" s="5" t="s">
        <v>13</v>
      </c>
      <c r="C12" s="5"/>
      <c r="D12" s="5" t="s">
        <v>14</v>
      </c>
      <c r="E12" s="15">
        <f>48</f>
        <v>48</v>
      </c>
      <c r="F12" s="15"/>
      <c r="G12" s="15"/>
    </row>
    <row r="13" spans="1:126" x14ac:dyDescent="0.3">
      <c r="A13" s="5"/>
      <c r="B13" s="5" t="s">
        <v>15</v>
      </c>
      <c r="C13" s="5"/>
      <c r="D13" s="5" t="s">
        <v>8</v>
      </c>
      <c r="E13" s="15">
        <f>6.9</f>
        <v>6.9</v>
      </c>
      <c r="F13" s="15"/>
      <c r="G13" s="15"/>
    </row>
    <row r="14" spans="1:126" x14ac:dyDescent="0.3">
      <c r="A14" s="5"/>
      <c r="B14" s="5" t="s">
        <v>16</v>
      </c>
      <c r="C14" s="5"/>
      <c r="D14" s="5" t="s">
        <v>17</v>
      </c>
      <c r="E14" s="15">
        <f>444</f>
        <v>444</v>
      </c>
      <c r="F14" s="15"/>
      <c r="G14" s="15"/>
    </row>
    <row r="15" spans="1:126" x14ac:dyDescent="0.3">
      <c r="A15" s="5"/>
      <c r="B15" s="5" t="s">
        <v>18</v>
      </c>
      <c r="C15" s="5"/>
      <c r="D15" s="5" t="s">
        <v>10</v>
      </c>
      <c r="E15" s="15">
        <f>4</f>
        <v>4</v>
      </c>
      <c r="F15" s="15"/>
      <c r="G15" s="15"/>
    </row>
    <row r="16" spans="1:126" s="3" customFormat="1" x14ac:dyDescent="0.3">
      <c r="A16" s="21"/>
      <c r="B16" s="21" t="s">
        <v>33</v>
      </c>
      <c r="C16" s="21"/>
      <c r="D16" s="21"/>
      <c r="E16" s="22"/>
      <c r="F16" s="22"/>
      <c r="G16" s="22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</row>
    <row r="17" spans="1:126" s="20" customFormat="1" ht="31.2" x14ac:dyDescent="0.3">
      <c r="A17" s="18"/>
      <c r="B17" s="17" t="s">
        <v>235</v>
      </c>
      <c r="C17" s="18"/>
      <c r="D17" s="18" t="s">
        <v>8</v>
      </c>
      <c r="E17" s="19">
        <f>374</f>
        <v>374</v>
      </c>
      <c r="F17" s="19"/>
      <c r="G17" s="19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</row>
    <row r="18" spans="1:126" ht="31.2" x14ac:dyDescent="0.3">
      <c r="A18" s="5"/>
      <c r="B18" s="11" t="s">
        <v>236</v>
      </c>
      <c r="C18" s="5"/>
      <c r="D18" s="5" t="s">
        <v>8</v>
      </c>
      <c r="E18" s="15">
        <f>2410</f>
        <v>2410</v>
      </c>
      <c r="F18" s="15"/>
      <c r="G18" s="15"/>
    </row>
    <row r="19" spans="1:126" x14ac:dyDescent="0.3">
      <c r="A19" s="5"/>
      <c r="B19" s="5" t="s">
        <v>182</v>
      </c>
      <c r="C19" s="5"/>
      <c r="D19" s="5" t="s">
        <v>8</v>
      </c>
      <c r="E19" s="15">
        <f>121</f>
        <v>121</v>
      </c>
      <c r="F19" s="15"/>
      <c r="G19" s="15"/>
    </row>
    <row r="20" spans="1:126" s="3" customFormat="1" x14ac:dyDescent="0.3">
      <c r="A20" s="21"/>
      <c r="B20" s="21" t="s">
        <v>30</v>
      </c>
      <c r="C20" s="21"/>
      <c r="D20" s="21"/>
      <c r="E20" s="22"/>
      <c r="F20" s="22"/>
      <c r="G20" s="22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</row>
    <row r="21" spans="1:126" x14ac:dyDescent="0.3">
      <c r="A21" s="5"/>
      <c r="B21" s="5" t="s">
        <v>19</v>
      </c>
      <c r="C21" s="5"/>
      <c r="D21" s="5" t="s">
        <v>8</v>
      </c>
      <c r="E21" s="15">
        <f>20.74</f>
        <v>20.74</v>
      </c>
      <c r="F21" s="15"/>
      <c r="G21" s="15"/>
    </row>
    <row r="22" spans="1:126" x14ac:dyDescent="0.3">
      <c r="A22" s="5"/>
      <c r="B22" s="5" t="s">
        <v>20</v>
      </c>
      <c r="C22" s="5"/>
      <c r="D22" s="5" t="s">
        <v>14</v>
      </c>
      <c r="E22" s="15">
        <f>4</f>
        <v>4</v>
      </c>
      <c r="F22" s="15"/>
      <c r="G22" s="15"/>
    </row>
    <row r="23" spans="1:126" x14ac:dyDescent="0.3">
      <c r="A23" s="5"/>
      <c r="B23" s="5" t="s">
        <v>21</v>
      </c>
      <c r="C23" s="5"/>
      <c r="D23" s="5" t="s">
        <v>14</v>
      </c>
      <c r="E23" s="15">
        <f>4</f>
        <v>4</v>
      </c>
      <c r="F23" s="15"/>
      <c r="G23" s="15"/>
    </row>
    <row r="24" spans="1:126" x14ac:dyDescent="0.3">
      <c r="A24" s="5"/>
      <c r="B24" s="5" t="s">
        <v>22</v>
      </c>
      <c r="C24" s="5"/>
      <c r="D24" s="5" t="s">
        <v>14</v>
      </c>
      <c r="E24" s="15">
        <f>4</f>
        <v>4</v>
      </c>
      <c r="F24" s="15"/>
      <c r="G24" s="15"/>
    </row>
    <row r="25" spans="1:126" x14ac:dyDescent="0.3">
      <c r="A25" s="5"/>
      <c r="B25" s="5" t="s">
        <v>23</v>
      </c>
      <c r="C25" s="5"/>
      <c r="D25" s="5" t="s">
        <v>8</v>
      </c>
      <c r="E25" s="15">
        <f>0.8</f>
        <v>0.8</v>
      </c>
      <c r="F25" s="15"/>
      <c r="G25" s="15"/>
    </row>
    <row r="26" spans="1:126" x14ac:dyDescent="0.3">
      <c r="A26" s="21"/>
      <c r="B26" s="21" t="s">
        <v>280</v>
      </c>
      <c r="C26" s="21"/>
      <c r="D26" s="21" t="s">
        <v>69</v>
      </c>
      <c r="E26" s="22">
        <f>29275+43913</f>
        <v>73188</v>
      </c>
      <c r="F26" s="22"/>
      <c r="G26" s="22"/>
    </row>
    <row r="27" spans="1:126" x14ac:dyDescent="0.3">
      <c r="A27" s="5"/>
      <c r="B27" s="5" t="s">
        <v>153</v>
      </c>
      <c r="C27" s="5"/>
      <c r="D27" s="5" t="s">
        <v>72</v>
      </c>
      <c r="E27" s="15">
        <v>57686.781599999995</v>
      </c>
      <c r="F27" s="15"/>
      <c r="G27" s="15"/>
    </row>
    <row r="28" spans="1:126" x14ac:dyDescent="0.3">
      <c r="A28" s="5"/>
      <c r="B28" s="5" t="s">
        <v>155</v>
      </c>
      <c r="C28" s="5"/>
      <c r="D28" s="5" t="s">
        <v>72</v>
      </c>
      <c r="E28" s="15">
        <v>5768.6781599999995</v>
      </c>
      <c r="F28" s="15"/>
      <c r="G28" s="15"/>
    </row>
    <row r="29" spans="1:126" x14ac:dyDescent="0.3">
      <c r="A29" s="5"/>
      <c r="B29" s="5" t="s">
        <v>565</v>
      </c>
      <c r="C29" s="5"/>
      <c r="D29" s="5" t="s">
        <v>8</v>
      </c>
      <c r="E29" s="15">
        <v>1902.8879999999999</v>
      </c>
      <c r="F29" s="15"/>
      <c r="G29" s="15"/>
    </row>
    <row r="30" spans="1:126" ht="31.2" x14ac:dyDescent="0.3">
      <c r="A30" s="21"/>
      <c r="B30" s="26" t="s">
        <v>281</v>
      </c>
      <c r="C30" s="21"/>
      <c r="D30" s="21" t="s">
        <v>69</v>
      </c>
      <c r="E30" s="22">
        <f>18500</f>
        <v>18500</v>
      </c>
      <c r="F30" s="22"/>
      <c r="G30" s="22"/>
    </row>
    <row r="31" spans="1:126" x14ac:dyDescent="0.3">
      <c r="A31" s="5"/>
      <c r="B31" s="5" t="s">
        <v>153</v>
      </c>
      <c r="C31" s="5"/>
      <c r="D31" s="5" t="s">
        <v>72</v>
      </c>
      <c r="E31" s="15">
        <v>14581.699999999999</v>
      </c>
      <c r="F31" s="15"/>
      <c r="G31" s="15"/>
    </row>
    <row r="32" spans="1:126" x14ac:dyDescent="0.3">
      <c r="A32" s="5"/>
      <c r="B32" s="5" t="s">
        <v>155</v>
      </c>
      <c r="C32" s="5"/>
      <c r="D32" s="5" t="s">
        <v>72</v>
      </c>
      <c r="E32" s="15">
        <v>1458.17</v>
      </c>
      <c r="F32" s="15"/>
      <c r="G32" s="15"/>
    </row>
    <row r="33" spans="1:126" ht="15.6" customHeight="1" x14ac:dyDescent="0.3">
      <c r="A33" s="21"/>
      <c r="B33" s="26" t="s">
        <v>282</v>
      </c>
      <c r="C33" s="21"/>
      <c r="D33" s="21" t="s">
        <v>69</v>
      </c>
      <c r="E33" s="22">
        <f>3268</f>
        <v>3268</v>
      </c>
      <c r="F33" s="22"/>
      <c r="G33" s="22"/>
    </row>
    <row r="34" spans="1:126" x14ac:dyDescent="0.3">
      <c r="A34" s="5"/>
      <c r="B34" s="5" t="s">
        <v>153</v>
      </c>
      <c r="C34" s="5"/>
      <c r="D34" s="5" t="s">
        <v>72</v>
      </c>
      <c r="E34" s="15">
        <v>2575.8375999999998</v>
      </c>
      <c r="F34" s="15"/>
      <c r="G34" s="15"/>
    </row>
    <row r="35" spans="1:126" x14ac:dyDescent="0.3">
      <c r="A35" s="5"/>
      <c r="B35" s="5" t="s">
        <v>155</v>
      </c>
      <c r="C35" s="5"/>
      <c r="D35" s="5" t="s">
        <v>72</v>
      </c>
      <c r="E35" s="15">
        <v>257.58375999999998</v>
      </c>
      <c r="F35" s="15"/>
      <c r="G35" s="15"/>
    </row>
    <row r="36" spans="1:126" x14ac:dyDescent="0.3">
      <c r="A36" s="21"/>
      <c r="B36" s="21" t="s">
        <v>238</v>
      </c>
      <c r="C36" s="21"/>
      <c r="D36" s="21" t="s">
        <v>69</v>
      </c>
      <c r="E36" s="22">
        <f>117102+175652</f>
        <v>292754</v>
      </c>
      <c r="F36" s="22"/>
      <c r="G36" s="22"/>
    </row>
    <row r="37" spans="1:126" x14ac:dyDescent="0.3">
      <c r="A37" s="5"/>
      <c r="B37" s="5" t="s">
        <v>239</v>
      </c>
      <c r="C37" s="5"/>
      <c r="D37" s="5" t="s">
        <v>72</v>
      </c>
      <c r="E37" s="15">
        <v>122546.8244</v>
      </c>
      <c r="F37" s="15"/>
      <c r="G37" s="15"/>
    </row>
    <row r="38" spans="1:126" x14ac:dyDescent="0.3">
      <c r="A38" s="5"/>
      <c r="B38" s="5" t="s">
        <v>155</v>
      </c>
      <c r="C38" s="5"/>
      <c r="D38" s="5" t="s">
        <v>72</v>
      </c>
      <c r="E38" s="15">
        <v>12254.68244</v>
      </c>
      <c r="F38" s="15"/>
      <c r="G38" s="15"/>
    </row>
    <row r="39" spans="1:126" x14ac:dyDescent="0.3">
      <c r="A39" s="21"/>
      <c r="B39" s="21" t="s">
        <v>283</v>
      </c>
      <c r="C39" s="21"/>
      <c r="D39" s="21" t="s">
        <v>69</v>
      </c>
      <c r="E39" s="22">
        <f>74002</f>
        <v>74002</v>
      </c>
      <c r="F39" s="22"/>
      <c r="G39" s="22"/>
    </row>
    <row r="40" spans="1:126" x14ac:dyDescent="0.3">
      <c r="A40" s="5"/>
      <c r="B40" s="5" t="s">
        <v>239</v>
      </c>
      <c r="C40" s="5"/>
      <c r="D40" s="5" t="s">
        <v>72</v>
      </c>
      <c r="E40" s="15">
        <v>30977.2372</v>
      </c>
      <c r="F40" s="15"/>
      <c r="G40" s="15"/>
    </row>
    <row r="41" spans="1:126" x14ac:dyDescent="0.3">
      <c r="A41" s="5"/>
      <c r="B41" s="5" t="s">
        <v>155</v>
      </c>
      <c r="C41" s="5"/>
      <c r="D41" s="5" t="s">
        <v>72</v>
      </c>
      <c r="E41" s="15">
        <v>3097.72372</v>
      </c>
      <c r="F41" s="15"/>
      <c r="G41" s="15"/>
    </row>
    <row r="42" spans="1:126" x14ac:dyDescent="0.3">
      <c r="A42" s="21"/>
      <c r="B42" s="21" t="s">
        <v>284</v>
      </c>
      <c r="C42" s="21"/>
      <c r="D42" s="21" t="s">
        <v>69</v>
      </c>
      <c r="E42" s="22">
        <f>13073</f>
        <v>13073</v>
      </c>
      <c r="F42" s="22"/>
      <c r="G42" s="22"/>
    </row>
    <row r="43" spans="1:126" x14ac:dyDescent="0.3">
      <c r="A43" s="5"/>
      <c r="B43" s="5" t="s">
        <v>239</v>
      </c>
      <c r="C43" s="5"/>
      <c r="D43" s="5" t="s">
        <v>72</v>
      </c>
      <c r="E43" s="15">
        <f>$E$42*0.299*1.4</f>
        <v>5472.3577999999998</v>
      </c>
      <c r="F43" s="15"/>
      <c r="G43" s="15"/>
    </row>
    <row r="44" spans="1:126" x14ac:dyDescent="0.3">
      <c r="A44" s="5"/>
      <c r="B44" s="5" t="s">
        <v>155</v>
      </c>
      <c r="C44" s="5"/>
      <c r="D44" s="5" t="s">
        <v>72</v>
      </c>
      <c r="E44" s="15">
        <f>E43*0.1</f>
        <v>547.23577999999998</v>
      </c>
      <c r="F44" s="15"/>
      <c r="G44" s="15"/>
    </row>
    <row r="45" spans="1:126" s="3" customFormat="1" x14ac:dyDescent="0.3">
      <c r="A45" s="21"/>
      <c r="B45" s="21" t="s">
        <v>29</v>
      </c>
      <c r="C45" s="21"/>
      <c r="D45" s="21"/>
      <c r="E45" s="22"/>
      <c r="F45" s="22"/>
      <c r="G45" s="22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</row>
    <row r="46" spans="1:126" x14ac:dyDescent="0.3">
      <c r="A46" s="5"/>
      <c r="B46" s="5" t="s">
        <v>41</v>
      </c>
      <c r="C46" s="5"/>
      <c r="D46" s="5" t="s">
        <v>14</v>
      </c>
      <c r="E46" s="15">
        <f>52</f>
        <v>52</v>
      </c>
      <c r="F46" s="15"/>
      <c r="G46" s="15"/>
    </row>
    <row r="47" spans="1:126" x14ac:dyDescent="0.3">
      <c r="A47" s="5"/>
      <c r="B47" s="5" t="s">
        <v>24</v>
      </c>
      <c r="C47" s="5"/>
      <c r="D47" s="5" t="s">
        <v>14</v>
      </c>
      <c r="E47" s="15">
        <f>36</f>
        <v>36</v>
      </c>
      <c r="F47" s="15"/>
      <c r="G47" s="15"/>
    </row>
    <row r="48" spans="1:126" x14ac:dyDescent="0.3">
      <c r="A48" s="5"/>
      <c r="B48" s="5" t="s">
        <v>25</v>
      </c>
      <c r="C48" s="5"/>
      <c r="D48" s="5" t="s">
        <v>14</v>
      </c>
      <c r="E48" s="15">
        <f>44</f>
        <v>44</v>
      </c>
      <c r="F48" s="15"/>
      <c r="G48" s="15"/>
    </row>
    <row r="49" spans="1:7" x14ac:dyDescent="0.3">
      <c r="A49" s="5"/>
      <c r="B49" s="5" t="s">
        <v>26</v>
      </c>
      <c r="C49" s="5"/>
      <c r="D49" s="5" t="s">
        <v>14</v>
      </c>
      <c r="E49" s="15">
        <f>28</f>
        <v>28</v>
      </c>
      <c r="F49" s="15"/>
      <c r="G49" s="15"/>
    </row>
    <row r="50" spans="1:7" x14ac:dyDescent="0.3">
      <c r="A50" s="5"/>
      <c r="B50" s="5" t="s">
        <v>27</v>
      </c>
      <c r="C50" s="5"/>
      <c r="D50" s="5" t="s">
        <v>14</v>
      </c>
      <c r="E50" s="15">
        <f>32</f>
        <v>32</v>
      </c>
      <c r="F50" s="15"/>
      <c r="G50" s="15"/>
    </row>
    <row r="51" spans="1:7" x14ac:dyDescent="0.3">
      <c r="A51" s="5"/>
      <c r="B51" s="5" t="s">
        <v>28</v>
      </c>
      <c r="C51" s="5"/>
      <c r="D51" s="5" t="s">
        <v>14</v>
      </c>
      <c r="E51" s="15">
        <f>8</f>
        <v>8</v>
      </c>
      <c r="F51" s="15"/>
      <c r="G51" s="15"/>
    </row>
    <row r="52" spans="1:7" x14ac:dyDescent="0.3">
      <c r="A52" s="5"/>
      <c r="B52" s="5" t="s">
        <v>34</v>
      </c>
      <c r="C52" s="5"/>
      <c r="D52" s="5" t="s">
        <v>14</v>
      </c>
      <c r="E52" s="15">
        <f>4</f>
        <v>4</v>
      </c>
      <c r="F52" s="15"/>
      <c r="G52" s="15"/>
    </row>
    <row r="53" spans="1:7" x14ac:dyDescent="0.3">
      <c r="A53" s="5"/>
      <c r="B53" s="5" t="s">
        <v>35</v>
      </c>
      <c r="C53" s="5"/>
      <c r="D53" s="5" t="s">
        <v>14</v>
      </c>
      <c r="E53" s="15">
        <f>52</f>
        <v>52</v>
      </c>
      <c r="F53" s="15"/>
      <c r="G53" s="15"/>
    </row>
    <row r="54" spans="1:7" x14ac:dyDescent="0.3">
      <c r="A54" s="5"/>
      <c r="B54" s="5" t="s">
        <v>36</v>
      </c>
      <c r="C54" s="5"/>
      <c r="D54" s="5" t="s">
        <v>14</v>
      </c>
      <c r="E54" s="15">
        <f>36</f>
        <v>36</v>
      </c>
      <c r="F54" s="15"/>
      <c r="G54" s="15"/>
    </row>
    <row r="55" spans="1:7" x14ac:dyDescent="0.3">
      <c r="A55" s="5"/>
      <c r="B55" s="5" t="s">
        <v>36</v>
      </c>
      <c r="C55" s="5"/>
      <c r="D55" s="5" t="s">
        <v>14</v>
      </c>
      <c r="E55" s="15">
        <f>44</f>
        <v>44</v>
      </c>
      <c r="F55" s="15"/>
      <c r="G55" s="15"/>
    </row>
    <row r="56" spans="1:7" x14ac:dyDescent="0.3">
      <c r="A56" s="5"/>
      <c r="B56" s="5" t="s">
        <v>37</v>
      </c>
      <c r="C56" s="5"/>
      <c r="D56" s="5" t="s">
        <v>14</v>
      </c>
      <c r="E56" s="15">
        <f>28</f>
        <v>28</v>
      </c>
      <c r="F56" s="15"/>
      <c r="G56" s="15"/>
    </row>
    <row r="57" spans="1:7" x14ac:dyDescent="0.3">
      <c r="A57" s="5"/>
      <c r="B57" s="5" t="s">
        <v>38</v>
      </c>
      <c r="C57" s="5"/>
      <c r="D57" s="5" t="s">
        <v>14</v>
      </c>
      <c r="E57" s="15">
        <f>32</f>
        <v>32</v>
      </c>
      <c r="F57" s="15"/>
      <c r="G57" s="15"/>
    </row>
    <row r="58" spans="1:7" x14ac:dyDescent="0.3">
      <c r="A58" s="5"/>
      <c r="B58" s="5" t="s">
        <v>39</v>
      </c>
      <c r="C58" s="5"/>
      <c r="D58" s="5" t="s">
        <v>14</v>
      </c>
      <c r="E58" s="15">
        <f>8</f>
        <v>8</v>
      </c>
      <c r="F58" s="15"/>
      <c r="G58" s="15"/>
    </row>
    <row r="59" spans="1:7" x14ac:dyDescent="0.3">
      <c r="A59" s="5"/>
      <c r="B59" s="5" t="s">
        <v>40</v>
      </c>
      <c r="C59" s="5"/>
      <c r="D59" s="5" t="s">
        <v>14</v>
      </c>
      <c r="E59" s="15">
        <f>4</f>
        <v>4</v>
      </c>
      <c r="F59" s="15"/>
      <c r="G59" s="15"/>
    </row>
    <row r="60" spans="1:7" x14ac:dyDescent="0.3">
      <c r="A60" s="5"/>
      <c r="B60" s="5" t="s">
        <v>42</v>
      </c>
      <c r="C60" s="5"/>
      <c r="D60" s="5" t="s">
        <v>14</v>
      </c>
      <c r="E60" s="15">
        <f>52</f>
        <v>52</v>
      </c>
      <c r="F60" s="15"/>
      <c r="G60" s="15"/>
    </row>
    <row r="61" spans="1:7" x14ac:dyDescent="0.3">
      <c r="A61" s="5"/>
      <c r="B61" s="5" t="s">
        <v>43</v>
      </c>
      <c r="C61" s="5"/>
      <c r="D61" s="5" t="s">
        <v>14</v>
      </c>
      <c r="E61" s="15">
        <f>36</f>
        <v>36</v>
      </c>
      <c r="F61" s="15"/>
      <c r="G61" s="15"/>
    </row>
    <row r="62" spans="1:7" x14ac:dyDescent="0.3">
      <c r="A62" s="5"/>
      <c r="B62" s="5" t="s">
        <v>44</v>
      </c>
      <c r="C62" s="5"/>
      <c r="D62" s="5" t="s">
        <v>14</v>
      </c>
      <c r="E62" s="15">
        <f>44</f>
        <v>44</v>
      </c>
      <c r="F62" s="15"/>
      <c r="G62" s="15"/>
    </row>
    <row r="63" spans="1:7" x14ac:dyDescent="0.3">
      <c r="A63" s="5"/>
      <c r="B63" s="5" t="s">
        <v>45</v>
      </c>
      <c r="C63" s="5"/>
      <c r="D63" s="5" t="s">
        <v>14</v>
      </c>
      <c r="E63" s="15">
        <f>28</f>
        <v>28</v>
      </c>
      <c r="F63" s="15"/>
      <c r="G63" s="15"/>
    </row>
    <row r="64" spans="1:7" x14ac:dyDescent="0.3">
      <c r="A64" s="5"/>
      <c r="B64" s="5" t="s">
        <v>46</v>
      </c>
      <c r="C64" s="5"/>
      <c r="D64" s="5" t="s">
        <v>14</v>
      </c>
      <c r="E64" s="15">
        <f>32</f>
        <v>32</v>
      </c>
      <c r="F64" s="15"/>
      <c r="G64" s="15"/>
    </row>
    <row r="65" spans="1:126" x14ac:dyDescent="0.3">
      <c r="A65" s="5"/>
      <c r="B65" s="5" t="s">
        <v>47</v>
      </c>
      <c r="C65" s="5"/>
      <c r="D65" s="5" t="s">
        <v>14</v>
      </c>
      <c r="E65" s="15">
        <f>8</f>
        <v>8</v>
      </c>
      <c r="F65" s="15"/>
      <c r="G65" s="15"/>
    </row>
    <row r="66" spans="1:126" x14ac:dyDescent="0.3">
      <c r="A66" s="5"/>
      <c r="B66" s="5" t="s">
        <v>48</v>
      </c>
      <c r="C66" s="5"/>
      <c r="D66" s="5" t="s">
        <v>14</v>
      </c>
      <c r="E66" s="15">
        <f>4</f>
        <v>4</v>
      </c>
      <c r="F66" s="15"/>
      <c r="G66" s="15"/>
    </row>
    <row r="67" spans="1:126" x14ac:dyDescent="0.3">
      <c r="A67" s="5"/>
      <c r="B67" s="5" t="s">
        <v>49</v>
      </c>
      <c r="C67" s="5"/>
      <c r="D67" s="5" t="s">
        <v>14</v>
      </c>
      <c r="E67" s="15">
        <f>52</f>
        <v>52</v>
      </c>
      <c r="F67" s="15"/>
      <c r="G67" s="15"/>
    </row>
    <row r="68" spans="1:126" x14ac:dyDescent="0.3">
      <c r="A68" s="5"/>
      <c r="B68" s="5" t="s">
        <v>50</v>
      </c>
      <c r="C68" s="5"/>
      <c r="D68" s="5" t="s">
        <v>14</v>
      </c>
      <c r="E68" s="15">
        <f>36</f>
        <v>36</v>
      </c>
      <c r="F68" s="15"/>
      <c r="G68" s="15"/>
    </row>
    <row r="69" spans="1:126" x14ac:dyDescent="0.3">
      <c r="A69" s="5"/>
      <c r="B69" s="5" t="s">
        <v>51</v>
      </c>
      <c r="C69" s="5"/>
      <c r="D69" s="5" t="s">
        <v>14</v>
      </c>
      <c r="E69" s="15">
        <f>44</f>
        <v>44</v>
      </c>
      <c r="F69" s="15"/>
      <c r="G69" s="15"/>
    </row>
    <row r="70" spans="1:126" x14ac:dyDescent="0.3">
      <c r="A70" s="5"/>
      <c r="B70" s="5" t="s">
        <v>52</v>
      </c>
      <c r="C70" s="5"/>
      <c r="D70" s="5" t="s">
        <v>14</v>
      </c>
      <c r="E70" s="15">
        <f>28</f>
        <v>28</v>
      </c>
      <c r="F70" s="15"/>
      <c r="G70" s="15"/>
    </row>
    <row r="71" spans="1:126" x14ac:dyDescent="0.3">
      <c r="A71" s="5"/>
      <c r="B71" s="5" t="s">
        <v>53</v>
      </c>
      <c r="C71" s="5"/>
      <c r="D71" s="5" t="s">
        <v>14</v>
      </c>
      <c r="E71" s="15">
        <f>32</f>
        <v>32</v>
      </c>
      <c r="F71" s="15"/>
      <c r="G71" s="15"/>
    </row>
    <row r="72" spans="1:126" x14ac:dyDescent="0.3">
      <c r="A72" s="5"/>
      <c r="B72" s="5" t="s">
        <v>54</v>
      </c>
      <c r="C72" s="5"/>
      <c r="D72" s="5" t="s">
        <v>14</v>
      </c>
      <c r="E72" s="15">
        <f>8</f>
        <v>8</v>
      </c>
      <c r="F72" s="15"/>
      <c r="G72" s="15"/>
    </row>
    <row r="73" spans="1:126" x14ac:dyDescent="0.3">
      <c r="A73" s="5"/>
      <c r="B73" s="5" t="s">
        <v>55</v>
      </c>
      <c r="C73" s="5"/>
      <c r="D73" s="5" t="s">
        <v>14</v>
      </c>
      <c r="E73" s="15">
        <f>4</f>
        <v>4</v>
      </c>
      <c r="F73" s="15"/>
      <c r="G73" s="15"/>
    </row>
    <row r="74" spans="1:126" x14ac:dyDescent="0.3">
      <c r="A74" s="5"/>
      <c r="B74" s="5" t="s">
        <v>56</v>
      </c>
      <c r="C74" s="5"/>
      <c r="D74" s="5" t="s">
        <v>17</v>
      </c>
      <c r="E74" s="15">
        <f>8491</f>
        <v>8491</v>
      </c>
      <c r="F74" s="15"/>
      <c r="G74" s="15"/>
    </row>
    <row r="75" spans="1:126" x14ac:dyDescent="0.3">
      <c r="A75" s="5"/>
      <c r="B75" s="5" t="s">
        <v>57</v>
      </c>
      <c r="C75" s="5"/>
      <c r="D75" s="5" t="s">
        <v>17</v>
      </c>
      <c r="E75" s="15">
        <f>28342</f>
        <v>28342</v>
      </c>
      <c r="F75" s="15"/>
      <c r="G75" s="15"/>
    </row>
    <row r="76" spans="1:126" x14ac:dyDescent="0.3">
      <c r="A76" s="5"/>
      <c r="B76" s="5" t="s">
        <v>58</v>
      </c>
      <c r="C76" s="5"/>
      <c r="D76" s="5" t="s">
        <v>17</v>
      </c>
      <c r="E76" s="15">
        <f>13277</f>
        <v>13277</v>
      </c>
      <c r="F76" s="15"/>
      <c r="G76" s="15"/>
    </row>
    <row r="77" spans="1:126" x14ac:dyDescent="0.3">
      <c r="A77" s="5"/>
      <c r="B77" s="5" t="s">
        <v>59</v>
      </c>
      <c r="C77" s="5"/>
      <c r="D77" s="5" t="s">
        <v>17</v>
      </c>
      <c r="E77" s="15">
        <f>5676</f>
        <v>5676</v>
      </c>
      <c r="F77" s="15"/>
      <c r="G77" s="15"/>
    </row>
    <row r="78" spans="1:126" x14ac:dyDescent="0.3">
      <c r="A78" s="5"/>
      <c r="B78" s="5" t="s">
        <v>60</v>
      </c>
      <c r="C78" s="5"/>
      <c r="D78" s="5" t="s">
        <v>17</v>
      </c>
      <c r="E78" s="15">
        <f>574.5</f>
        <v>574.5</v>
      </c>
      <c r="F78" s="15"/>
      <c r="G78" s="15"/>
    </row>
    <row r="79" spans="1:126" x14ac:dyDescent="0.3">
      <c r="A79" s="5"/>
      <c r="B79" s="5" t="s">
        <v>61</v>
      </c>
      <c r="C79" s="5"/>
      <c r="D79" s="5" t="s">
        <v>17</v>
      </c>
      <c r="E79" s="15">
        <f>638</f>
        <v>638</v>
      </c>
      <c r="F79" s="15"/>
      <c r="G79" s="15"/>
    </row>
    <row r="80" spans="1:126" s="20" customFormat="1" ht="31.2" x14ac:dyDescent="0.3">
      <c r="A80" s="18"/>
      <c r="B80" s="17" t="s">
        <v>62</v>
      </c>
      <c r="C80" s="18"/>
      <c r="D80" s="18" t="s">
        <v>8</v>
      </c>
      <c r="E80" s="19">
        <f>2159</f>
        <v>2159</v>
      </c>
      <c r="F80" s="19"/>
      <c r="G80" s="19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</row>
    <row r="81" spans="1:126" s="3" customFormat="1" x14ac:dyDescent="0.3">
      <c r="A81" s="21"/>
      <c r="B81" s="21" t="s">
        <v>63</v>
      </c>
      <c r="C81" s="21"/>
      <c r="D81" s="21"/>
      <c r="E81" s="22"/>
      <c r="F81" s="22"/>
      <c r="G81" s="22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</row>
    <row r="82" spans="1:126" x14ac:dyDescent="0.3">
      <c r="A82" s="5"/>
      <c r="B82" s="5" t="s">
        <v>64</v>
      </c>
      <c r="C82" s="5"/>
      <c r="D82" s="5" t="s">
        <v>17</v>
      </c>
      <c r="E82" s="15">
        <f>25.2</f>
        <v>25.2</v>
      </c>
      <c r="F82" s="15"/>
      <c r="G82" s="15"/>
    </row>
    <row r="83" spans="1:126" s="3" customFormat="1" x14ac:dyDescent="0.3">
      <c r="A83" s="21"/>
      <c r="B83" s="21" t="s">
        <v>65</v>
      </c>
      <c r="C83" s="21"/>
      <c r="D83" s="21"/>
      <c r="E83" s="22"/>
      <c r="F83" s="22"/>
      <c r="G83" s="22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</row>
    <row r="84" spans="1:126" ht="31.2" x14ac:dyDescent="0.3">
      <c r="A84" s="5"/>
      <c r="B84" s="11" t="s">
        <v>66</v>
      </c>
      <c r="C84" s="5"/>
      <c r="D84" s="5" t="s">
        <v>8</v>
      </c>
      <c r="E84" s="15">
        <f>64.2</f>
        <v>64.2</v>
      </c>
      <c r="F84" s="15"/>
      <c r="G84" s="15"/>
    </row>
    <row r="85" spans="1:126" x14ac:dyDescent="0.3">
      <c r="A85" s="5"/>
      <c r="B85" s="5" t="s">
        <v>67</v>
      </c>
      <c r="C85" s="5"/>
      <c r="D85" s="5" t="s">
        <v>10</v>
      </c>
      <c r="E85" s="15">
        <f>16.4</f>
        <v>16.399999999999999</v>
      </c>
      <c r="F85" s="15"/>
      <c r="G85" s="15"/>
    </row>
    <row r="86" spans="1:126" ht="31.2" x14ac:dyDescent="0.3">
      <c r="A86" s="5"/>
      <c r="B86" s="11" t="s">
        <v>73</v>
      </c>
      <c r="C86" s="5"/>
      <c r="D86" s="5" t="s">
        <v>74</v>
      </c>
      <c r="E86" s="15">
        <f>4549.8</f>
        <v>4549.8</v>
      </c>
      <c r="F86" s="15"/>
      <c r="G86" s="15"/>
    </row>
    <row r="87" spans="1:126" s="3" customFormat="1" x14ac:dyDescent="0.3">
      <c r="A87" s="21"/>
      <c r="B87" s="21" t="s">
        <v>68</v>
      </c>
      <c r="C87" s="21"/>
      <c r="D87" s="21" t="s">
        <v>69</v>
      </c>
      <c r="E87" s="22">
        <f>41506</f>
        <v>41506</v>
      </c>
      <c r="F87" s="22"/>
      <c r="G87" s="22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</row>
    <row r="88" spans="1:126" x14ac:dyDescent="0.3">
      <c r="A88" s="5"/>
      <c r="B88" s="5" t="s">
        <v>567</v>
      </c>
      <c r="C88" s="5"/>
      <c r="D88" s="5" t="s">
        <v>72</v>
      </c>
      <c r="E88" s="15">
        <v>13696.980000000001</v>
      </c>
      <c r="F88" s="15"/>
      <c r="G88" s="15"/>
    </row>
    <row r="89" spans="1:126" x14ac:dyDescent="0.3">
      <c r="A89" s="5"/>
      <c r="B89" s="5" t="s">
        <v>568</v>
      </c>
      <c r="C89" s="5"/>
      <c r="D89" s="5" t="s">
        <v>72</v>
      </c>
      <c r="E89" s="15">
        <v>112066.20000000001</v>
      </c>
      <c r="F89" s="15"/>
      <c r="G89" s="15"/>
    </row>
    <row r="90" spans="1:126" x14ac:dyDescent="0.3">
      <c r="A90" s="5"/>
      <c r="B90" s="5" t="s">
        <v>569</v>
      </c>
      <c r="C90" s="5"/>
      <c r="D90" s="5" t="s">
        <v>72</v>
      </c>
      <c r="E90" s="15">
        <v>12451.8</v>
      </c>
      <c r="F90" s="15"/>
      <c r="G90" s="15"/>
    </row>
    <row r="91" spans="1:126" x14ac:dyDescent="0.3">
      <c r="A91" s="5"/>
      <c r="B91" s="5" t="s">
        <v>566</v>
      </c>
      <c r="C91" s="5"/>
      <c r="D91" s="5" t="s">
        <v>72</v>
      </c>
      <c r="E91" s="15">
        <v>41506</v>
      </c>
      <c r="F91" s="15"/>
      <c r="G91" s="15"/>
    </row>
    <row r="92" spans="1:126" x14ac:dyDescent="0.3">
      <c r="A92" s="5"/>
      <c r="B92" s="5" t="s">
        <v>70</v>
      </c>
      <c r="C92" s="5"/>
      <c r="D92" s="5" t="s">
        <v>72</v>
      </c>
      <c r="E92" s="15">
        <v>41506</v>
      </c>
      <c r="F92" s="15"/>
      <c r="G92" s="15"/>
    </row>
    <row r="93" spans="1:126" s="3" customFormat="1" x14ac:dyDescent="0.3">
      <c r="A93" s="21"/>
      <c r="B93" s="21" t="s">
        <v>75</v>
      </c>
      <c r="C93" s="21"/>
      <c r="D93" s="21"/>
      <c r="E93" s="22"/>
      <c r="F93" s="22"/>
      <c r="G93" s="22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</row>
    <row r="94" spans="1:126" ht="31.2" x14ac:dyDescent="0.3">
      <c r="A94" s="5"/>
      <c r="B94" s="11" t="s">
        <v>237</v>
      </c>
      <c r="C94" s="5"/>
      <c r="D94" s="5" t="s">
        <v>8</v>
      </c>
      <c r="E94" s="15">
        <f>826</f>
        <v>826</v>
      </c>
      <c r="F94" s="15"/>
      <c r="G94" s="15"/>
    </row>
    <row r="95" spans="1:126" x14ac:dyDescent="0.3">
      <c r="A95" s="5"/>
      <c r="B95" s="5" t="s">
        <v>76</v>
      </c>
      <c r="C95" s="5"/>
      <c r="D95" s="5" t="s">
        <v>8</v>
      </c>
      <c r="E95" s="15">
        <f>213.4</f>
        <v>213.4</v>
      </c>
      <c r="F95" s="15"/>
      <c r="G95" s="15"/>
    </row>
    <row r="96" spans="1:126" ht="31.2" x14ac:dyDescent="0.3">
      <c r="A96" s="5"/>
      <c r="B96" s="11" t="s">
        <v>77</v>
      </c>
      <c r="C96" s="5"/>
      <c r="D96" s="5" t="s">
        <v>14</v>
      </c>
      <c r="E96" s="15">
        <f>8260</f>
        <v>8260</v>
      </c>
      <c r="F96" s="15"/>
      <c r="G96" s="15"/>
    </row>
    <row r="97" spans="1:126" x14ac:dyDescent="0.3">
      <c r="A97" s="5"/>
      <c r="B97" s="5" t="s">
        <v>78</v>
      </c>
      <c r="C97" s="5"/>
      <c r="D97" s="5" t="s">
        <v>14</v>
      </c>
      <c r="E97" s="15">
        <f>16520</f>
        <v>16520</v>
      </c>
      <c r="F97" s="15"/>
      <c r="G97" s="15"/>
    </row>
    <row r="98" spans="1:126" s="3" customFormat="1" x14ac:dyDescent="0.3">
      <c r="A98" s="21"/>
      <c r="B98" s="21" t="s">
        <v>79</v>
      </c>
      <c r="C98" s="21"/>
      <c r="D98" s="21"/>
      <c r="E98" s="22"/>
      <c r="F98" s="22"/>
      <c r="G98" s="22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</row>
    <row r="99" spans="1:126" x14ac:dyDescent="0.3">
      <c r="A99" s="5"/>
      <c r="B99" s="5" t="s">
        <v>80</v>
      </c>
      <c r="C99" s="5"/>
      <c r="D99" s="5" t="s">
        <v>10</v>
      </c>
      <c r="E99" s="15">
        <f>9.8</f>
        <v>9.8000000000000007</v>
      </c>
      <c r="F99" s="15"/>
      <c r="G99" s="15"/>
    </row>
    <row r="100" spans="1:126" s="3" customFormat="1" x14ac:dyDescent="0.3">
      <c r="A100" s="21"/>
      <c r="B100" s="21" t="s">
        <v>81</v>
      </c>
      <c r="C100" s="21"/>
      <c r="D100" s="21"/>
      <c r="E100" s="22"/>
      <c r="F100" s="22"/>
      <c r="G100" s="22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</row>
    <row r="101" spans="1:126" x14ac:dyDescent="0.3">
      <c r="A101" s="5"/>
      <c r="B101" s="5" t="s">
        <v>81</v>
      </c>
      <c r="C101" s="5"/>
      <c r="D101" s="5" t="s">
        <v>10</v>
      </c>
      <c r="E101" s="15">
        <f>0.9</f>
        <v>0.9</v>
      </c>
      <c r="F101" s="15"/>
      <c r="G101" s="15"/>
    </row>
    <row r="102" spans="1:126" s="3" customFormat="1" x14ac:dyDescent="0.3">
      <c r="A102" s="21"/>
      <c r="B102" s="21" t="s">
        <v>82</v>
      </c>
      <c r="C102" s="21"/>
      <c r="D102" s="21"/>
      <c r="E102" s="22"/>
      <c r="F102" s="22"/>
      <c r="G102" s="22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</row>
    <row r="103" spans="1:126" x14ac:dyDescent="0.3">
      <c r="A103" s="5"/>
      <c r="B103" s="5" t="s">
        <v>83</v>
      </c>
      <c r="C103" s="5"/>
      <c r="D103" s="5" t="s">
        <v>14</v>
      </c>
      <c r="E103" s="15">
        <f>76</f>
        <v>76</v>
      </c>
      <c r="F103" s="15"/>
      <c r="G103" s="15"/>
    </row>
    <row r="104" spans="1:126" s="3" customFormat="1" x14ac:dyDescent="0.3">
      <c r="A104" s="21"/>
      <c r="B104" s="21" t="s">
        <v>87</v>
      </c>
      <c r="C104" s="21"/>
      <c r="D104" s="21"/>
      <c r="E104" s="22"/>
      <c r="F104" s="22"/>
      <c r="G104" s="22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  <c r="DH104" s="59"/>
      <c r="DI104" s="59"/>
      <c r="DJ104" s="59"/>
      <c r="DK104" s="59"/>
      <c r="DL104" s="59"/>
      <c r="DM104" s="59"/>
      <c r="DN104" s="59"/>
      <c r="DO104" s="59"/>
      <c r="DP104" s="59"/>
      <c r="DQ104" s="59"/>
      <c r="DR104" s="59"/>
      <c r="DS104" s="59"/>
      <c r="DT104" s="59"/>
      <c r="DU104" s="59"/>
      <c r="DV104" s="59"/>
    </row>
    <row r="105" spans="1:126" ht="31.2" x14ac:dyDescent="0.3">
      <c r="A105" s="5"/>
      <c r="B105" s="11" t="s">
        <v>84</v>
      </c>
      <c r="C105" s="5"/>
      <c r="D105" s="5" t="s">
        <v>8</v>
      </c>
      <c r="E105" s="15">
        <f>49.2</f>
        <v>49.2</v>
      </c>
      <c r="F105" s="15"/>
      <c r="G105" s="15"/>
    </row>
    <row r="106" spans="1:126" ht="46.8" x14ac:dyDescent="0.3">
      <c r="A106" s="5"/>
      <c r="B106" s="11" t="s">
        <v>85</v>
      </c>
      <c r="C106" s="5"/>
      <c r="D106" s="5" t="s">
        <v>8</v>
      </c>
      <c r="E106" s="15">
        <f>7</f>
        <v>7</v>
      </c>
      <c r="F106" s="15"/>
      <c r="G106" s="15"/>
    </row>
    <row r="107" spans="1:126" x14ac:dyDescent="0.3">
      <c r="A107" s="5"/>
      <c r="B107" s="5" t="s">
        <v>86</v>
      </c>
      <c r="C107" s="5"/>
      <c r="D107" s="5" t="s">
        <v>17</v>
      </c>
      <c r="E107" s="15">
        <f>76.8</f>
        <v>76.8</v>
      </c>
      <c r="F107" s="15"/>
      <c r="G107" s="15"/>
    </row>
    <row r="108" spans="1:126" x14ac:dyDescent="0.3">
      <c r="A108" s="5"/>
      <c r="B108" s="5" t="s">
        <v>88</v>
      </c>
      <c r="C108" s="5"/>
      <c r="D108" s="5" t="s">
        <v>14</v>
      </c>
      <c r="E108" s="15">
        <f>308</f>
        <v>308</v>
      </c>
      <c r="F108" s="15"/>
      <c r="G108" s="15"/>
    </row>
    <row r="109" spans="1:126" ht="31.2" x14ac:dyDescent="0.3">
      <c r="A109" s="5"/>
      <c r="B109" s="11" t="s">
        <v>84</v>
      </c>
      <c r="C109" s="5"/>
      <c r="D109" s="5" t="s">
        <v>8</v>
      </c>
      <c r="E109" s="15">
        <f>615.4</f>
        <v>615.4</v>
      </c>
      <c r="F109" s="15"/>
      <c r="G109" s="15"/>
    </row>
    <row r="110" spans="1:126" ht="46.8" x14ac:dyDescent="0.3">
      <c r="A110" s="5"/>
      <c r="B110" s="11" t="s">
        <v>89</v>
      </c>
      <c r="C110" s="5"/>
      <c r="D110" s="5" t="s">
        <v>8</v>
      </c>
      <c r="E110" s="15">
        <f>48.6</f>
        <v>48.6</v>
      </c>
      <c r="F110" s="15"/>
      <c r="G110" s="15"/>
    </row>
    <row r="111" spans="1:126" x14ac:dyDescent="0.3">
      <c r="A111" s="5"/>
      <c r="B111" s="5" t="s">
        <v>86</v>
      </c>
      <c r="C111" s="5"/>
      <c r="D111" s="5" t="s">
        <v>17</v>
      </c>
      <c r="E111" s="15">
        <f>184</f>
        <v>184</v>
      </c>
      <c r="F111" s="15"/>
      <c r="G111" s="15"/>
    </row>
    <row r="112" spans="1:126" x14ac:dyDescent="0.3">
      <c r="A112" s="5"/>
      <c r="B112" s="5" t="s">
        <v>88</v>
      </c>
      <c r="C112" s="5"/>
      <c r="D112" s="5" t="s">
        <v>14</v>
      </c>
      <c r="E112" s="15">
        <f>46</f>
        <v>46</v>
      </c>
      <c r="F112" s="15"/>
      <c r="G112" s="15"/>
    </row>
    <row r="113" spans="1:126" ht="31.2" x14ac:dyDescent="0.3">
      <c r="A113" s="5"/>
      <c r="B113" s="11" t="s">
        <v>84</v>
      </c>
      <c r="C113" s="5"/>
      <c r="D113" s="5" t="s">
        <v>8</v>
      </c>
      <c r="E113" s="15">
        <f>107</f>
        <v>107</v>
      </c>
      <c r="F113" s="15"/>
      <c r="G113" s="15"/>
    </row>
    <row r="114" spans="1:126" ht="46.8" x14ac:dyDescent="0.3">
      <c r="A114" s="5"/>
      <c r="B114" s="11" t="s">
        <v>90</v>
      </c>
      <c r="C114" s="5"/>
      <c r="D114" s="5" t="s">
        <v>8</v>
      </c>
      <c r="E114" s="15">
        <f>4.4</f>
        <v>4.4000000000000004</v>
      </c>
      <c r="F114" s="15"/>
      <c r="G114" s="15"/>
    </row>
    <row r="115" spans="1:126" x14ac:dyDescent="0.3">
      <c r="A115" s="5"/>
      <c r="B115" s="5" t="s">
        <v>86</v>
      </c>
      <c r="C115" s="5"/>
      <c r="D115" s="5" t="s">
        <v>17</v>
      </c>
      <c r="E115" s="15">
        <f>253.6</f>
        <v>253.6</v>
      </c>
      <c r="F115" s="15"/>
      <c r="G115" s="15"/>
    </row>
    <row r="116" spans="1:126" x14ac:dyDescent="0.3">
      <c r="A116" s="5"/>
      <c r="B116" s="5" t="s">
        <v>88</v>
      </c>
      <c r="C116" s="5"/>
      <c r="D116" s="5" t="s">
        <v>14</v>
      </c>
      <c r="E116" s="15">
        <f>1116</f>
        <v>1116</v>
      </c>
      <c r="F116" s="15"/>
      <c r="G116" s="15"/>
    </row>
    <row r="117" spans="1:126" ht="31.2" x14ac:dyDescent="0.3">
      <c r="A117" s="5"/>
      <c r="B117" s="11" t="s">
        <v>91</v>
      </c>
      <c r="C117" s="5"/>
      <c r="D117" s="5" t="s">
        <v>17</v>
      </c>
      <c r="E117" s="15">
        <f>9965.6</f>
        <v>9965.6</v>
      </c>
      <c r="F117" s="15"/>
      <c r="G117" s="15"/>
    </row>
    <row r="118" spans="1:126" ht="46.8" x14ac:dyDescent="0.3">
      <c r="A118" s="5"/>
      <c r="B118" s="11" t="s">
        <v>92</v>
      </c>
      <c r="C118" s="5"/>
      <c r="D118" s="5" t="s">
        <v>8</v>
      </c>
      <c r="E118" s="15">
        <f>528.2</f>
        <v>528.20000000000005</v>
      </c>
      <c r="F118" s="15"/>
      <c r="G118" s="15"/>
    </row>
    <row r="119" spans="1:126" x14ac:dyDescent="0.3">
      <c r="A119" s="5"/>
      <c r="B119" s="5" t="s">
        <v>93</v>
      </c>
      <c r="C119" s="5"/>
      <c r="D119" s="5" t="s">
        <v>14</v>
      </c>
      <c r="E119" s="15">
        <f>2527</f>
        <v>2527</v>
      </c>
      <c r="F119" s="15"/>
      <c r="G119" s="15"/>
    </row>
    <row r="120" spans="1:126" x14ac:dyDescent="0.3">
      <c r="A120" s="5"/>
      <c r="B120" s="5" t="s">
        <v>94</v>
      </c>
      <c r="C120" s="5"/>
      <c r="D120" s="5" t="s">
        <v>14</v>
      </c>
      <c r="E120" s="15">
        <f>5054</f>
        <v>5054</v>
      </c>
      <c r="F120" s="15"/>
      <c r="G120" s="15"/>
    </row>
    <row r="121" spans="1:126" s="3" customFormat="1" x14ac:dyDescent="0.3">
      <c r="A121" s="21"/>
      <c r="B121" s="21" t="s">
        <v>95</v>
      </c>
      <c r="C121" s="21"/>
      <c r="D121" s="21"/>
      <c r="E121" s="22"/>
      <c r="F121" s="22"/>
      <c r="G121" s="22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  <c r="CU121" s="59"/>
      <c r="CV121" s="59"/>
      <c r="CW121" s="59"/>
      <c r="CX121" s="59"/>
      <c r="CY121" s="59"/>
      <c r="CZ121" s="59"/>
      <c r="DA121" s="59"/>
      <c r="DB121" s="59"/>
      <c r="DC121" s="59"/>
      <c r="DD121" s="59"/>
      <c r="DE121" s="59"/>
      <c r="DF121" s="59"/>
      <c r="DG121" s="59"/>
      <c r="DH121" s="59"/>
      <c r="DI121" s="59"/>
      <c r="DJ121" s="59"/>
      <c r="DK121" s="59"/>
      <c r="DL121" s="59"/>
      <c r="DM121" s="59"/>
      <c r="DN121" s="59"/>
      <c r="DO121" s="59"/>
      <c r="DP121" s="59"/>
      <c r="DQ121" s="59"/>
      <c r="DR121" s="59"/>
      <c r="DS121" s="59"/>
      <c r="DT121" s="59"/>
      <c r="DU121" s="59"/>
      <c r="DV121" s="59"/>
    </row>
    <row r="122" spans="1:126" ht="31.2" x14ac:dyDescent="0.3">
      <c r="A122" s="5"/>
      <c r="B122" s="11" t="s">
        <v>96</v>
      </c>
      <c r="C122" s="5"/>
      <c r="D122" s="5" t="s">
        <v>8</v>
      </c>
      <c r="E122" s="15">
        <f>79.1</f>
        <v>79.099999999999994</v>
      </c>
      <c r="F122" s="15"/>
      <c r="G122" s="15"/>
    </row>
    <row r="123" spans="1:126" ht="31.2" x14ac:dyDescent="0.3">
      <c r="A123" s="5"/>
      <c r="B123" s="11" t="s">
        <v>97</v>
      </c>
      <c r="C123" s="5"/>
      <c r="D123" s="5" t="s">
        <v>8</v>
      </c>
      <c r="E123" s="15">
        <f>6.5</f>
        <v>6.5</v>
      </c>
      <c r="F123" s="15"/>
      <c r="G123" s="15"/>
    </row>
    <row r="124" spans="1:126" ht="31.2" x14ac:dyDescent="0.3">
      <c r="A124" s="5"/>
      <c r="B124" s="11" t="s">
        <v>98</v>
      </c>
      <c r="C124" s="5"/>
      <c r="D124" s="5" t="s">
        <v>14</v>
      </c>
      <c r="E124" s="15">
        <f>696</f>
        <v>696</v>
      </c>
      <c r="F124" s="15"/>
      <c r="G124" s="15"/>
    </row>
    <row r="125" spans="1:126" ht="31.2" x14ac:dyDescent="0.3">
      <c r="A125" s="5"/>
      <c r="B125" s="11" t="s">
        <v>99</v>
      </c>
      <c r="C125" s="5"/>
      <c r="D125" s="5" t="s">
        <v>14</v>
      </c>
      <c r="E125" s="15">
        <f>4</f>
        <v>4</v>
      </c>
      <c r="F125" s="15"/>
      <c r="G125" s="15"/>
    </row>
    <row r="126" spans="1:126" x14ac:dyDescent="0.3">
      <c r="A126" s="5"/>
      <c r="B126" s="5" t="s">
        <v>100</v>
      </c>
      <c r="C126" s="5"/>
      <c r="D126" s="5" t="s">
        <v>14</v>
      </c>
      <c r="E126" s="15">
        <f>2800</f>
        <v>2800</v>
      </c>
      <c r="F126" s="15"/>
      <c r="G126" s="15"/>
    </row>
    <row r="127" spans="1:126" x14ac:dyDescent="0.3">
      <c r="A127" s="5"/>
      <c r="B127" s="5" t="s">
        <v>101</v>
      </c>
      <c r="C127" s="5"/>
      <c r="D127" s="5" t="s">
        <v>14</v>
      </c>
      <c r="E127" s="15">
        <f>2800</f>
        <v>2800</v>
      </c>
      <c r="F127" s="15"/>
      <c r="G127" s="15"/>
    </row>
    <row r="128" spans="1:126" x14ac:dyDescent="0.3">
      <c r="A128" s="5"/>
      <c r="B128" s="5" t="s">
        <v>102</v>
      </c>
      <c r="C128" s="5"/>
      <c r="D128" s="5" t="s">
        <v>14</v>
      </c>
      <c r="E128" s="15">
        <f>300</f>
        <v>300</v>
      </c>
      <c r="F128" s="15"/>
      <c r="G128" s="15"/>
    </row>
    <row r="129" spans="1:7" x14ac:dyDescent="0.3">
      <c r="A129" s="5"/>
      <c r="B129" s="5" t="s">
        <v>102</v>
      </c>
      <c r="C129" s="5"/>
      <c r="D129" s="5" t="s">
        <v>14</v>
      </c>
      <c r="E129" s="15">
        <f>300</f>
        <v>300</v>
      </c>
      <c r="F129" s="15"/>
      <c r="G129" s="15"/>
    </row>
    <row r="130" spans="1:7" ht="31.2" x14ac:dyDescent="0.3">
      <c r="A130" s="5"/>
      <c r="B130" s="11" t="s">
        <v>103</v>
      </c>
      <c r="C130" s="5"/>
      <c r="D130" s="5" t="s">
        <v>14</v>
      </c>
      <c r="E130" s="15">
        <f>300</f>
        <v>300</v>
      </c>
      <c r="F130" s="15"/>
      <c r="G130" s="15"/>
    </row>
    <row r="131" spans="1:7" x14ac:dyDescent="0.3">
      <c r="A131" s="5"/>
      <c r="B131" s="5" t="s">
        <v>104</v>
      </c>
      <c r="C131" s="5"/>
      <c r="D131" s="5" t="s">
        <v>14</v>
      </c>
      <c r="E131" s="15">
        <f>608</f>
        <v>608</v>
      </c>
      <c r="F131" s="15"/>
      <c r="G131" s="15"/>
    </row>
    <row r="132" spans="1:7" ht="31.2" x14ac:dyDescent="0.3">
      <c r="A132" s="5"/>
      <c r="B132" s="11" t="s">
        <v>105</v>
      </c>
      <c r="C132" s="5"/>
      <c r="D132" s="5" t="s">
        <v>14</v>
      </c>
      <c r="E132" s="15">
        <f>304</f>
        <v>304</v>
      </c>
      <c r="F132" s="15"/>
      <c r="G132" s="15"/>
    </row>
    <row r="133" spans="1:7" ht="31.2" x14ac:dyDescent="0.3">
      <c r="A133" s="5"/>
      <c r="B133" s="11" t="s">
        <v>106</v>
      </c>
      <c r="C133" s="5"/>
      <c r="D133" s="5" t="s">
        <v>14</v>
      </c>
      <c r="E133" s="15">
        <f>2</f>
        <v>2</v>
      </c>
      <c r="F133" s="15"/>
      <c r="G133" s="15"/>
    </row>
    <row r="134" spans="1:7" ht="31.2" x14ac:dyDescent="0.3">
      <c r="A134" s="5"/>
      <c r="B134" s="11" t="s">
        <v>107</v>
      </c>
      <c r="C134" s="5"/>
      <c r="D134" s="5" t="s">
        <v>14</v>
      </c>
      <c r="E134" s="15">
        <f>2</f>
        <v>2</v>
      </c>
      <c r="F134" s="15"/>
      <c r="G134" s="15"/>
    </row>
    <row r="135" spans="1:7" x14ac:dyDescent="0.3">
      <c r="A135" s="5"/>
      <c r="B135" s="5" t="s">
        <v>108</v>
      </c>
      <c r="C135" s="5"/>
      <c r="D135" s="5" t="s">
        <v>14</v>
      </c>
      <c r="E135" s="15">
        <f>2</f>
        <v>2</v>
      </c>
      <c r="F135" s="15"/>
      <c r="G135" s="15"/>
    </row>
    <row r="136" spans="1:7" x14ac:dyDescent="0.3">
      <c r="A136" s="5"/>
      <c r="B136" s="5" t="s">
        <v>109</v>
      </c>
      <c r="C136" s="5"/>
      <c r="D136" s="5" t="s">
        <v>14</v>
      </c>
      <c r="E136" s="15">
        <f>4</f>
        <v>4</v>
      </c>
      <c r="F136" s="15"/>
      <c r="G136" s="15"/>
    </row>
    <row r="137" spans="1:7" x14ac:dyDescent="0.3">
      <c r="A137" s="5"/>
      <c r="B137" s="5" t="s">
        <v>110</v>
      </c>
      <c r="C137" s="5"/>
      <c r="D137" s="5" t="s">
        <v>14</v>
      </c>
      <c r="E137" s="15">
        <f>4</f>
        <v>4</v>
      </c>
      <c r="F137" s="15"/>
      <c r="G137" s="15"/>
    </row>
    <row r="138" spans="1:7" x14ac:dyDescent="0.3">
      <c r="A138" s="5"/>
      <c r="B138" s="5" t="s">
        <v>111</v>
      </c>
      <c r="C138" s="5"/>
      <c r="D138" s="5" t="s">
        <v>14</v>
      </c>
      <c r="E138" s="15">
        <f>4</f>
        <v>4</v>
      </c>
      <c r="F138" s="15"/>
      <c r="G138" s="15"/>
    </row>
    <row r="139" spans="1:7" ht="31.2" x14ac:dyDescent="0.3">
      <c r="A139" s="5"/>
      <c r="B139" s="11" t="s">
        <v>112</v>
      </c>
      <c r="C139" s="5"/>
      <c r="D139" s="5" t="s">
        <v>14</v>
      </c>
      <c r="E139" s="15">
        <f>1</f>
        <v>1</v>
      </c>
      <c r="F139" s="15"/>
      <c r="G139" s="15"/>
    </row>
    <row r="140" spans="1:7" ht="31.2" x14ac:dyDescent="0.3">
      <c r="A140" s="5"/>
      <c r="B140" s="11" t="s">
        <v>113</v>
      </c>
      <c r="C140" s="5"/>
      <c r="D140" s="5" t="s">
        <v>14</v>
      </c>
      <c r="E140" s="15">
        <f>1</f>
        <v>1</v>
      </c>
      <c r="F140" s="15"/>
      <c r="G140" s="15"/>
    </row>
    <row r="141" spans="1:7" ht="31.2" x14ac:dyDescent="0.3">
      <c r="A141" s="5"/>
      <c r="B141" s="11" t="s">
        <v>114</v>
      </c>
      <c r="C141" s="5"/>
      <c r="D141" s="5" t="s">
        <v>14</v>
      </c>
      <c r="E141" s="15">
        <f>1</f>
        <v>1</v>
      </c>
      <c r="F141" s="15"/>
      <c r="G141" s="15"/>
    </row>
    <row r="142" spans="1:7" x14ac:dyDescent="0.3">
      <c r="A142" s="5"/>
      <c r="B142" s="5" t="s">
        <v>115</v>
      </c>
      <c r="C142" s="5"/>
      <c r="D142" s="5" t="s">
        <v>14</v>
      </c>
      <c r="E142" s="15">
        <f>1</f>
        <v>1</v>
      </c>
      <c r="F142" s="15"/>
      <c r="G142" s="15"/>
    </row>
    <row r="143" spans="1:7" x14ac:dyDescent="0.3">
      <c r="A143" s="5"/>
      <c r="B143" s="5" t="s">
        <v>116</v>
      </c>
      <c r="C143" s="5"/>
      <c r="D143" s="5" t="s">
        <v>14</v>
      </c>
      <c r="E143" s="15">
        <f>1</f>
        <v>1</v>
      </c>
      <c r="F143" s="15"/>
      <c r="G143" s="15"/>
    </row>
    <row r="144" spans="1:7" x14ac:dyDescent="0.3">
      <c r="A144" s="5"/>
      <c r="B144" s="5" t="s">
        <v>117</v>
      </c>
      <c r="C144" s="5"/>
      <c r="D144" s="5" t="s">
        <v>14</v>
      </c>
      <c r="E144" s="15">
        <f>1</f>
        <v>1</v>
      </c>
      <c r="F144" s="15"/>
      <c r="G144" s="15"/>
    </row>
    <row r="145" spans="1:126" x14ac:dyDescent="0.3">
      <c r="A145" s="5"/>
      <c r="B145" s="5" t="s">
        <v>118</v>
      </c>
      <c r="C145" s="5"/>
      <c r="D145" s="5" t="s">
        <v>14</v>
      </c>
      <c r="E145" s="15">
        <f>2</f>
        <v>2</v>
      </c>
      <c r="F145" s="15"/>
      <c r="G145" s="15"/>
    </row>
    <row r="146" spans="1:126" x14ac:dyDescent="0.3">
      <c r="A146" s="5"/>
      <c r="B146" s="5" t="s">
        <v>119</v>
      </c>
      <c r="C146" s="5"/>
      <c r="D146" s="5" t="s">
        <v>14</v>
      </c>
      <c r="E146" s="15">
        <f>1</f>
        <v>1</v>
      </c>
      <c r="F146" s="15"/>
      <c r="G146" s="15"/>
    </row>
    <row r="147" spans="1:126" s="25" customFormat="1" x14ac:dyDescent="0.3">
      <c r="A147" s="23"/>
      <c r="B147" s="23" t="s">
        <v>120</v>
      </c>
      <c r="C147" s="23"/>
      <c r="D147" s="23"/>
      <c r="E147" s="24"/>
      <c r="F147" s="24"/>
      <c r="G147" s="24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  <c r="DB147" s="59"/>
      <c r="DC147" s="59"/>
      <c r="DD147" s="59"/>
      <c r="DE147" s="59"/>
      <c r="DF147" s="59"/>
      <c r="DG147" s="59"/>
      <c r="DH147" s="59"/>
      <c r="DI147" s="59"/>
      <c r="DJ147" s="59"/>
      <c r="DK147" s="59"/>
      <c r="DL147" s="59"/>
      <c r="DM147" s="59"/>
      <c r="DN147" s="59"/>
      <c r="DO147" s="59"/>
      <c r="DP147" s="59"/>
      <c r="DQ147" s="59"/>
      <c r="DR147" s="59"/>
      <c r="DS147" s="59"/>
      <c r="DT147" s="59"/>
      <c r="DU147" s="59"/>
      <c r="DV147" s="59"/>
    </row>
    <row r="148" spans="1:126" s="3" customFormat="1" x14ac:dyDescent="0.3">
      <c r="A148" s="21"/>
      <c r="B148" s="21" t="s">
        <v>121</v>
      </c>
      <c r="C148" s="21"/>
      <c r="D148" s="21" t="s">
        <v>14</v>
      </c>
      <c r="E148" s="22">
        <f>32</f>
        <v>32</v>
      </c>
      <c r="F148" s="22"/>
      <c r="G148" s="22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59"/>
      <c r="DJ148" s="59"/>
      <c r="DK148" s="59"/>
      <c r="DL148" s="59"/>
      <c r="DM148" s="59"/>
      <c r="DN148" s="59"/>
      <c r="DO148" s="59"/>
      <c r="DP148" s="59"/>
      <c r="DQ148" s="59"/>
      <c r="DR148" s="59"/>
      <c r="DS148" s="59"/>
      <c r="DT148" s="59"/>
      <c r="DU148" s="59"/>
      <c r="DV148" s="59"/>
    </row>
    <row r="149" spans="1:126" x14ac:dyDescent="0.3">
      <c r="A149" s="5"/>
      <c r="B149" s="5" t="s">
        <v>122</v>
      </c>
      <c r="C149" s="5"/>
      <c r="D149" s="5" t="s">
        <v>10</v>
      </c>
      <c r="E149" s="15">
        <f>627.7</f>
        <v>627.70000000000005</v>
      </c>
      <c r="F149" s="15"/>
      <c r="G149" s="15"/>
    </row>
    <row r="150" spans="1:126" x14ac:dyDescent="0.3">
      <c r="A150" s="5"/>
      <c r="B150" s="5" t="s">
        <v>123</v>
      </c>
      <c r="C150" s="5"/>
      <c r="D150" s="5" t="s">
        <v>8</v>
      </c>
      <c r="E150" s="15">
        <f>149.4</f>
        <v>149.4</v>
      </c>
      <c r="F150" s="15"/>
      <c r="G150" s="15"/>
    </row>
    <row r="151" spans="1:126" x14ac:dyDescent="0.3">
      <c r="A151" s="5"/>
      <c r="B151" s="5" t="s">
        <v>124</v>
      </c>
      <c r="C151" s="5"/>
      <c r="D151" s="5" t="s">
        <v>8</v>
      </c>
      <c r="E151" s="15">
        <f>17</f>
        <v>17</v>
      </c>
      <c r="F151" s="15"/>
      <c r="G151" s="15"/>
    </row>
    <row r="152" spans="1:126" x14ac:dyDescent="0.3">
      <c r="A152" s="5"/>
      <c r="B152" s="5" t="s">
        <v>125</v>
      </c>
      <c r="C152" s="5"/>
      <c r="D152" s="5" t="s">
        <v>8</v>
      </c>
      <c r="E152" s="15">
        <f>5.8</f>
        <v>5.8</v>
      </c>
      <c r="F152" s="15"/>
      <c r="G152" s="15"/>
    </row>
    <row r="153" spans="1:126" x14ac:dyDescent="0.3">
      <c r="A153" s="5"/>
      <c r="B153" s="5" t="s">
        <v>122</v>
      </c>
      <c r="C153" s="5"/>
      <c r="D153" s="5" t="s">
        <v>10</v>
      </c>
      <c r="E153" s="15">
        <f>25.6</f>
        <v>25.6</v>
      </c>
      <c r="F153" s="15"/>
      <c r="G153" s="15"/>
    </row>
    <row r="154" spans="1:126" x14ac:dyDescent="0.3">
      <c r="A154" s="5"/>
      <c r="B154" s="5" t="s">
        <v>123</v>
      </c>
      <c r="C154" s="5"/>
      <c r="D154" s="5" t="s">
        <v>8</v>
      </c>
      <c r="E154" s="15">
        <f>4.7</f>
        <v>4.7</v>
      </c>
      <c r="F154" s="15"/>
      <c r="G154" s="15"/>
    </row>
    <row r="155" spans="1:126" x14ac:dyDescent="0.3">
      <c r="A155" s="5"/>
      <c r="B155" s="5" t="s">
        <v>124</v>
      </c>
      <c r="C155" s="5"/>
      <c r="D155" s="5" t="s">
        <v>8</v>
      </c>
      <c r="E155" s="15">
        <f>0.8</f>
        <v>0.8</v>
      </c>
      <c r="F155" s="15"/>
      <c r="G155" s="15"/>
    </row>
    <row r="156" spans="1:126" ht="31.2" x14ac:dyDescent="0.3">
      <c r="A156" s="5"/>
      <c r="B156" s="11" t="s">
        <v>126</v>
      </c>
      <c r="C156" s="5"/>
      <c r="D156" s="5" t="s">
        <v>14</v>
      </c>
      <c r="E156" s="15">
        <f>36</f>
        <v>36</v>
      </c>
      <c r="F156" s="15"/>
      <c r="G156" s="15"/>
    </row>
    <row r="157" spans="1:126" x14ac:dyDescent="0.3">
      <c r="A157" s="5"/>
      <c r="B157" s="5" t="s">
        <v>122</v>
      </c>
      <c r="C157" s="5"/>
      <c r="D157" s="5" t="s">
        <v>10</v>
      </c>
      <c r="E157" s="15">
        <f>50.8</f>
        <v>50.8</v>
      </c>
      <c r="F157" s="15"/>
      <c r="G157" s="15"/>
    </row>
    <row r="158" spans="1:126" x14ac:dyDescent="0.3">
      <c r="A158" s="5"/>
      <c r="B158" s="5" t="s">
        <v>123</v>
      </c>
      <c r="C158" s="5"/>
      <c r="D158" s="5" t="s">
        <v>8</v>
      </c>
      <c r="E158" s="15">
        <f>9.7</f>
        <v>9.6999999999999993</v>
      </c>
      <c r="F158" s="15"/>
      <c r="G158" s="15"/>
    </row>
    <row r="159" spans="1:126" x14ac:dyDescent="0.3">
      <c r="A159" s="5"/>
      <c r="B159" s="5" t="s">
        <v>124</v>
      </c>
      <c r="C159" s="5"/>
      <c r="D159" s="5" t="s">
        <v>8</v>
      </c>
      <c r="E159" s="15">
        <f>1.5</f>
        <v>1.5</v>
      </c>
      <c r="F159" s="15"/>
      <c r="G159" s="15"/>
    </row>
    <row r="160" spans="1:126" ht="31.2" x14ac:dyDescent="0.3">
      <c r="A160" s="5"/>
      <c r="B160" s="11" t="s">
        <v>126</v>
      </c>
      <c r="C160" s="5"/>
      <c r="D160" s="5" t="s">
        <v>14</v>
      </c>
      <c r="E160" s="15">
        <f>72</f>
        <v>72</v>
      </c>
      <c r="F160" s="15"/>
      <c r="G160" s="15"/>
    </row>
    <row r="161" spans="1:126" s="3" customFormat="1" x14ac:dyDescent="0.3">
      <c r="A161" s="21"/>
      <c r="B161" s="21" t="s">
        <v>127</v>
      </c>
      <c r="C161" s="21"/>
      <c r="D161" s="21" t="s">
        <v>14</v>
      </c>
      <c r="E161" s="22">
        <f>1</f>
        <v>1</v>
      </c>
      <c r="F161" s="22"/>
      <c r="G161" s="22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59"/>
      <c r="DJ161" s="59"/>
      <c r="DK161" s="59"/>
      <c r="DL161" s="59"/>
      <c r="DM161" s="59"/>
      <c r="DN161" s="59"/>
      <c r="DO161" s="59"/>
      <c r="DP161" s="59"/>
      <c r="DQ161" s="59"/>
      <c r="DR161" s="59"/>
      <c r="DS161" s="59"/>
      <c r="DT161" s="59"/>
      <c r="DU161" s="59"/>
      <c r="DV161" s="59"/>
    </row>
    <row r="162" spans="1:126" x14ac:dyDescent="0.3">
      <c r="A162" s="5"/>
      <c r="B162" s="5" t="s">
        <v>128</v>
      </c>
      <c r="C162" s="5"/>
      <c r="D162" s="5" t="s">
        <v>10</v>
      </c>
      <c r="E162" s="15">
        <f>992.4</f>
        <v>992.4</v>
      </c>
      <c r="F162" s="15"/>
      <c r="G162" s="15"/>
    </row>
    <row r="163" spans="1:126" x14ac:dyDescent="0.3">
      <c r="A163" s="5"/>
      <c r="B163" s="5" t="s">
        <v>123</v>
      </c>
      <c r="C163" s="5"/>
      <c r="D163" s="5" t="s">
        <v>8</v>
      </c>
      <c r="E163" s="15">
        <v>32.700000000000003</v>
      </c>
      <c r="F163" s="15"/>
      <c r="G163" s="15"/>
    </row>
    <row r="164" spans="1:126" x14ac:dyDescent="0.3">
      <c r="A164" s="5"/>
      <c r="B164" s="5" t="s">
        <v>129</v>
      </c>
      <c r="C164" s="5"/>
      <c r="D164" s="5" t="s">
        <v>8</v>
      </c>
      <c r="E164" s="15">
        <f>33.5</f>
        <v>33.5</v>
      </c>
      <c r="F164" s="15"/>
      <c r="G164" s="15"/>
    </row>
    <row r="165" spans="1:126" x14ac:dyDescent="0.3">
      <c r="A165" s="5"/>
      <c r="B165" s="5" t="s">
        <v>130</v>
      </c>
      <c r="C165" s="5"/>
      <c r="D165" s="5" t="s">
        <v>8</v>
      </c>
      <c r="E165" s="15">
        <f>10.2</f>
        <v>10.199999999999999</v>
      </c>
      <c r="F165" s="15"/>
      <c r="G165" s="15"/>
    </row>
    <row r="166" spans="1:126" x14ac:dyDescent="0.3">
      <c r="A166" s="5"/>
      <c r="B166" s="5" t="s">
        <v>131</v>
      </c>
      <c r="C166" s="5"/>
      <c r="D166" s="5" t="s">
        <v>8</v>
      </c>
      <c r="E166" s="15">
        <f>13.1</f>
        <v>13.1</v>
      </c>
      <c r="F166" s="15"/>
      <c r="G166" s="15"/>
    </row>
    <row r="167" spans="1:126" x14ac:dyDescent="0.3">
      <c r="A167" s="5"/>
      <c r="B167" s="5" t="s">
        <v>124</v>
      </c>
      <c r="C167" s="5"/>
      <c r="D167" s="5" t="s">
        <v>8</v>
      </c>
      <c r="E167" s="15">
        <f>4.2</f>
        <v>4.2</v>
      </c>
      <c r="F167" s="15"/>
      <c r="G167" s="15"/>
    </row>
    <row r="168" spans="1:126" x14ac:dyDescent="0.3">
      <c r="A168" s="5"/>
      <c r="B168" s="5" t="s">
        <v>132</v>
      </c>
      <c r="C168" s="5"/>
      <c r="D168" s="5" t="s">
        <v>8</v>
      </c>
      <c r="E168" s="15">
        <f>0.8</f>
        <v>0.8</v>
      </c>
      <c r="F168" s="15"/>
      <c r="G168" s="15"/>
    </row>
    <row r="169" spans="1:126" ht="31.2" x14ac:dyDescent="0.3">
      <c r="A169" s="5"/>
      <c r="B169" s="11" t="s">
        <v>133</v>
      </c>
      <c r="C169" s="5"/>
      <c r="D169" s="5" t="s">
        <v>14</v>
      </c>
      <c r="E169" s="15">
        <f>138</f>
        <v>138</v>
      </c>
      <c r="F169" s="15"/>
      <c r="G169" s="15"/>
    </row>
    <row r="170" spans="1:126" ht="31.2" x14ac:dyDescent="0.3">
      <c r="A170" s="5"/>
      <c r="B170" s="11" t="s">
        <v>126</v>
      </c>
      <c r="C170" s="5"/>
      <c r="D170" s="5" t="s">
        <v>14</v>
      </c>
      <c r="E170" s="15">
        <f>198</f>
        <v>198</v>
      </c>
      <c r="F170" s="15"/>
      <c r="G170" s="15"/>
    </row>
    <row r="171" spans="1:126" x14ac:dyDescent="0.3">
      <c r="A171" s="21"/>
      <c r="B171" s="21" t="s">
        <v>134</v>
      </c>
      <c r="C171" s="21"/>
      <c r="D171" s="21" t="s">
        <v>14</v>
      </c>
      <c r="E171" s="22">
        <f>66</f>
        <v>66</v>
      </c>
      <c r="F171" s="22"/>
      <c r="G171" s="22"/>
    </row>
    <row r="172" spans="1:126" x14ac:dyDescent="0.3">
      <c r="A172" s="5"/>
      <c r="B172" s="5" t="s">
        <v>135</v>
      </c>
      <c r="C172" s="5"/>
      <c r="D172" s="5" t="s">
        <v>10</v>
      </c>
      <c r="E172" s="15">
        <f>70.2</f>
        <v>70.2</v>
      </c>
      <c r="F172" s="15"/>
      <c r="G172" s="15"/>
    </row>
    <row r="173" spans="1:126" x14ac:dyDescent="0.3">
      <c r="A173" s="5"/>
      <c r="B173" s="5" t="s">
        <v>136</v>
      </c>
      <c r="C173" s="5"/>
      <c r="D173" s="5" t="s">
        <v>8</v>
      </c>
      <c r="E173" s="15">
        <f>1.9</f>
        <v>1.9</v>
      </c>
      <c r="F173" s="15"/>
      <c r="G173" s="15"/>
    </row>
    <row r="174" spans="1:126" x14ac:dyDescent="0.3">
      <c r="A174" s="5"/>
      <c r="B174" s="5" t="s">
        <v>137</v>
      </c>
      <c r="C174" s="5"/>
      <c r="D174" s="5" t="s">
        <v>8</v>
      </c>
      <c r="E174" s="15">
        <f>1.4</f>
        <v>1.4</v>
      </c>
      <c r="F174" s="15"/>
      <c r="G174" s="15"/>
    </row>
    <row r="175" spans="1:126" x14ac:dyDescent="0.3">
      <c r="A175" s="5"/>
      <c r="B175" s="5" t="s">
        <v>138</v>
      </c>
      <c r="C175" s="5"/>
      <c r="D175" s="5" t="s">
        <v>8</v>
      </c>
      <c r="E175" s="15">
        <f>0.8</f>
        <v>0.8</v>
      </c>
      <c r="F175" s="15"/>
      <c r="G175" s="15"/>
    </row>
    <row r="176" spans="1:126" x14ac:dyDescent="0.3">
      <c r="A176" s="5"/>
      <c r="B176" s="5" t="s">
        <v>139</v>
      </c>
      <c r="C176" s="5"/>
      <c r="D176" s="5" t="s">
        <v>8</v>
      </c>
      <c r="E176" s="15">
        <f>0.3</f>
        <v>0.3</v>
      </c>
      <c r="F176" s="15"/>
      <c r="G176" s="15"/>
    </row>
    <row r="177" spans="1:7" x14ac:dyDescent="0.3">
      <c r="A177" s="21"/>
      <c r="B177" s="21" t="s">
        <v>140</v>
      </c>
      <c r="C177" s="21"/>
      <c r="D177" s="21" t="s">
        <v>10</v>
      </c>
      <c r="E177" s="22">
        <f>133.6</f>
        <v>133.6</v>
      </c>
      <c r="F177" s="22"/>
      <c r="G177" s="22"/>
    </row>
    <row r="178" spans="1:7" x14ac:dyDescent="0.3">
      <c r="A178" s="5"/>
      <c r="B178" s="5" t="s">
        <v>141</v>
      </c>
      <c r="C178" s="5"/>
      <c r="D178" s="5" t="s">
        <v>10</v>
      </c>
      <c r="E178" s="15">
        <f>133.6</f>
        <v>133.6</v>
      </c>
      <c r="F178" s="15"/>
      <c r="G178" s="15"/>
    </row>
    <row r="179" spans="1:7" x14ac:dyDescent="0.3">
      <c r="A179" s="5"/>
      <c r="B179" s="5" t="s">
        <v>123</v>
      </c>
      <c r="C179" s="5"/>
      <c r="D179" s="5" t="s">
        <v>8</v>
      </c>
      <c r="E179" s="15">
        <f>37.5</f>
        <v>37.5</v>
      </c>
      <c r="F179" s="15"/>
      <c r="G179" s="15"/>
    </row>
    <row r="180" spans="1:7" x14ac:dyDescent="0.3">
      <c r="A180" s="5"/>
      <c r="B180" s="5" t="s">
        <v>124</v>
      </c>
      <c r="C180" s="5"/>
      <c r="D180" s="5" t="s">
        <v>8</v>
      </c>
      <c r="E180" s="15">
        <f>6.1</f>
        <v>6.1</v>
      </c>
      <c r="F180" s="15"/>
      <c r="G180" s="15"/>
    </row>
    <row r="181" spans="1:7" x14ac:dyDescent="0.3">
      <c r="A181" s="5"/>
      <c r="B181" s="5" t="s">
        <v>142</v>
      </c>
      <c r="C181" s="5"/>
      <c r="D181" s="5" t="s">
        <v>8</v>
      </c>
      <c r="E181" s="15">
        <f>1.4</f>
        <v>1.4</v>
      </c>
      <c r="F181" s="15"/>
      <c r="G181" s="15"/>
    </row>
    <row r="182" spans="1:7" ht="31.2" x14ac:dyDescent="0.3">
      <c r="A182" s="5"/>
      <c r="B182" s="11" t="s">
        <v>143</v>
      </c>
      <c r="C182" s="5"/>
      <c r="D182" s="5" t="s">
        <v>14</v>
      </c>
      <c r="E182" s="15">
        <f>204</f>
        <v>204</v>
      </c>
      <c r="F182" s="15"/>
      <c r="G182" s="15"/>
    </row>
    <row r="183" spans="1:7" x14ac:dyDescent="0.3">
      <c r="A183" s="21"/>
      <c r="B183" s="21" t="s">
        <v>144</v>
      </c>
      <c r="C183" s="21"/>
      <c r="D183" s="21" t="s">
        <v>14</v>
      </c>
      <c r="E183" s="22">
        <f>1</f>
        <v>1</v>
      </c>
      <c r="F183" s="22"/>
      <c r="G183" s="22"/>
    </row>
    <row r="184" spans="1:7" x14ac:dyDescent="0.3">
      <c r="A184" s="5"/>
      <c r="B184" s="5" t="s">
        <v>145</v>
      </c>
      <c r="C184" s="5"/>
      <c r="D184" s="5" t="s">
        <v>10</v>
      </c>
      <c r="E184" s="15">
        <f>446.1</f>
        <v>446.1</v>
      </c>
      <c r="F184" s="15"/>
      <c r="G184" s="15"/>
    </row>
    <row r="185" spans="1:7" x14ac:dyDescent="0.3">
      <c r="A185" s="5"/>
      <c r="B185" s="5" t="s">
        <v>129</v>
      </c>
      <c r="C185" s="5"/>
      <c r="D185" s="5" t="s">
        <v>8</v>
      </c>
      <c r="E185" s="15">
        <f>13.7</f>
        <v>13.7</v>
      </c>
      <c r="F185" s="15"/>
      <c r="G185" s="15"/>
    </row>
    <row r="186" spans="1:7" x14ac:dyDescent="0.3">
      <c r="A186" s="5"/>
      <c r="B186" s="5" t="s">
        <v>130</v>
      </c>
      <c r="C186" s="5"/>
      <c r="D186" s="5" t="s">
        <v>8</v>
      </c>
      <c r="E186" s="15">
        <f>4.6</f>
        <v>4.5999999999999996</v>
      </c>
      <c r="F186" s="15"/>
      <c r="G186" s="15"/>
    </row>
    <row r="187" spans="1:7" x14ac:dyDescent="0.3">
      <c r="A187" s="5"/>
      <c r="B187" s="5" t="s">
        <v>131</v>
      </c>
      <c r="C187" s="5"/>
      <c r="D187" s="5" t="s">
        <v>8</v>
      </c>
      <c r="E187" s="15">
        <f>5.9</f>
        <v>5.9</v>
      </c>
      <c r="F187" s="15"/>
      <c r="G187" s="15"/>
    </row>
    <row r="188" spans="1:7" x14ac:dyDescent="0.3">
      <c r="A188" s="5"/>
      <c r="B188" s="5" t="s">
        <v>124</v>
      </c>
      <c r="C188" s="5"/>
      <c r="D188" s="5" t="s">
        <v>8</v>
      </c>
      <c r="E188" s="15">
        <f>6.5</f>
        <v>6.5</v>
      </c>
      <c r="F188" s="15"/>
      <c r="G188" s="15"/>
    </row>
    <row r="189" spans="1:7" ht="31.2" x14ac:dyDescent="0.3">
      <c r="A189" s="5"/>
      <c r="B189" s="11" t="s">
        <v>146</v>
      </c>
      <c r="C189" s="5"/>
      <c r="D189" s="5" t="s">
        <v>14</v>
      </c>
      <c r="E189" s="15">
        <f>37</f>
        <v>37</v>
      </c>
      <c r="F189" s="15"/>
      <c r="G189" s="15"/>
    </row>
    <row r="190" spans="1:7" ht="31.2" x14ac:dyDescent="0.3">
      <c r="A190" s="5"/>
      <c r="B190" s="11" t="s">
        <v>133</v>
      </c>
      <c r="C190" s="5"/>
      <c r="D190" s="5" t="s">
        <v>14</v>
      </c>
      <c r="E190" s="15">
        <f>65</f>
        <v>65</v>
      </c>
      <c r="F190" s="15"/>
      <c r="G190" s="15"/>
    </row>
    <row r="191" spans="1:7" x14ac:dyDescent="0.3">
      <c r="A191" s="21"/>
      <c r="B191" s="21" t="s">
        <v>171</v>
      </c>
      <c r="C191" s="21"/>
      <c r="D191" s="21" t="s">
        <v>14</v>
      </c>
      <c r="E191" s="22">
        <f>2</f>
        <v>2</v>
      </c>
      <c r="F191" s="22"/>
      <c r="G191" s="22"/>
    </row>
    <row r="192" spans="1:7" x14ac:dyDescent="0.3">
      <c r="A192" s="5"/>
      <c r="B192" s="5" t="s">
        <v>145</v>
      </c>
      <c r="C192" s="5"/>
      <c r="D192" s="5" t="s">
        <v>10</v>
      </c>
      <c r="E192" s="15">
        <f>5.7</f>
        <v>5.7</v>
      </c>
      <c r="F192" s="15"/>
      <c r="G192" s="15"/>
    </row>
    <row r="193" spans="1:126" x14ac:dyDescent="0.3">
      <c r="A193" s="5"/>
      <c r="B193" s="5" t="s">
        <v>124</v>
      </c>
      <c r="C193" s="5"/>
      <c r="D193" s="5" t="s">
        <v>8</v>
      </c>
      <c r="E193" s="15">
        <f>0.5</f>
        <v>0.5</v>
      </c>
      <c r="F193" s="15"/>
      <c r="G193" s="15"/>
    </row>
    <row r="194" spans="1:126" x14ac:dyDescent="0.3">
      <c r="A194" s="5"/>
      <c r="B194" s="5" t="s">
        <v>138</v>
      </c>
      <c r="C194" s="5"/>
      <c r="D194" s="5" t="s">
        <v>8</v>
      </c>
      <c r="E194" s="15">
        <f>0.4</f>
        <v>0.4</v>
      </c>
      <c r="F194" s="15"/>
      <c r="G194" s="15"/>
    </row>
    <row r="195" spans="1:126" x14ac:dyDescent="0.3">
      <c r="A195" s="21"/>
      <c r="B195" s="21" t="s">
        <v>147</v>
      </c>
      <c r="C195" s="21"/>
      <c r="D195" s="21"/>
      <c r="E195" s="22"/>
      <c r="F195" s="22"/>
      <c r="G195" s="22"/>
    </row>
    <row r="196" spans="1:126" s="3" customFormat="1" x14ac:dyDescent="0.3">
      <c r="A196" s="21"/>
      <c r="B196" s="21" t="s">
        <v>148</v>
      </c>
      <c r="C196" s="21"/>
      <c r="D196" s="21" t="s">
        <v>69</v>
      </c>
      <c r="E196" s="22">
        <f>49</f>
        <v>49</v>
      </c>
      <c r="F196" s="22"/>
      <c r="G196" s="22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  <c r="BY196" s="59"/>
      <c r="BZ196" s="59"/>
      <c r="CA196" s="59"/>
      <c r="CB196" s="59"/>
      <c r="CC196" s="59"/>
      <c r="CD196" s="59"/>
      <c r="CE196" s="59"/>
      <c r="CF196" s="59"/>
      <c r="CG196" s="59"/>
      <c r="CH196" s="59"/>
      <c r="CI196" s="59"/>
      <c r="CJ196" s="59"/>
      <c r="CK196" s="59"/>
      <c r="CL196" s="59"/>
      <c r="CM196" s="59"/>
      <c r="CN196" s="59"/>
      <c r="CO196" s="59"/>
      <c r="CP196" s="59"/>
      <c r="CQ196" s="59"/>
      <c r="CR196" s="59"/>
      <c r="CS196" s="59"/>
      <c r="CT196" s="59"/>
      <c r="CU196" s="59"/>
      <c r="CV196" s="59"/>
      <c r="CW196" s="59"/>
      <c r="CX196" s="59"/>
      <c r="CY196" s="59"/>
      <c r="CZ196" s="59"/>
      <c r="DA196" s="59"/>
      <c r="DB196" s="59"/>
      <c r="DC196" s="59"/>
      <c r="DD196" s="59"/>
      <c r="DE196" s="59"/>
      <c r="DF196" s="59"/>
      <c r="DG196" s="59"/>
      <c r="DH196" s="59"/>
      <c r="DI196" s="59"/>
      <c r="DJ196" s="59"/>
      <c r="DK196" s="59"/>
      <c r="DL196" s="59"/>
      <c r="DM196" s="59"/>
      <c r="DN196" s="59"/>
      <c r="DO196" s="59"/>
      <c r="DP196" s="59"/>
      <c r="DQ196" s="59"/>
      <c r="DR196" s="59"/>
      <c r="DS196" s="59"/>
      <c r="DT196" s="59"/>
      <c r="DU196" s="59"/>
      <c r="DV196" s="59"/>
    </row>
    <row r="197" spans="1:126" x14ac:dyDescent="0.3">
      <c r="A197" s="5"/>
      <c r="B197" s="5" t="s">
        <v>567</v>
      </c>
      <c r="C197" s="5"/>
      <c r="D197" s="5" t="s">
        <v>72</v>
      </c>
      <c r="E197" s="15">
        <v>16.170000000000002</v>
      </c>
      <c r="F197" s="15"/>
      <c r="G197" s="15"/>
    </row>
    <row r="198" spans="1:126" x14ac:dyDescent="0.3">
      <c r="A198" s="5"/>
      <c r="B198" s="5" t="s">
        <v>568</v>
      </c>
      <c r="C198" s="5"/>
      <c r="D198" s="5" t="s">
        <v>72</v>
      </c>
      <c r="E198" s="15">
        <v>132.30000000000001</v>
      </c>
      <c r="F198" s="15"/>
      <c r="G198" s="15"/>
    </row>
    <row r="199" spans="1:126" x14ac:dyDescent="0.3">
      <c r="A199" s="5"/>
      <c r="B199" s="5" t="s">
        <v>569</v>
      </c>
      <c r="C199" s="5"/>
      <c r="D199" s="5" t="s">
        <v>72</v>
      </c>
      <c r="E199" s="15">
        <v>14.7</v>
      </c>
      <c r="F199" s="15"/>
      <c r="G199" s="15"/>
    </row>
    <row r="200" spans="1:126" x14ac:dyDescent="0.3">
      <c r="A200" s="5"/>
      <c r="B200" s="5" t="s">
        <v>566</v>
      </c>
      <c r="C200" s="5"/>
      <c r="D200" s="5" t="s">
        <v>72</v>
      </c>
      <c r="E200" s="15">
        <v>49</v>
      </c>
      <c r="F200" s="15"/>
      <c r="G200" s="15"/>
    </row>
    <row r="201" spans="1:126" x14ac:dyDescent="0.3">
      <c r="A201" s="5"/>
      <c r="B201" s="5" t="s">
        <v>70</v>
      </c>
      <c r="C201" s="5"/>
      <c r="D201" s="5" t="s">
        <v>72</v>
      </c>
      <c r="E201" s="15">
        <v>49</v>
      </c>
      <c r="F201" s="15"/>
      <c r="G201" s="15"/>
    </row>
    <row r="202" spans="1:126" x14ac:dyDescent="0.3">
      <c r="A202" s="5"/>
      <c r="B202" s="5" t="s">
        <v>81</v>
      </c>
      <c r="C202" s="5"/>
      <c r="D202" s="5" t="s">
        <v>10</v>
      </c>
      <c r="E202" s="15">
        <f>0.7</f>
        <v>0.7</v>
      </c>
      <c r="F202" s="15"/>
      <c r="G202" s="15"/>
    </row>
    <row r="203" spans="1:126" x14ac:dyDescent="0.3">
      <c r="A203" s="5"/>
      <c r="B203" s="5" t="s">
        <v>80</v>
      </c>
      <c r="C203" s="5"/>
      <c r="D203" s="5" t="s">
        <v>10</v>
      </c>
      <c r="E203" s="15">
        <f>9.8/8170.8*6.7</f>
        <v>8.0359328339942235E-3</v>
      </c>
      <c r="F203" s="15"/>
      <c r="G203" s="15"/>
    </row>
    <row r="204" spans="1:126" x14ac:dyDescent="0.3">
      <c r="A204" s="5"/>
      <c r="B204" s="11" t="s">
        <v>149</v>
      </c>
      <c r="C204" s="5"/>
      <c r="D204" s="5" t="s">
        <v>74</v>
      </c>
      <c r="E204" s="15">
        <f>8.1</f>
        <v>8.1</v>
      </c>
      <c r="F204" s="15"/>
      <c r="G204" s="15"/>
    </row>
    <row r="205" spans="1:126" ht="31.2" x14ac:dyDescent="0.3">
      <c r="A205" s="5"/>
      <c r="B205" s="11" t="s">
        <v>66</v>
      </c>
      <c r="C205" s="5"/>
      <c r="D205" s="5" t="s">
        <v>8</v>
      </c>
      <c r="E205" s="15">
        <f>0.2</f>
        <v>0.2</v>
      </c>
      <c r="F205" s="15"/>
      <c r="G205" s="15"/>
    </row>
    <row r="206" spans="1:126" x14ac:dyDescent="0.3">
      <c r="A206" s="5"/>
      <c r="B206" s="5" t="s">
        <v>150</v>
      </c>
      <c r="C206" s="5"/>
      <c r="D206" s="5" t="s">
        <v>14</v>
      </c>
      <c r="E206" s="15">
        <f>16</f>
        <v>16</v>
      </c>
      <c r="F206" s="15"/>
      <c r="G206" s="15"/>
    </row>
    <row r="207" spans="1:126" x14ac:dyDescent="0.3">
      <c r="A207" s="5"/>
      <c r="B207" s="5" t="s">
        <v>151</v>
      </c>
      <c r="C207" s="5"/>
      <c r="D207" s="5" t="s">
        <v>14</v>
      </c>
      <c r="E207" s="15">
        <f>16</f>
        <v>16</v>
      </c>
      <c r="F207" s="15"/>
      <c r="G207" s="15"/>
    </row>
    <row r="208" spans="1:126" x14ac:dyDescent="0.3">
      <c r="A208" s="21"/>
      <c r="B208" s="21" t="s">
        <v>164</v>
      </c>
      <c r="C208" s="21"/>
      <c r="D208" s="21" t="s">
        <v>158</v>
      </c>
      <c r="E208" s="22">
        <f>1</f>
        <v>1</v>
      </c>
      <c r="F208" s="22"/>
      <c r="G208" s="22"/>
    </row>
    <row r="209" spans="1:126" x14ac:dyDescent="0.3">
      <c r="A209" s="5"/>
      <c r="B209" s="5" t="s">
        <v>152</v>
      </c>
      <c r="C209" s="5"/>
      <c r="D209" s="5" t="s">
        <v>8</v>
      </c>
      <c r="E209" s="15">
        <f>0.8</f>
        <v>0.8</v>
      </c>
      <c r="F209" s="15"/>
      <c r="G209" s="15"/>
    </row>
    <row r="210" spans="1:126" x14ac:dyDescent="0.3">
      <c r="A210" s="21"/>
      <c r="B210" s="21" t="s">
        <v>163</v>
      </c>
      <c r="C210" s="21"/>
      <c r="D210" s="21" t="s">
        <v>69</v>
      </c>
      <c r="E210" s="22">
        <f>33</f>
        <v>33</v>
      </c>
      <c r="F210" s="22"/>
      <c r="G210" s="22"/>
    </row>
    <row r="211" spans="1:126" x14ac:dyDescent="0.3">
      <c r="A211" s="5"/>
      <c r="B211" s="5" t="s">
        <v>153</v>
      </c>
      <c r="C211" s="5"/>
      <c r="D211" s="5" t="s">
        <v>72</v>
      </c>
      <c r="E211" s="15">
        <v>26.010599999999997</v>
      </c>
      <c r="F211" s="15"/>
      <c r="G211" s="15"/>
    </row>
    <row r="212" spans="1:126" x14ac:dyDescent="0.3">
      <c r="A212" s="5"/>
      <c r="B212" s="5" t="s">
        <v>154</v>
      </c>
      <c r="C212" s="5"/>
      <c r="D212" s="5" t="s">
        <v>72</v>
      </c>
      <c r="E212" s="15">
        <v>13.813799999999999</v>
      </c>
      <c r="F212" s="15"/>
      <c r="G212" s="15"/>
    </row>
    <row r="213" spans="1:126" x14ac:dyDescent="0.3">
      <c r="A213" s="5"/>
      <c r="B213" s="5" t="s">
        <v>155</v>
      </c>
      <c r="C213" s="5"/>
      <c r="D213" s="5" t="s">
        <v>72</v>
      </c>
      <c r="E213" s="15">
        <v>3.98244</v>
      </c>
      <c r="F213" s="15"/>
      <c r="G213" s="15"/>
    </row>
    <row r="214" spans="1:126" s="25" customFormat="1" x14ac:dyDescent="0.3">
      <c r="A214" s="23"/>
      <c r="B214" s="23" t="s">
        <v>156</v>
      </c>
      <c r="C214" s="23"/>
      <c r="D214" s="23"/>
      <c r="E214" s="24"/>
      <c r="F214" s="24"/>
      <c r="G214" s="24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  <c r="CG214" s="59"/>
      <c r="CH214" s="59"/>
      <c r="CI214" s="59"/>
      <c r="CJ214" s="59"/>
      <c r="CK214" s="59"/>
      <c r="CL214" s="59"/>
      <c r="CM214" s="59"/>
      <c r="CN214" s="59"/>
      <c r="CO214" s="59"/>
      <c r="CP214" s="59"/>
      <c r="CQ214" s="59"/>
      <c r="CR214" s="59"/>
      <c r="CS214" s="59"/>
      <c r="CT214" s="59"/>
      <c r="CU214" s="59"/>
      <c r="CV214" s="59"/>
      <c r="CW214" s="59"/>
      <c r="CX214" s="59"/>
      <c r="CY214" s="59"/>
      <c r="CZ214" s="59"/>
      <c r="DA214" s="59"/>
      <c r="DB214" s="59"/>
      <c r="DC214" s="59"/>
      <c r="DD214" s="59"/>
      <c r="DE214" s="59"/>
      <c r="DF214" s="59"/>
      <c r="DG214" s="59"/>
      <c r="DH214" s="59"/>
      <c r="DI214" s="59"/>
      <c r="DJ214" s="59"/>
      <c r="DK214" s="59"/>
      <c r="DL214" s="59"/>
      <c r="DM214" s="59"/>
      <c r="DN214" s="59"/>
      <c r="DO214" s="59"/>
      <c r="DP214" s="59"/>
      <c r="DQ214" s="59"/>
      <c r="DR214" s="59"/>
      <c r="DS214" s="59"/>
      <c r="DT214" s="59"/>
      <c r="DU214" s="59"/>
      <c r="DV214" s="59"/>
    </row>
    <row r="215" spans="1:126" s="3" customFormat="1" x14ac:dyDescent="0.3">
      <c r="A215" s="21"/>
      <c r="B215" s="21" t="s">
        <v>157</v>
      </c>
      <c r="C215" s="21"/>
      <c r="D215" s="21" t="s">
        <v>158</v>
      </c>
      <c r="E215" s="22">
        <f>1</f>
        <v>1</v>
      </c>
      <c r="F215" s="22"/>
      <c r="G215" s="22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  <c r="CG215" s="59"/>
      <c r="CH215" s="59"/>
      <c r="CI215" s="59"/>
      <c r="CJ215" s="59"/>
      <c r="CK215" s="59"/>
      <c r="CL215" s="59"/>
      <c r="CM215" s="59"/>
      <c r="CN215" s="59"/>
      <c r="CO215" s="59"/>
      <c r="CP215" s="59"/>
      <c r="CQ215" s="59"/>
      <c r="CR215" s="59"/>
      <c r="CS215" s="59"/>
      <c r="CT215" s="59"/>
      <c r="CU215" s="59"/>
      <c r="CV215" s="59"/>
      <c r="CW215" s="59"/>
      <c r="CX215" s="59"/>
      <c r="CY215" s="59"/>
      <c r="CZ215" s="59"/>
      <c r="DA215" s="59"/>
      <c r="DB215" s="59"/>
      <c r="DC215" s="59"/>
      <c r="DD215" s="59"/>
      <c r="DE215" s="59"/>
      <c r="DF215" s="59"/>
      <c r="DG215" s="59"/>
      <c r="DH215" s="59"/>
      <c r="DI215" s="59"/>
      <c r="DJ215" s="59"/>
      <c r="DK215" s="59"/>
      <c r="DL215" s="59"/>
      <c r="DM215" s="59"/>
      <c r="DN215" s="59"/>
      <c r="DO215" s="59"/>
      <c r="DP215" s="59"/>
      <c r="DQ215" s="59"/>
      <c r="DR215" s="59"/>
      <c r="DS215" s="59"/>
      <c r="DT215" s="59"/>
      <c r="DU215" s="59"/>
      <c r="DV215" s="59"/>
    </row>
    <row r="216" spans="1:126" x14ac:dyDescent="0.3">
      <c r="A216" s="5"/>
      <c r="B216" s="11" t="s">
        <v>159</v>
      </c>
      <c r="C216" s="5"/>
      <c r="D216" s="5" t="s">
        <v>10</v>
      </c>
      <c r="E216" s="15">
        <f>2320</f>
        <v>2320</v>
      </c>
      <c r="F216" s="15"/>
      <c r="G216" s="15"/>
    </row>
    <row r="217" spans="1:126" x14ac:dyDescent="0.3">
      <c r="A217" s="5"/>
      <c r="B217" s="11" t="s">
        <v>160</v>
      </c>
      <c r="C217" s="5"/>
      <c r="D217" s="5" t="s">
        <v>10</v>
      </c>
      <c r="E217" s="15">
        <f>1413.7</f>
        <v>1413.7</v>
      </c>
      <c r="F217" s="15"/>
      <c r="G217" s="15"/>
    </row>
    <row r="218" spans="1:126" x14ac:dyDescent="0.3">
      <c r="A218" s="5"/>
      <c r="B218" s="11" t="s">
        <v>161</v>
      </c>
      <c r="C218" s="5"/>
      <c r="D218" s="5" t="s">
        <v>10</v>
      </c>
      <c r="E218" s="15">
        <f>2827.4</f>
        <v>2827.4</v>
      </c>
      <c r="F218" s="15"/>
      <c r="G218" s="15"/>
    </row>
    <row r="219" spans="1:126" s="3" customFormat="1" x14ac:dyDescent="0.3">
      <c r="A219" s="21"/>
      <c r="B219" s="21" t="s">
        <v>162</v>
      </c>
      <c r="C219" s="21"/>
      <c r="D219" s="21" t="s">
        <v>14</v>
      </c>
      <c r="E219" s="22">
        <f>32</f>
        <v>32</v>
      </c>
      <c r="F219" s="22"/>
      <c r="G219" s="22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  <c r="CM219" s="59"/>
      <c r="CN219" s="59"/>
      <c r="CO219" s="59"/>
      <c r="CP219" s="59"/>
      <c r="CQ219" s="59"/>
      <c r="CR219" s="59"/>
      <c r="CS219" s="59"/>
      <c r="CT219" s="59"/>
      <c r="CU219" s="59"/>
      <c r="CV219" s="59"/>
      <c r="CW219" s="59"/>
      <c r="CX219" s="59"/>
      <c r="CY219" s="59"/>
      <c r="CZ219" s="59"/>
      <c r="DA219" s="59"/>
      <c r="DB219" s="59"/>
      <c r="DC219" s="59"/>
      <c r="DD219" s="59"/>
      <c r="DE219" s="59"/>
      <c r="DF219" s="59"/>
      <c r="DG219" s="59"/>
      <c r="DH219" s="59"/>
      <c r="DI219" s="59"/>
      <c r="DJ219" s="59"/>
      <c r="DK219" s="59"/>
      <c r="DL219" s="59"/>
      <c r="DM219" s="59"/>
      <c r="DN219" s="59"/>
      <c r="DO219" s="59"/>
      <c r="DP219" s="59"/>
      <c r="DQ219" s="59"/>
      <c r="DR219" s="59"/>
      <c r="DS219" s="59"/>
      <c r="DT219" s="59"/>
      <c r="DU219" s="59"/>
      <c r="DV219" s="59"/>
    </row>
    <row r="220" spans="1:126" x14ac:dyDescent="0.3">
      <c r="A220" s="5"/>
      <c r="B220" s="5" t="s">
        <v>122</v>
      </c>
      <c r="C220" s="5"/>
      <c r="D220" s="5" t="s">
        <v>10</v>
      </c>
      <c r="E220" s="15">
        <f>2154.5</f>
        <v>2154.5</v>
      </c>
      <c r="F220" s="15"/>
      <c r="G220" s="15"/>
    </row>
    <row r="221" spans="1:126" x14ac:dyDescent="0.3">
      <c r="A221" s="5"/>
      <c r="B221" s="5" t="s">
        <v>123</v>
      </c>
      <c r="C221" s="5"/>
      <c r="D221" s="5" t="s">
        <v>8</v>
      </c>
      <c r="E221" s="15">
        <f>457.2</f>
        <v>457.2</v>
      </c>
      <c r="F221" s="15"/>
      <c r="G221" s="15"/>
    </row>
    <row r="222" spans="1:126" x14ac:dyDescent="0.3">
      <c r="A222" s="5"/>
      <c r="B222" s="5" t="s">
        <v>124</v>
      </c>
      <c r="C222" s="5"/>
      <c r="D222" s="5" t="s">
        <v>8</v>
      </c>
      <c r="E222" s="15">
        <f>62.4</f>
        <v>62.4</v>
      </c>
      <c r="F222" s="15"/>
      <c r="G222" s="15"/>
    </row>
    <row r="223" spans="1:126" x14ac:dyDescent="0.3">
      <c r="A223" s="5"/>
      <c r="B223" s="5" t="s">
        <v>125</v>
      </c>
      <c r="C223" s="5"/>
      <c r="D223" s="5" t="s">
        <v>8</v>
      </c>
      <c r="E223" s="15">
        <f>19.6</f>
        <v>19.600000000000001</v>
      </c>
      <c r="F223" s="15"/>
      <c r="G223" s="15"/>
    </row>
    <row r="224" spans="1:126" ht="31.2" x14ac:dyDescent="0.3">
      <c r="A224" s="5"/>
      <c r="B224" s="11" t="s">
        <v>126</v>
      </c>
      <c r="C224" s="5"/>
      <c r="D224" s="5" t="s">
        <v>14</v>
      </c>
      <c r="E224" s="15">
        <f>108</f>
        <v>108</v>
      </c>
      <c r="F224" s="15"/>
      <c r="G224" s="15"/>
    </row>
    <row r="225" spans="1:126" x14ac:dyDescent="0.3">
      <c r="A225" s="5"/>
      <c r="B225" s="5" t="s">
        <v>122</v>
      </c>
      <c r="C225" s="5"/>
      <c r="D225" s="5" t="s">
        <v>10</v>
      </c>
      <c r="E225" s="15">
        <f>28.9</f>
        <v>28.9</v>
      </c>
      <c r="F225" s="15"/>
      <c r="G225" s="15"/>
    </row>
    <row r="226" spans="1:126" x14ac:dyDescent="0.3">
      <c r="A226" s="5"/>
      <c r="B226" s="5" t="s">
        <v>123</v>
      </c>
      <c r="C226" s="5"/>
      <c r="D226" s="5" t="s">
        <v>8</v>
      </c>
      <c r="E226" s="15">
        <f>5.4</f>
        <v>5.4</v>
      </c>
      <c r="F226" s="15"/>
      <c r="G226" s="15"/>
    </row>
    <row r="227" spans="1:126" x14ac:dyDescent="0.3">
      <c r="A227" s="5"/>
      <c r="B227" s="5" t="s">
        <v>124</v>
      </c>
      <c r="C227" s="5"/>
      <c r="D227" s="5" t="s">
        <v>8</v>
      </c>
      <c r="E227" s="15">
        <f>0.9</f>
        <v>0.9</v>
      </c>
      <c r="F227" s="15"/>
      <c r="G227" s="15"/>
    </row>
    <row r="228" spans="1:126" ht="31.2" x14ac:dyDescent="0.3">
      <c r="A228" s="5"/>
      <c r="B228" s="11" t="s">
        <v>126</v>
      </c>
      <c r="C228" s="5"/>
      <c r="D228" s="5" t="s">
        <v>14</v>
      </c>
      <c r="E228" s="15">
        <f>36</f>
        <v>36</v>
      </c>
      <c r="F228" s="15"/>
      <c r="G228" s="15"/>
    </row>
    <row r="229" spans="1:126" x14ac:dyDescent="0.3">
      <c r="A229" s="5"/>
      <c r="B229" s="5" t="s">
        <v>122</v>
      </c>
      <c r="C229" s="5"/>
      <c r="D229" s="5" t="s">
        <v>10</v>
      </c>
      <c r="E229" s="15">
        <f>57.4</f>
        <v>57.4</v>
      </c>
      <c r="F229" s="15"/>
      <c r="G229" s="15"/>
    </row>
    <row r="230" spans="1:126" x14ac:dyDescent="0.3">
      <c r="A230" s="5"/>
      <c r="B230" s="5" t="s">
        <v>123</v>
      </c>
      <c r="C230" s="5"/>
      <c r="D230" s="5" t="s">
        <v>8</v>
      </c>
      <c r="E230" s="15">
        <f>11</f>
        <v>11</v>
      </c>
      <c r="F230" s="15"/>
      <c r="G230" s="15"/>
    </row>
    <row r="231" spans="1:126" x14ac:dyDescent="0.3">
      <c r="A231" s="5"/>
      <c r="B231" s="5" t="s">
        <v>124</v>
      </c>
      <c r="C231" s="5"/>
      <c r="D231" s="5" t="s">
        <v>8</v>
      </c>
      <c r="E231" s="15">
        <f>1.7</f>
        <v>1.7</v>
      </c>
      <c r="F231" s="15"/>
      <c r="G231" s="15"/>
    </row>
    <row r="232" spans="1:126" ht="31.2" x14ac:dyDescent="0.3">
      <c r="A232" s="5"/>
      <c r="B232" s="11" t="s">
        <v>126</v>
      </c>
      <c r="C232" s="5"/>
      <c r="D232" s="5" t="s">
        <v>14</v>
      </c>
      <c r="E232" s="15">
        <f>72</f>
        <v>72</v>
      </c>
      <c r="F232" s="15"/>
      <c r="G232" s="15"/>
    </row>
    <row r="233" spans="1:126" s="3" customFormat="1" x14ac:dyDescent="0.3">
      <c r="A233" s="21"/>
      <c r="B233" s="21" t="s">
        <v>127</v>
      </c>
      <c r="C233" s="21"/>
      <c r="D233" s="21" t="s">
        <v>14</v>
      </c>
      <c r="E233" s="22">
        <f>1</f>
        <v>1</v>
      </c>
      <c r="F233" s="22"/>
      <c r="G233" s="22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  <c r="CG233" s="59"/>
      <c r="CH233" s="59"/>
      <c r="CI233" s="59"/>
      <c r="CJ233" s="59"/>
      <c r="CK233" s="59"/>
      <c r="CL233" s="59"/>
      <c r="CM233" s="59"/>
      <c r="CN233" s="59"/>
      <c r="CO233" s="59"/>
      <c r="CP233" s="59"/>
      <c r="CQ233" s="59"/>
      <c r="CR233" s="59"/>
      <c r="CS233" s="59"/>
      <c r="CT233" s="59"/>
      <c r="CU233" s="59"/>
      <c r="CV233" s="59"/>
      <c r="CW233" s="59"/>
      <c r="CX233" s="59"/>
      <c r="CY233" s="59"/>
      <c r="CZ233" s="59"/>
      <c r="DA233" s="59"/>
      <c r="DB233" s="59"/>
      <c r="DC233" s="59"/>
      <c r="DD233" s="59"/>
      <c r="DE233" s="59"/>
      <c r="DF233" s="59"/>
      <c r="DG233" s="59"/>
      <c r="DH233" s="59"/>
      <c r="DI233" s="59"/>
      <c r="DJ233" s="59"/>
      <c r="DK233" s="59"/>
      <c r="DL233" s="59"/>
      <c r="DM233" s="59"/>
      <c r="DN233" s="59"/>
      <c r="DO233" s="59"/>
      <c r="DP233" s="59"/>
      <c r="DQ233" s="59"/>
      <c r="DR233" s="59"/>
      <c r="DS233" s="59"/>
      <c r="DT233" s="59"/>
      <c r="DU233" s="59"/>
      <c r="DV233" s="59"/>
    </row>
    <row r="234" spans="1:126" x14ac:dyDescent="0.3">
      <c r="A234" s="5"/>
      <c r="B234" s="5" t="s">
        <v>128</v>
      </c>
      <c r="C234" s="5"/>
      <c r="D234" s="5" t="s">
        <v>10</v>
      </c>
      <c r="E234" s="15">
        <f>992.4</f>
        <v>992.4</v>
      </c>
      <c r="F234" s="15"/>
      <c r="G234" s="15"/>
    </row>
    <row r="235" spans="1:126" x14ac:dyDescent="0.3">
      <c r="A235" s="5"/>
      <c r="B235" s="5" t="s">
        <v>123</v>
      </c>
      <c r="C235" s="5"/>
      <c r="D235" s="5" t="s">
        <v>8</v>
      </c>
      <c r="E235" s="15">
        <v>32.700000000000003</v>
      </c>
      <c r="F235" s="15"/>
      <c r="G235" s="15"/>
    </row>
    <row r="236" spans="1:126" x14ac:dyDescent="0.3">
      <c r="A236" s="5"/>
      <c r="B236" s="5" t="s">
        <v>129</v>
      </c>
      <c r="C236" s="5"/>
      <c r="D236" s="5" t="s">
        <v>8</v>
      </c>
      <c r="E236" s="15">
        <f>33.5</f>
        <v>33.5</v>
      </c>
      <c r="F236" s="15"/>
      <c r="G236" s="15"/>
    </row>
    <row r="237" spans="1:126" x14ac:dyDescent="0.3">
      <c r="A237" s="5"/>
      <c r="B237" s="5" t="s">
        <v>130</v>
      </c>
      <c r="C237" s="5"/>
      <c r="D237" s="5" t="s">
        <v>8</v>
      </c>
      <c r="E237" s="15">
        <f>10.2</f>
        <v>10.199999999999999</v>
      </c>
      <c r="F237" s="15"/>
      <c r="G237" s="15"/>
    </row>
    <row r="238" spans="1:126" x14ac:dyDescent="0.3">
      <c r="A238" s="5"/>
      <c r="B238" s="5" t="s">
        <v>131</v>
      </c>
      <c r="C238" s="5"/>
      <c r="D238" s="5" t="s">
        <v>8</v>
      </c>
      <c r="E238" s="15">
        <f>13.1</f>
        <v>13.1</v>
      </c>
      <c r="F238" s="15"/>
      <c r="G238" s="15"/>
    </row>
    <row r="239" spans="1:126" x14ac:dyDescent="0.3">
      <c r="A239" s="5"/>
      <c r="B239" s="5" t="s">
        <v>124</v>
      </c>
      <c r="C239" s="5"/>
      <c r="D239" s="5" t="s">
        <v>8</v>
      </c>
      <c r="E239" s="15">
        <f>1.7</f>
        <v>1.7</v>
      </c>
      <c r="F239" s="15"/>
      <c r="G239" s="15"/>
    </row>
    <row r="240" spans="1:126" x14ac:dyDescent="0.3">
      <c r="A240" s="5"/>
      <c r="B240" s="5" t="s">
        <v>132</v>
      </c>
      <c r="C240" s="5"/>
      <c r="D240" s="5" t="s">
        <v>8</v>
      </c>
      <c r="E240" s="15">
        <f>0.8</f>
        <v>0.8</v>
      </c>
      <c r="F240" s="15"/>
      <c r="G240" s="15"/>
    </row>
    <row r="241" spans="1:7" ht="31.2" x14ac:dyDescent="0.3">
      <c r="A241" s="5"/>
      <c r="B241" s="11" t="s">
        <v>133</v>
      </c>
      <c r="C241" s="5"/>
      <c r="D241" s="5" t="s">
        <v>14</v>
      </c>
      <c r="E241" s="15">
        <f>138</f>
        <v>138</v>
      </c>
      <c r="F241" s="15"/>
      <c r="G241" s="15"/>
    </row>
    <row r="242" spans="1:7" ht="31.2" x14ac:dyDescent="0.3">
      <c r="A242" s="5"/>
      <c r="B242" s="11" t="s">
        <v>126</v>
      </c>
      <c r="C242" s="5"/>
      <c r="D242" s="5" t="s">
        <v>14</v>
      </c>
      <c r="E242" s="15">
        <f>198</f>
        <v>198</v>
      </c>
      <c r="F242" s="15"/>
      <c r="G242" s="15"/>
    </row>
    <row r="243" spans="1:7" x14ac:dyDescent="0.3">
      <c r="A243" s="21"/>
      <c r="B243" s="21" t="s">
        <v>134</v>
      </c>
      <c r="C243" s="21"/>
      <c r="D243" s="21" t="s">
        <v>14</v>
      </c>
      <c r="E243" s="22">
        <f>72</f>
        <v>72</v>
      </c>
      <c r="F243" s="22"/>
      <c r="G243" s="22"/>
    </row>
    <row r="244" spans="1:7" x14ac:dyDescent="0.3">
      <c r="A244" s="5"/>
      <c r="B244" s="5" t="s">
        <v>135</v>
      </c>
      <c r="C244" s="5"/>
      <c r="D244" s="5" t="s">
        <v>10</v>
      </c>
      <c r="E244" s="15">
        <f>76.5</f>
        <v>76.5</v>
      </c>
      <c r="F244" s="15"/>
      <c r="G244" s="15"/>
    </row>
    <row r="245" spans="1:7" x14ac:dyDescent="0.3">
      <c r="A245" s="5"/>
      <c r="B245" s="5" t="s">
        <v>136</v>
      </c>
      <c r="C245" s="5"/>
      <c r="D245" s="5" t="s">
        <v>8</v>
      </c>
      <c r="E245" s="15">
        <f>2.1</f>
        <v>2.1</v>
      </c>
      <c r="F245" s="15"/>
      <c r="G245" s="15"/>
    </row>
    <row r="246" spans="1:7" x14ac:dyDescent="0.3">
      <c r="A246" s="5"/>
      <c r="B246" s="5" t="s">
        <v>137</v>
      </c>
      <c r="C246" s="5"/>
      <c r="D246" s="5" t="s">
        <v>8</v>
      </c>
      <c r="E246" s="15">
        <f>1.5</f>
        <v>1.5</v>
      </c>
      <c r="F246" s="15"/>
      <c r="G246" s="15"/>
    </row>
    <row r="247" spans="1:7" x14ac:dyDescent="0.3">
      <c r="A247" s="5"/>
      <c r="B247" s="5" t="s">
        <v>138</v>
      </c>
      <c r="C247" s="5"/>
      <c r="D247" s="5" t="s">
        <v>8</v>
      </c>
      <c r="E247" s="15">
        <f>0.9</f>
        <v>0.9</v>
      </c>
      <c r="F247" s="15"/>
      <c r="G247" s="15"/>
    </row>
    <row r="248" spans="1:7" x14ac:dyDescent="0.3">
      <c r="A248" s="5"/>
      <c r="B248" s="5" t="s">
        <v>139</v>
      </c>
      <c r="C248" s="5"/>
      <c r="D248" s="5" t="s">
        <v>8</v>
      </c>
      <c r="E248" s="15">
        <f>0.4</f>
        <v>0.4</v>
      </c>
      <c r="F248" s="15"/>
      <c r="G248" s="15"/>
    </row>
    <row r="249" spans="1:7" x14ac:dyDescent="0.3">
      <c r="A249" s="21"/>
      <c r="B249" s="21" t="s">
        <v>140</v>
      </c>
      <c r="C249" s="21"/>
      <c r="D249" s="21" t="s">
        <v>10</v>
      </c>
      <c r="E249" s="22">
        <f>145.9</f>
        <v>145.9</v>
      </c>
      <c r="F249" s="22"/>
      <c r="G249" s="22"/>
    </row>
    <row r="250" spans="1:7" x14ac:dyDescent="0.3">
      <c r="A250" s="5"/>
      <c r="B250" s="5" t="s">
        <v>141</v>
      </c>
      <c r="C250" s="5"/>
      <c r="D250" s="5" t="s">
        <v>10</v>
      </c>
      <c r="E250" s="15">
        <f>145.9</f>
        <v>145.9</v>
      </c>
      <c r="F250" s="15"/>
      <c r="G250" s="15"/>
    </row>
    <row r="251" spans="1:7" x14ac:dyDescent="0.3">
      <c r="A251" s="5"/>
      <c r="B251" s="5" t="s">
        <v>123</v>
      </c>
      <c r="C251" s="5"/>
      <c r="D251" s="5" t="s">
        <v>8</v>
      </c>
      <c r="E251" s="15">
        <f>40.5</f>
        <v>40.5</v>
      </c>
      <c r="F251" s="15"/>
      <c r="G251" s="15"/>
    </row>
    <row r="252" spans="1:7" x14ac:dyDescent="0.3">
      <c r="A252" s="5"/>
      <c r="B252" s="5" t="s">
        <v>124</v>
      </c>
      <c r="C252" s="5"/>
      <c r="D252" s="5" t="s">
        <v>8</v>
      </c>
      <c r="E252" s="15">
        <f>6.6</f>
        <v>6.6</v>
      </c>
      <c r="F252" s="15"/>
      <c r="G252" s="15"/>
    </row>
    <row r="253" spans="1:7" x14ac:dyDescent="0.3">
      <c r="A253" s="5"/>
      <c r="B253" s="5" t="s">
        <v>142</v>
      </c>
      <c r="C253" s="5"/>
      <c r="D253" s="5" t="s">
        <v>8</v>
      </c>
      <c r="E253" s="15">
        <f>1.5</f>
        <v>1.5</v>
      </c>
      <c r="F253" s="15"/>
      <c r="G253" s="15"/>
    </row>
    <row r="254" spans="1:7" ht="31.2" x14ac:dyDescent="0.3">
      <c r="A254" s="5"/>
      <c r="B254" s="11" t="s">
        <v>143</v>
      </c>
      <c r="C254" s="5"/>
      <c r="D254" s="5" t="s">
        <v>14</v>
      </c>
      <c r="E254" s="15">
        <f>204</f>
        <v>204</v>
      </c>
      <c r="F254" s="15"/>
      <c r="G254" s="15"/>
    </row>
    <row r="255" spans="1:7" x14ac:dyDescent="0.3">
      <c r="A255" s="21"/>
      <c r="B255" s="21" t="s">
        <v>144</v>
      </c>
      <c r="C255" s="21"/>
      <c r="D255" s="21" t="s">
        <v>14</v>
      </c>
      <c r="E255" s="22">
        <f>1</f>
        <v>1</v>
      </c>
      <c r="F255" s="22"/>
      <c r="G255" s="22"/>
    </row>
    <row r="256" spans="1:7" x14ac:dyDescent="0.3">
      <c r="A256" s="5"/>
      <c r="B256" s="5" t="s">
        <v>145</v>
      </c>
      <c r="C256" s="5"/>
      <c r="D256" s="5" t="s">
        <v>10</v>
      </c>
      <c r="E256" s="15">
        <f>108.4</f>
        <v>108.4</v>
      </c>
      <c r="F256" s="15"/>
      <c r="G256" s="15"/>
    </row>
    <row r="257" spans="1:126" x14ac:dyDescent="0.3">
      <c r="A257" s="5"/>
      <c r="B257" s="5" t="s">
        <v>129</v>
      </c>
      <c r="C257" s="5"/>
      <c r="D257" s="5" t="s">
        <v>8</v>
      </c>
      <c r="E257" s="15">
        <f>2.1</f>
        <v>2.1</v>
      </c>
      <c r="F257" s="15"/>
      <c r="G257" s="15"/>
    </row>
    <row r="258" spans="1:126" x14ac:dyDescent="0.3">
      <c r="A258" s="5"/>
      <c r="B258" s="5" t="s">
        <v>131</v>
      </c>
      <c r="C258" s="5"/>
      <c r="D258" s="5" t="s">
        <v>8</v>
      </c>
      <c r="E258" s="15">
        <f>1.3</f>
        <v>1.3</v>
      </c>
      <c r="F258" s="15"/>
      <c r="G258" s="15"/>
    </row>
    <row r="259" spans="1:126" x14ac:dyDescent="0.3">
      <c r="A259" s="5"/>
      <c r="B259" s="5" t="s">
        <v>124</v>
      </c>
      <c r="C259" s="5"/>
      <c r="D259" s="5" t="s">
        <v>8</v>
      </c>
      <c r="E259" s="15">
        <f>2.3</f>
        <v>2.2999999999999998</v>
      </c>
      <c r="F259" s="15"/>
      <c r="G259" s="15"/>
    </row>
    <row r="260" spans="1:126" ht="31.2" x14ac:dyDescent="0.3">
      <c r="A260" s="5"/>
      <c r="B260" s="11" t="s">
        <v>133</v>
      </c>
      <c r="C260" s="5"/>
      <c r="D260" s="5" t="s">
        <v>14</v>
      </c>
      <c r="E260" s="15">
        <f>27</f>
        <v>27</v>
      </c>
      <c r="F260" s="15"/>
      <c r="G260" s="15"/>
    </row>
    <row r="261" spans="1:126" x14ac:dyDescent="0.3">
      <c r="A261" s="21"/>
      <c r="B261" s="21" t="s">
        <v>171</v>
      </c>
      <c r="C261" s="21"/>
      <c r="D261" s="21" t="s">
        <v>14</v>
      </c>
      <c r="E261" s="22">
        <f>2</f>
        <v>2</v>
      </c>
      <c r="F261" s="22"/>
      <c r="G261" s="22"/>
    </row>
    <row r="262" spans="1:126" x14ac:dyDescent="0.3">
      <c r="A262" s="5"/>
      <c r="B262" s="5" t="s">
        <v>145</v>
      </c>
      <c r="C262" s="5"/>
      <c r="D262" s="5" t="s">
        <v>10</v>
      </c>
      <c r="E262" s="15">
        <f>4.2</f>
        <v>4.2</v>
      </c>
      <c r="F262" s="15"/>
      <c r="G262" s="15"/>
    </row>
    <row r="263" spans="1:126" x14ac:dyDescent="0.3">
      <c r="A263" s="5"/>
      <c r="B263" s="5" t="s">
        <v>124</v>
      </c>
      <c r="C263" s="5"/>
      <c r="D263" s="5" t="s">
        <v>8</v>
      </c>
      <c r="E263" s="15">
        <f>0.2</f>
        <v>0.2</v>
      </c>
      <c r="F263" s="15"/>
      <c r="G263" s="15"/>
    </row>
    <row r="264" spans="1:126" x14ac:dyDescent="0.3">
      <c r="A264" s="5"/>
      <c r="B264" s="5" t="s">
        <v>138</v>
      </c>
      <c r="C264" s="5"/>
      <c r="D264" s="5" t="s">
        <v>8</v>
      </c>
      <c r="E264" s="15">
        <f>0.3</f>
        <v>0.3</v>
      </c>
      <c r="F264" s="15"/>
      <c r="G264" s="15"/>
    </row>
    <row r="265" spans="1:126" x14ac:dyDescent="0.3">
      <c r="A265" s="21"/>
      <c r="B265" s="21" t="s">
        <v>164</v>
      </c>
      <c r="C265" s="21"/>
      <c r="D265" s="21" t="s">
        <v>158</v>
      </c>
      <c r="E265" s="22">
        <f>1</f>
        <v>1</v>
      </c>
      <c r="F265" s="22"/>
      <c r="G265" s="22"/>
    </row>
    <row r="266" spans="1:126" x14ac:dyDescent="0.3">
      <c r="A266" s="5"/>
      <c r="B266" s="5" t="s">
        <v>152</v>
      </c>
      <c r="C266" s="5"/>
      <c r="D266" s="5" t="s">
        <v>8</v>
      </c>
      <c r="E266" s="15">
        <f>0.5</f>
        <v>0.5</v>
      </c>
      <c r="F266" s="15"/>
      <c r="G266" s="15"/>
    </row>
    <row r="267" spans="1:126" x14ac:dyDescent="0.3">
      <c r="A267" s="21"/>
      <c r="B267" s="21" t="s">
        <v>163</v>
      </c>
      <c r="C267" s="21"/>
      <c r="D267" s="21" t="s">
        <v>69</v>
      </c>
      <c r="E267" s="22">
        <f>22</f>
        <v>22</v>
      </c>
      <c r="F267" s="22"/>
      <c r="G267" s="22"/>
    </row>
    <row r="268" spans="1:126" x14ac:dyDescent="0.3">
      <c r="A268" s="5"/>
      <c r="B268" s="5" t="s">
        <v>153</v>
      </c>
      <c r="C268" s="5"/>
      <c r="D268" s="5" t="s">
        <v>72</v>
      </c>
      <c r="E268" s="15">
        <v>17.340399999999999</v>
      </c>
      <c r="F268" s="15"/>
      <c r="G268" s="15"/>
    </row>
    <row r="269" spans="1:126" x14ac:dyDescent="0.3">
      <c r="A269" s="5"/>
      <c r="B269" s="5" t="s">
        <v>154</v>
      </c>
      <c r="C269" s="5"/>
      <c r="D269" s="5" t="s">
        <v>72</v>
      </c>
      <c r="E269" s="15">
        <v>9.2091999999999992</v>
      </c>
      <c r="F269" s="15"/>
      <c r="G269" s="15"/>
    </row>
    <row r="270" spans="1:126" x14ac:dyDescent="0.3">
      <c r="A270" s="5"/>
      <c r="B270" s="5" t="s">
        <v>155</v>
      </c>
      <c r="C270" s="5"/>
      <c r="D270" s="5" t="s">
        <v>72</v>
      </c>
      <c r="E270" s="15">
        <v>2.65496</v>
      </c>
      <c r="F270" s="15"/>
      <c r="G270" s="15"/>
    </row>
    <row r="271" spans="1:126" s="25" customFormat="1" x14ac:dyDescent="0.3">
      <c r="A271" s="23"/>
      <c r="B271" s="23" t="s">
        <v>165</v>
      </c>
      <c r="C271" s="23"/>
      <c r="D271" s="23"/>
      <c r="E271" s="24"/>
      <c r="F271" s="24"/>
      <c r="G271" s="24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9"/>
      <c r="BS271" s="59"/>
      <c r="BT271" s="59"/>
      <c r="BU271" s="59"/>
      <c r="BV271" s="59"/>
      <c r="BW271" s="59"/>
      <c r="BX271" s="59"/>
      <c r="BY271" s="59"/>
      <c r="BZ271" s="59"/>
      <c r="CA271" s="59"/>
      <c r="CB271" s="59"/>
      <c r="CC271" s="59"/>
      <c r="CD271" s="59"/>
      <c r="CE271" s="59"/>
      <c r="CF271" s="59"/>
      <c r="CG271" s="59"/>
      <c r="CH271" s="59"/>
      <c r="CI271" s="59"/>
      <c r="CJ271" s="59"/>
      <c r="CK271" s="59"/>
      <c r="CL271" s="59"/>
      <c r="CM271" s="59"/>
      <c r="CN271" s="59"/>
      <c r="CO271" s="59"/>
      <c r="CP271" s="59"/>
      <c r="CQ271" s="59"/>
      <c r="CR271" s="59"/>
      <c r="CS271" s="59"/>
      <c r="CT271" s="59"/>
      <c r="CU271" s="59"/>
      <c r="CV271" s="59"/>
      <c r="CW271" s="59"/>
      <c r="CX271" s="59"/>
      <c r="CY271" s="59"/>
      <c r="CZ271" s="59"/>
      <c r="DA271" s="59"/>
      <c r="DB271" s="59"/>
      <c r="DC271" s="59"/>
      <c r="DD271" s="59"/>
      <c r="DE271" s="59"/>
      <c r="DF271" s="59"/>
      <c r="DG271" s="59"/>
      <c r="DH271" s="59"/>
      <c r="DI271" s="59"/>
      <c r="DJ271" s="59"/>
      <c r="DK271" s="59"/>
      <c r="DL271" s="59"/>
      <c r="DM271" s="59"/>
      <c r="DN271" s="59"/>
      <c r="DO271" s="59"/>
      <c r="DP271" s="59"/>
      <c r="DQ271" s="59"/>
      <c r="DR271" s="59"/>
      <c r="DS271" s="59"/>
      <c r="DT271" s="59"/>
      <c r="DU271" s="59"/>
      <c r="DV271" s="59"/>
    </row>
    <row r="272" spans="1:126" s="3" customFormat="1" x14ac:dyDescent="0.3">
      <c r="A272" s="21"/>
      <c r="B272" s="21" t="s">
        <v>166</v>
      </c>
      <c r="C272" s="21"/>
      <c r="D272" s="21" t="s">
        <v>14</v>
      </c>
      <c r="E272" s="22">
        <f>102</f>
        <v>102</v>
      </c>
      <c r="F272" s="22"/>
      <c r="G272" s="22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9"/>
      <c r="BS272" s="59"/>
      <c r="BT272" s="59"/>
      <c r="BU272" s="59"/>
      <c r="BV272" s="59"/>
      <c r="BW272" s="59"/>
      <c r="BX272" s="59"/>
      <c r="BY272" s="59"/>
      <c r="BZ272" s="59"/>
      <c r="CA272" s="59"/>
      <c r="CB272" s="59"/>
      <c r="CC272" s="59"/>
      <c r="CD272" s="59"/>
      <c r="CE272" s="59"/>
      <c r="CF272" s="59"/>
      <c r="CG272" s="59"/>
      <c r="CH272" s="59"/>
      <c r="CI272" s="59"/>
      <c r="CJ272" s="59"/>
      <c r="CK272" s="59"/>
      <c r="CL272" s="59"/>
      <c r="CM272" s="59"/>
      <c r="CN272" s="59"/>
      <c r="CO272" s="59"/>
      <c r="CP272" s="59"/>
      <c r="CQ272" s="59"/>
      <c r="CR272" s="59"/>
      <c r="CS272" s="59"/>
      <c r="CT272" s="59"/>
      <c r="CU272" s="59"/>
      <c r="CV272" s="59"/>
      <c r="CW272" s="59"/>
      <c r="CX272" s="59"/>
      <c r="CY272" s="59"/>
      <c r="CZ272" s="59"/>
      <c r="DA272" s="59"/>
      <c r="DB272" s="59"/>
      <c r="DC272" s="59"/>
      <c r="DD272" s="59"/>
      <c r="DE272" s="59"/>
      <c r="DF272" s="59"/>
      <c r="DG272" s="59"/>
      <c r="DH272" s="59"/>
      <c r="DI272" s="59"/>
      <c r="DJ272" s="59"/>
      <c r="DK272" s="59"/>
      <c r="DL272" s="59"/>
      <c r="DM272" s="59"/>
      <c r="DN272" s="59"/>
      <c r="DO272" s="59"/>
      <c r="DP272" s="59"/>
      <c r="DQ272" s="59"/>
      <c r="DR272" s="59"/>
      <c r="DS272" s="59"/>
      <c r="DT272" s="59"/>
      <c r="DU272" s="59"/>
      <c r="DV272" s="59"/>
    </row>
    <row r="273" spans="1:126" x14ac:dyDescent="0.3">
      <c r="A273" s="5"/>
      <c r="B273" s="5" t="s">
        <v>122</v>
      </c>
      <c r="C273" s="5"/>
      <c r="D273" s="5" t="s">
        <v>10</v>
      </c>
      <c r="E273" s="15">
        <f>3983.5</f>
        <v>3983.5</v>
      </c>
      <c r="F273" s="15"/>
      <c r="G273" s="15"/>
    </row>
    <row r="274" spans="1:126" x14ac:dyDescent="0.3">
      <c r="A274" s="5"/>
      <c r="B274" s="5" t="s">
        <v>123</v>
      </c>
      <c r="C274" s="5"/>
      <c r="D274" s="5" t="s">
        <v>8</v>
      </c>
      <c r="E274" s="15">
        <f>877.4</f>
        <v>877.4</v>
      </c>
      <c r="F274" s="15"/>
      <c r="G274" s="15"/>
    </row>
    <row r="275" spans="1:126" x14ac:dyDescent="0.3">
      <c r="A275" s="5"/>
      <c r="B275" s="5" t="s">
        <v>124</v>
      </c>
      <c r="C275" s="5"/>
      <c r="D275" s="5" t="s">
        <v>8</v>
      </c>
      <c r="E275" s="15">
        <f>105.1</f>
        <v>105.1</v>
      </c>
      <c r="F275" s="15"/>
      <c r="G275" s="15"/>
    </row>
    <row r="276" spans="1:126" ht="31.2" x14ac:dyDescent="0.3">
      <c r="A276" s="5"/>
      <c r="B276" s="11" t="s">
        <v>126</v>
      </c>
      <c r="C276" s="5"/>
      <c r="D276" s="5" t="s">
        <v>14</v>
      </c>
      <c r="E276" s="15">
        <f>36</f>
        <v>36</v>
      </c>
      <c r="F276" s="15"/>
      <c r="G276" s="15"/>
    </row>
    <row r="277" spans="1:126" x14ac:dyDescent="0.3">
      <c r="A277" s="5"/>
      <c r="B277" s="11" t="s">
        <v>167</v>
      </c>
      <c r="C277" s="5"/>
      <c r="D277" s="5" t="s">
        <v>8</v>
      </c>
      <c r="E277" s="15">
        <f>86.9</f>
        <v>86.9</v>
      </c>
      <c r="F277" s="15"/>
      <c r="G277" s="15"/>
    </row>
    <row r="278" spans="1:126" x14ac:dyDescent="0.3">
      <c r="A278" s="5"/>
      <c r="B278" s="5" t="s">
        <v>125</v>
      </c>
      <c r="C278" s="5"/>
      <c r="D278" s="5" t="s">
        <v>8</v>
      </c>
      <c r="E278" s="15">
        <f>36.4</f>
        <v>36.4</v>
      </c>
      <c r="F278" s="15"/>
      <c r="G278" s="15"/>
    </row>
    <row r="279" spans="1:126" x14ac:dyDescent="0.3">
      <c r="A279" s="5"/>
      <c r="B279" s="5" t="s">
        <v>122</v>
      </c>
      <c r="C279" s="5"/>
      <c r="D279" s="5" t="s">
        <v>10</v>
      </c>
      <c r="E279" s="15">
        <f>47.7</f>
        <v>47.7</v>
      </c>
      <c r="F279" s="15"/>
      <c r="G279" s="15"/>
    </row>
    <row r="280" spans="1:126" x14ac:dyDescent="0.3">
      <c r="A280" s="5"/>
      <c r="B280" s="5" t="s">
        <v>123</v>
      </c>
      <c r="C280" s="5"/>
      <c r="D280" s="5" t="s">
        <v>8</v>
      </c>
      <c r="E280" s="15">
        <f>8.8</f>
        <v>8.8000000000000007</v>
      </c>
      <c r="F280" s="15"/>
      <c r="G280" s="15"/>
    </row>
    <row r="281" spans="1:126" x14ac:dyDescent="0.3">
      <c r="A281" s="5"/>
      <c r="B281" s="5" t="s">
        <v>124</v>
      </c>
      <c r="C281" s="5"/>
      <c r="D281" s="5" t="s">
        <v>8</v>
      </c>
      <c r="E281" s="15">
        <f>1.4</f>
        <v>1.4</v>
      </c>
      <c r="F281" s="15"/>
      <c r="G281" s="15"/>
    </row>
    <row r="282" spans="1:126" ht="31.2" x14ac:dyDescent="0.3">
      <c r="A282" s="5"/>
      <c r="B282" s="11" t="s">
        <v>126</v>
      </c>
      <c r="C282" s="5"/>
      <c r="D282" s="5" t="s">
        <v>14</v>
      </c>
      <c r="E282" s="15">
        <f>72</f>
        <v>72</v>
      </c>
      <c r="F282" s="15"/>
      <c r="G282" s="15"/>
    </row>
    <row r="283" spans="1:126" x14ac:dyDescent="0.3">
      <c r="A283" s="5"/>
      <c r="B283" s="5" t="s">
        <v>123</v>
      </c>
      <c r="C283" s="5"/>
      <c r="D283" s="5" t="s">
        <v>8</v>
      </c>
      <c r="E283" s="15">
        <f>18</f>
        <v>18</v>
      </c>
      <c r="F283" s="15"/>
      <c r="G283" s="15"/>
    </row>
    <row r="284" spans="1:126" x14ac:dyDescent="0.3">
      <c r="A284" s="5"/>
      <c r="B284" s="5" t="s">
        <v>124</v>
      </c>
      <c r="C284" s="5"/>
      <c r="D284" s="5" t="s">
        <v>8</v>
      </c>
      <c r="E284" s="15">
        <f>2.8</f>
        <v>2.8</v>
      </c>
      <c r="F284" s="15"/>
      <c r="G284" s="15"/>
    </row>
    <row r="285" spans="1:126" ht="31.2" x14ac:dyDescent="0.3">
      <c r="A285" s="5"/>
      <c r="B285" s="11" t="s">
        <v>126</v>
      </c>
      <c r="C285" s="5"/>
      <c r="D285" s="5" t="s">
        <v>14</v>
      </c>
      <c r="E285" s="15">
        <f>144</f>
        <v>144</v>
      </c>
      <c r="F285" s="15"/>
      <c r="G285" s="15"/>
    </row>
    <row r="286" spans="1:126" s="3" customFormat="1" x14ac:dyDescent="0.3">
      <c r="A286" s="21"/>
      <c r="B286" s="21" t="s">
        <v>127</v>
      </c>
      <c r="C286" s="21"/>
      <c r="D286" s="21" t="s">
        <v>14</v>
      </c>
      <c r="E286" s="22"/>
      <c r="F286" s="22"/>
      <c r="G286" s="22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9"/>
      <c r="BS286" s="59"/>
      <c r="BT286" s="59"/>
      <c r="BU286" s="59"/>
      <c r="BV286" s="59"/>
      <c r="BW286" s="59"/>
      <c r="BX286" s="59"/>
      <c r="BY286" s="59"/>
      <c r="BZ286" s="59"/>
      <c r="CA286" s="59"/>
      <c r="CB286" s="59"/>
      <c r="CC286" s="59"/>
      <c r="CD286" s="59"/>
      <c r="CE286" s="59"/>
      <c r="CF286" s="59"/>
      <c r="CG286" s="59"/>
      <c r="CH286" s="59"/>
      <c r="CI286" s="59"/>
      <c r="CJ286" s="59"/>
      <c r="CK286" s="59"/>
      <c r="CL286" s="59"/>
      <c r="CM286" s="59"/>
      <c r="CN286" s="59"/>
      <c r="CO286" s="59"/>
      <c r="CP286" s="59"/>
      <c r="CQ286" s="59"/>
      <c r="CR286" s="59"/>
      <c r="CS286" s="59"/>
      <c r="CT286" s="59"/>
      <c r="CU286" s="59"/>
      <c r="CV286" s="59"/>
      <c r="CW286" s="59"/>
      <c r="CX286" s="59"/>
      <c r="CY286" s="59"/>
      <c r="CZ286" s="59"/>
      <c r="DA286" s="59"/>
      <c r="DB286" s="59"/>
      <c r="DC286" s="59"/>
      <c r="DD286" s="59"/>
      <c r="DE286" s="59"/>
      <c r="DF286" s="59"/>
      <c r="DG286" s="59"/>
      <c r="DH286" s="59"/>
      <c r="DI286" s="59"/>
      <c r="DJ286" s="59"/>
      <c r="DK286" s="59"/>
      <c r="DL286" s="59"/>
      <c r="DM286" s="59"/>
      <c r="DN286" s="59"/>
      <c r="DO286" s="59"/>
      <c r="DP286" s="59"/>
      <c r="DQ286" s="59"/>
      <c r="DR286" s="59"/>
      <c r="DS286" s="59"/>
      <c r="DT286" s="59"/>
      <c r="DU286" s="59"/>
      <c r="DV286" s="59"/>
    </row>
    <row r="287" spans="1:126" x14ac:dyDescent="0.3">
      <c r="A287" s="5"/>
      <c r="B287" s="5" t="s">
        <v>128</v>
      </c>
      <c r="C287" s="5"/>
      <c r="D287" s="5" t="s">
        <v>10</v>
      </c>
      <c r="E287" s="15">
        <f>3307.4</f>
        <v>3307.4</v>
      </c>
      <c r="F287" s="15"/>
      <c r="G287" s="15"/>
    </row>
    <row r="288" spans="1:126" x14ac:dyDescent="0.3">
      <c r="A288" s="5"/>
      <c r="B288" s="5" t="s">
        <v>129</v>
      </c>
      <c r="C288" s="5"/>
      <c r="D288" s="5" t="s">
        <v>8</v>
      </c>
      <c r="E288" s="15">
        <f>256.7</f>
        <v>256.7</v>
      </c>
      <c r="F288" s="15"/>
      <c r="G288" s="15"/>
    </row>
    <row r="289" spans="1:7" x14ac:dyDescent="0.3">
      <c r="A289" s="5"/>
      <c r="B289" s="5" t="s">
        <v>130</v>
      </c>
      <c r="C289" s="5"/>
      <c r="D289" s="5" t="s">
        <v>8</v>
      </c>
      <c r="E289" s="15">
        <f>34</f>
        <v>34</v>
      </c>
      <c r="F289" s="15"/>
      <c r="G289" s="15"/>
    </row>
    <row r="290" spans="1:7" x14ac:dyDescent="0.3">
      <c r="A290" s="5"/>
      <c r="B290" s="5" t="s">
        <v>131</v>
      </c>
      <c r="C290" s="5"/>
      <c r="D290" s="5" t="s">
        <v>8</v>
      </c>
      <c r="E290" s="15">
        <f>63.1</f>
        <v>63.1</v>
      </c>
      <c r="F290" s="15"/>
      <c r="G290" s="15"/>
    </row>
    <row r="291" spans="1:7" x14ac:dyDescent="0.3">
      <c r="A291" s="5"/>
      <c r="B291" s="5" t="s">
        <v>132</v>
      </c>
      <c r="C291" s="5"/>
      <c r="D291" s="5" t="s">
        <v>8</v>
      </c>
      <c r="E291" s="15">
        <f>2.1</f>
        <v>2.1</v>
      </c>
      <c r="F291" s="15"/>
      <c r="G291" s="15"/>
    </row>
    <row r="292" spans="1:7" ht="31.2" x14ac:dyDescent="0.3">
      <c r="A292" s="5"/>
      <c r="B292" s="11" t="s">
        <v>168</v>
      </c>
      <c r="C292" s="5"/>
      <c r="D292" s="5" t="s">
        <v>14</v>
      </c>
      <c r="E292" s="15">
        <f>1845</f>
        <v>1845</v>
      </c>
      <c r="F292" s="15"/>
      <c r="G292" s="15"/>
    </row>
    <row r="293" spans="1:7" ht="31.2" x14ac:dyDescent="0.3">
      <c r="A293" s="5"/>
      <c r="B293" s="11" t="s">
        <v>133</v>
      </c>
      <c r="C293" s="5"/>
      <c r="D293" s="5" t="s">
        <v>14</v>
      </c>
      <c r="E293" s="15">
        <f>1009</f>
        <v>1009</v>
      </c>
      <c r="F293" s="15"/>
      <c r="G293" s="15"/>
    </row>
    <row r="294" spans="1:7" x14ac:dyDescent="0.3">
      <c r="A294" s="21"/>
      <c r="B294" s="21" t="s">
        <v>134</v>
      </c>
      <c r="C294" s="21"/>
      <c r="D294" s="21" t="s">
        <v>14</v>
      </c>
      <c r="E294" s="22">
        <f>112</f>
        <v>112</v>
      </c>
      <c r="F294" s="22"/>
      <c r="G294" s="22"/>
    </row>
    <row r="295" spans="1:7" x14ac:dyDescent="0.3">
      <c r="A295" s="5"/>
      <c r="B295" s="5" t="s">
        <v>135</v>
      </c>
      <c r="C295" s="5"/>
      <c r="D295" s="5" t="s">
        <v>10</v>
      </c>
      <c r="E295" s="15">
        <f>315.5</f>
        <v>315.5</v>
      </c>
      <c r="F295" s="15"/>
      <c r="G295" s="15"/>
    </row>
    <row r="296" spans="1:7" x14ac:dyDescent="0.3">
      <c r="A296" s="5"/>
      <c r="B296" s="5" t="s">
        <v>136</v>
      </c>
      <c r="C296" s="5"/>
      <c r="D296" s="5" t="s">
        <v>8</v>
      </c>
      <c r="E296" s="15">
        <f>6</f>
        <v>6</v>
      </c>
      <c r="F296" s="15"/>
      <c r="G296" s="15"/>
    </row>
    <row r="297" spans="1:7" x14ac:dyDescent="0.3">
      <c r="A297" s="5"/>
      <c r="B297" s="5" t="s">
        <v>137</v>
      </c>
      <c r="C297" s="5"/>
      <c r="D297" s="5" t="s">
        <v>8</v>
      </c>
      <c r="E297" s="15">
        <f>2.7</f>
        <v>2.7</v>
      </c>
      <c r="F297" s="15"/>
      <c r="G297" s="15"/>
    </row>
    <row r="298" spans="1:7" x14ac:dyDescent="0.3">
      <c r="A298" s="5"/>
      <c r="B298" s="5" t="s">
        <v>138</v>
      </c>
      <c r="C298" s="5"/>
      <c r="D298" s="5" t="s">
        <v>8</v>
      </c>
      <c r="E298" s="15">
        <f>3.1</f>
        <v>3.1</v>
      </c>
      <c r="F298" s="15"/>
      <c r="G298" s="15"/>
    </row>
    <row r="299" spans="1:7" x14ac:dyDescent="0.3">
      <c r="A299" s="5"/>
      <c r="B299" s="5" t="s">
        <v>139</v>
      </c>
      <c r="C299" s="5"/>
      <c r="D299" s="5" t="s">
        <v>8</v>
      </c>
      <c r="E299" s="15">
        <f>0.7</f>
        <v>0.7</v>
      </c>
      <c r="F299" s="15"/>
      <c r="G299" s="15"/>
    </row>
    <row r="300" spans="1:7" x14ac:dyDescent="0.3">
      <c r="A300" s="21"/>
      <c r="B300" s="21" t="s">
        <v>140</v>
      </c>
      <c r="C300" s="21"/>
      <c r="D300" s="21" t="s">
        <v>10</v>
      </c>
      <c r="E300" s="22"/>
      <c r="F300" s="22"/>
      <c r="G300" s="22"/>
    </row>
    <row r="301" spans="1:7" x14ac:dyDescent="0.3">
      <c r="A301" s="5"/>
      <c r="B301" s="5" t="s">
        <v>141</v>
      </c>
      <c r="C301" s="5"/>
      <c r="D301" s="5" t="s">
        <v>10</v>
      </c>
      <c r="E301" s="15">
        <f>1486.4</f>
        <v>1486.4</v>
      </c>
      <c r="F301" s="15"/>
      <c r="G301" s="15"/>
    </row>
    <row r="302" spans="1:7" x14ac:dyDescent="0.3">
      <c r="A302" s="5"/>
      <c r="B302" s="5" t="s">
        <v>123</v>
      </c>
      <c r="C302" s="5"/>
      <c r="D302" s="5" t="s">
        <v>8</v>
      </c>
      <c r="E302" s="15">
        <f>141.2</f>
        <v>141.19999999999999</v>
      </c>
      <c r="F302" s="15"/>
      <c r="G302" s="15"/>
    </row>
    <row r="303" spans="1:7" x14ac:dyDescent="0.3">
      <c r="A303" s="5"/>
      <c r="B303" s="5" t="s">
        <v>124</v>
      </c>
      <c r="C303" s="5"/>
      <c r="D303" s="5" t="s">
        <v>8</v>
      </c>
      <c r="E303" s="15">
        <f>10.6</f>
        <v>10.6</v>
      </c>
      <c r="F303" s="15"/>
      <c r="G303" s="15"/>
    </row>
    <row r="304" spans="1:7" x14ac:dyDescent="0.3">
      <c r="A304" s="5"/>
      <c r="B304" s="5" t="s">
        <v>142</v>
      </c>
      <c r="C304" s="5"/>
      <c r="D304" s="5" t="s">
        <v>8</v>
      </c>
      <c r="E304" s="15">
        <f>8.1</f>
        <v>8.1</v>
      </c>
      <c r="F304" s="15"/>
      <c r="G304" s="15"/>
    </row>
    <row r="305" spans="1:7" ht="31.2" x14ac:dyDescent="0.3">
      <c r="A305" s="5"/>
      <c r="B305" s="11" t="s">
        <v>143</v>
      </c>
      <c r="C305" s="5"/>
      <c r="D305" s="5" t="s">
        <v>14</v>
      </c>
      <c r="E305" s="15">
        <f>1139</f>
        <v>1139</v>
      </c>
      <c r="F305" s="15"/>
      <c r="G305" s="15"/>
    </row>
    <row r="306" spans="1:7" x14ac:dyDescent="0.3">
      <c r="A306" s="21"/>
      <c r="B306" s="21" t="s">
        <v>169</v>
      </c>
      <c r="C306" s="21"/>
      <c r="D306" s="21" t="s">
        <v>14</v>
      </c>
      <c r="E306" s="22"/>
      <c r="F306" s="22"/>
      <c r="G306" s="22"/>
    </row>
    <row r="307" spans="1:7" x14ac:dyDescent="0.3">
      <c r="A307" s="5"/>
      <c r="B307" s="5" t="s">
        <v>170</v>
      </c>
      <c r="C307" s="5"/>
      <c r="D307" s="5" t="s">
        <v>10</v>
      </c>
      <c r="E307" s="15">
        <f>1315.8</f>
        <v>1315.8</v>
      </c>
      <c r="F307" s="15"/>
      <c r="G307" s="15"/>
    </row>
    <row r="308" spans="1:7" x14ac:dyDescent="0.3">
      <c r="A308" s="5"/>
      <c r="B308" s="5" t="s">
        <v>129</v>
      </c>
      <c r="C308" s="5"/>
      <c r="D308" s="5" t="s">
        <v>8</v>
      </c>
      <c r="E308" s="15">
        <f>131.6</f>
        <v>131.6</v>
      </c>
      <c r="F308" s="15"/>
      <c r="G308" s="15"/>
    </row>
    <row r="309" spans="1:7" x14ac:dyDescent="0.3">
      <c r="A309" s="5"/>
      <c r="B309" s="5" t="s">
        <v>124</v>
      </c>
      <c r="C309" s="5"/>
      <c r="D309" s="5" t="s">
        <v>8</v>
      </c>
      <c r="E309" s="15">
        <f>43.1</f>
        <v>43.1</v>
      </c>
      <c r="F309" s="15"/>
      <c r="G309" s="15"/>
    </row>
    <row r="310" spans="1:7" x14ac:dyDescent="0.3">
      <c r="A310" s="5"/>
      <c r="B310" s="5" t="s">
        <v>142</v>
      </c>
      <c r="C310" s="5"/>
      <c r="D310" s="5" t="s">
        <v>8</v>
      </c>
      <c r="E310" s="15">
        <f>18.5</f>
        <v>18.5</v>
      </c>
      <c r="F310" s="15"/>
      <c r="G310" s="15"/>
    </row>
    <row r="311" spans="1:7" ht="31.2" x14ac:dyDescent="0.3">
      <c r="A311" s="5"/>
      <c r="B311" s="11" t="s">
        <v>168</v>
      </c>
      <c r="C311" s="5"/>
      <c r="D311" s="5" t="s">
        <v>14</v>
      </c>
      <c r="E311" s="15">
        <f>1040</f>
        <v>1040</v>
      </c>
      <c r="F311" s="15"/>
      <c r="G311" s="15"/>
    </row>
    <row r="312" spans="1:7" x14ac:dyDescent="0.3">
      <c r="A312" s="5"/>
      <c r="B312" s="11" t="s">
        <v>172</v>
      </c>
      <c r="C312" s="5"/>
      <c r="D312" s="5" t="s">
        <v>8</v>
      </c>
      <c r="E312" s="15">
        <f>45.5</f>
        <v>45.5</v>
      </c>
      <c r="F312" s="15"/>
      <c r="G312" s="15"/>
    </row>
    <row r="313" spans="1:7" ht="31.2" x14ac:dyDescent="0.3">
      <c r="A313" s="5"/>
      <c r="B313" s="11" t="s">
        <v>173</v>
      </c>
      <c r="C313" s="5"/>
      <c r="D313" s="5" t="s">
        <v>14</v>
      </c>
      <c r="E313" s="15">
        <f>80</f>
        <v>80</v>
      </c>
      <c r="F313" s="15"/>
      <c r="G313" s="15"/>
    </row>
    <row r="314" spans="1:7" x14ac:dyDescent="0.3">
      <c r="A314" s="5"/>
      <c r="B314" s="11" t="s">
        <v>174</v>
      </c>
      <c r="C314" s="5"/>
      <c r="D314" s="5" t="s">
        <v>74</v>
      </c>
      <c r="E314" s="15">
        <f>1172</f>
        <v>1172</v>
      </c>
      <c r="F314" s="15"/>
      <c r="G314" s="15"/>
    </row>
    <row r="315" spans="1:7" x14ac:dyDescent="0.3">
      <c r="A315" s="21"/>
      <c r="B315" s="21" t="s">
        <v>171</v>
      </c>
      <c r="C315" s="21"/>
      <c r="D315" s="21" t="s">
        <v>14</v>
      </c>
      <c r="E315" s="22">
        <f>2</f>
        <v>2</v>
      </c>
      <c r="F315" s="22"/>
      <c r="G315" s="22"/>
    </row>
    <row r="316" spans="1:7" x14ac:dyDescent="0.3">
      <c r="A316" s="5"/>
      <c r="B316" s="5" t="s">
        <v>170</v>
      </c>
      <c r="C316" s="5"/>
      <c r="D316" s="5" t="s">
        <v>10</v>
      </c>
      <c r="E316" s="15">
        <f>2.9</f>
        <v>2.9</v>
      </c>
      <c r="F316" s="15"/>
      <c r="G316" s="15"/>
    </row>
    <row r="317" spans="1:7" x14ac:dyDescent="0.3">
      <c r="A317" s="5"/>
      <c r="B317" s="5" t="s">
        <v>124</v>
      </c>
      <c r="C317" s="5"/>
      <c r="D317" s="5" t="s">
        <v>8</v>
      </c>
      <c r="E317" s="15">
        <f>0.2</f>
        <v>0.2</v>
      </c>
      <c r="F317" s="15"/>
      <c r="G317" s="15"/>
    </row>
    <row r="318" spans="1:7" x14ac:dyDescent="0.3">
      <c r="A318" s="5"/>
      <c r="B318" s="5" t="s">
        <v>175</v>
      </c>
      <c r="C318" s="5"/>
      <c r="D318" s="5" t="s">
        <v>8</v>
      </c>
      <c r="E318" s="15">
        <f>0.2</f>
        <v>0.2</v>
      </c>
      <c r="F318" s="15"/>
      <c r="G318" s="15"/>
    </row>
    <row r="319" spans="1:7" x14ac:dyDescent="0.3">
      <c r="A319" s="21"/>
      <c r="B319" s="21" t="s">
        <v>176</v>
      </c>
      <c r="C319" s="21"/>
      <c r="D319" s="21"/>
      <c r="E319" s="22"/>
      <c r="F319" s="22"/>
      <c r="G319" s="22"/>
    </row>
    <row r="320" spans="1:7" x14ac:dyDescent="0.3">
      <c r="A320" s="5"/>
      <c r="B320" s="5" t="s">
        <v>170</v>
      </c>
      <c r="C320" s="5"/>
      <c r="D320" s="5" t="s">
        <v>10</v>
      </c>
      <c r="E320" s="15">
        <f>4763.7</f>
        <v>4763.7</v>
      </c>
      <c r="F320" s="15"/>
      <c r="G320" s="15"/>
    </row>
    <row r="321" spans="1:7" x14ac:dyDescent="0.3">
      <c r="A321" s="5"/>
      <c r="B321" s="5" t="s">
        <v>129</v>
      </c>
      <c r="C321" s="5"/>
      <c r="D321" s="5" t="s">
        <v>8</v>
      </c>
      <c r="E321" s="15">
        <f>1429.1</f>
        <v>1429.1</v>
      </c>
      <c r="F321" s="15"/>
      <c r="G321" s="15"/>
    </row>
    <row r="322" spans="1:7" x14ac:dyDescent="0.3">
      <c r="A322" s="5"/>
      <c r="B322" s="5" t="s">
        <v>131</v>
      </c>
      <c r="C322" s="5"/>
      <c r="D322" s="5" t="s">
        <v>8</v>
      </c>
      <c r="E322" s="15">
        <f>6.7</f>
        <v>6.7</v>
      </c>
      <c r="F322" s="15"/>
      <c r="G322" s="15"/>
    </row>
    <row r="323" spans="1:7" x14ac:dyDescent="0.3">
      <c r="A323" s="5"/>
      <c r="B323" s="5" t="s">
        <v>124</v>
      </c>
      <c r="C323" s="5"/>
      <c r="D323" s="5" t="s">
        <v>8</v>
      </c>
      <c r="E323" s="15">
        <f>274.3</f>
        <v>274.3</v>
      </c>
      <c r="F323" s="15"/>
      <c r="G323" s="15"/>
    </row>
    <row r="324" spans="1:7" x14ac:dyDescent="0.3">
      <c r="A324" s="5"/>
      <c r="B324" s="5" t="s">
        <v>142</v>
      </c>
      <c r="C324" s="5"/>
      <c r="D324" s="5" t="s">
        <v>8</v>
      </c>
      <c r="E324" s="15">
        <f>91.3</f>
        <v>91.3</v>
      </c>
      <c r="F324" s="15"/>
      <c r="G324" s="15"/>
    </row>
    <row r="325" spans="1:7" ht="31.2" x14ac:dyDescent="0.3">
      <c r="A325" s="5"/>
      <c r="B325" s="11" t="s">
        <v>168</v>
      </c>
      <c r="C325" s="5"/>
      <c r="D325" s="5" t="s">
        <v>14</v>
      </c>
      <c r="E325" s="15">
        <f>9437</f>
        <v>9437</v>
      </c>
      <c r="F325" s="15"/>
      <c r="G325" s="15"/>
    </row>
    <row r="326" spans="1:7" x14ac:dyDescent="0.3">
      <c r="A326" s="21"/>
      <c r="B326" s="21" t="s">
        <v>177</v>
      </c>
      <c r="C326" s="21"/>
      <c r="D326" s="21"/>
      <c r="E326" s="22"/>
      <c r="F326" s="22"/>
      <c r="G326" s="22"/>
    </row>
    <row r="327" spans="1:7" ht="31.2" x14ac:dyDescent="0.3">
      <c r="A327" s="5"/>
      <c r="B327" s="11" t="s">
        <v>178</v>
      </c>
      <c r="C327" s="5"/>
      <c r="D327" s="5" t="s">
        <v>8</v>
      </c>
      <c r="E327" s="15">
        <f>71.5</f>
        <v>71.5</v>
      </c>
      <c r="F327" s="15"/>
      <c r="G327" s="15"/>
    </row>
    <row r="328" spans="1:7" x14ac:dyDescent="0.3">
      <c r="A328" s="21"/>
      <c r="B328" s="21" t="s">
        <v>179</v>
      </c>
      <c r="C328" s="21"/>
      <c r="D328" s="21" t="s">
        <v>69</v>
      </c>
      <c r="E328" s="22">
        <f>2802</f>
        <v>2802</v>
      </c>
      <c r="F328" s="22"/>
      <c r="G328" s="22"/>
    </row>
    <row r="329" spans="1:7" x14ac:dyDescent="0.3">
      <c r="A329" s="5"/>
      <c r="B329" s="5" t="s">
        <v>153</v>
      </c>
      <c r="C329" s="5"/>
      <c r="D329" s="5" t="s">
        <v>72</v>
      </c>
      <c r="E329" s="15">
        <f>$E$328*0.563*1.4</f>
        <v>2208.5363999999995</v>
      </c>
      <c r="F329" s="15"/>
      <c r="G329" s="15"/>
    </row>
    <row r="330" spans="1:7" x14ac:dyDescent="0.3">
      <c r="A330" s="5"/>
      <c r="B330" s="5" t="s">
        <v>154</v>
      </c>
      <c r="C330" s="5"/>
      <c r="D330" s="5" t="s">
        <v>72</v>
      </c>
      <c r="E330" s="15">
        <f>$E$328*0.299*1.4</f>
        <v>1172.9171999999999</v>
      </c>
      <c r="F330" s="15"/>
      <c r="G330" s="15"/>
    </row>
    <row r="331" spans="1:7" x14ac:dyDescent="0.3">
      <c r="A331" s="5"/>
      <c r="B331" s="5" t="s">
        <v>155</v>
      </c>
      <c r="C331" s="5"/>
      <c r="D331" s="5" t="s">
        <v>72</v>
      </c>
      <c r="E331" s="15">
        <f>(E329+E330)*0.1</f>
        <v>338.14535999999998</v>
      </c>
      <c r="F331" s="15"/>
      <c r="G331" s="15"/>
    </row>
    <row r="332" spans="1:7" x14ac:dyDescent="0.3">
      <c r="A332" s="21"/>
      <c r="B332" s="21" t="s">
        <v>180</v>
      </c>
      <c r="C332" s="21"/>
      <c r="D332" s="21"/>
      <c r="E332" s="22"/>
      <c r="F332" s="22"/>
      <c r="G332" s="22"/>
    </row>
    <row r="333" spans="1:7" ht="31.2" x14ac:dyDescent="0.3">
      <c r="A333" s="5"/>
      <c r="B333" s="11" t="s">
        <v>181</v>
      </c>
      <c r="C333" s="5"/>
      <c r="D333" s="5" t="s">
        <v>8</v>
      </c>
      <c r="E333" s="15">
        <f>227.9</f>
        <v>227.9</v>
      </c>
      <c r="F333" s="15"/>
      <c r="G333" s="15"/>
    </row>
    <row r="334" spans="1:7" x14ac:dyDescent="0.3">
      <c r="A334" s="5"/>
      <c r="B334" s="5" t="s">
        <v>182</v>
      </c>
      <c r="C334" s="5"/>
      <c r="D334" s="5" t="s">
        <v>8</v>
      </c>
      <c r="E334" s="15">
        <v>4</v>
      </c>
      <c r="F334" s="15"/>
      <c r="G334" s="15"/>
    </row>
    <row r="335" spans="1:7" x14ac:dyDescent="0.3">
      <c r="A335" s="21"/>
      <c r="B335" s="21" t="s">
        <v>183</v>
      </c>
      <c r="C335" s="21"/>
      <c r="D335" s="21" t="s">
        <v>69</v>
      </c>
      <c r="E335" s="22">
        <f>1301.7</f>
        <v>1301.7</v>
      </c>
      <c r="F335" s="22"/>
      <c r="G335" s="22"/>
    </row>
    <row r="336" spans="1:7" x14ac:dyDescent="0.3">
      <c r="A336" s="5"/>
      <c r="B336" s="5" t="s">
        <v>153</v>
      </c>
      <c r="C336" s="5"/>
      <c r="D336" s="5" t="s">
        <v>72</v>
      </c>
      <c r="E336" s="15">
        <f>$E$335*0.563*1.4</f>
        <v>1025.9999399999999</v>
      </c>
      <c r="F336" s="15"/>
      <c r="G336" s="15"/>
    </row>
    <row r="337" spans="1:126" x14ac:dyDescent="0.3">
      <c r="A337" s="5"/>
      <c r="B337" s="5" t="s">
        <v>154</v>
      </c>
      <c r="C337" s="5"/>
      <c r="D337" s="5" t="s">
        <v>72</v>
      </c>
      <c r="E337" s="15">
        <f>$E$335*0.299*1.4</f>
        <v>544.89161999999999</v>
      </c>
      <c r="F337" s="15"/>
      <c r="G337" s="15"/>
    </row>
    <row r="338" spans="1:126" x14ac:dyDescent="0.3">
      <c r="A338" s="5"/>
      <c r="B338" s="5" t="s">
        <v>155</v>
      </c>
      <c r="C338" s="5"/>
      <c r="D338" s="5" t="s">
        <v>72</v>
      </c>
      <c r="E338" s="15">
        <f>(E336+E337)*0.1</f>
        <v>157.089156</v>
      </c>
      <c r="F338" s="15"/>
      <c r="G338" s="15"/>
    </row>
    <row r="339" spans="1:126" x14ac:dyDescent="0.3">
      <c r="A339" s="21"/>
      <c r="B339" s="21" t="s">
        <v>184</v>
      </c>
      <c r="C339" s="21"/>
      <c r="D339" s="21" t="s">
        <v>69</v>
      </c>
      <c r="E339" s="22">
        <f>130.2</f>
        <v>130.19999999999999</v>
      </c>
      <c r="F339" s="22"/>
      <c r="G339" s="22"/>
    </row>
    <row r="340" spans="1:126" x14ac:dyDescent="0.3">
      <c r="A340" s="5"/>
      <c r="B340" s="5" t="s">
        <v>153</v>
      </c>
      <c r="C340" s="5"/>
      <c r="D340" s="5" t="s">
        <v>72</v>
      </c>
      <c r="E340" s="15">
        <v>102.62363999999998</v>
      </c>
      <c r="F340" s="15"/>
      <c r="G340" s="15"/>
    </row>
    <row r="341" spans="1:126" x14ac:dyDescent="0.3">
      <c r="A341" s="5"/>
      <c r="B341" s="5" t="s">
        <v>155</v>
      </c>
      <c r="C341" s="5"/>
      <c r="D341" s="5" t="s">
        <v>72</v>
      </c>
      <c r="E341" s="15">
        <v>10.262363999999998</v>
      </c>
      <c r="F341" s="15"/>
      <c r="G341" s="15"/>
    </row>
    <row r="342" spans="1:126" x14ac:dyDescent="0.3">
      <c r="A342" s="21"/>
      <c r="B342" s="21" t="s">
        <v>164</v>
      </c>
      <c r="C342" s="21"/>
      <c r="D342" s="21" t="s">
        <v>158</v>
      </c>
      <c r="E342" s="22"/>
      <c r="F342" s="22"/>
      <c r="G342" s="22"/>
    </row>
    <row r="343" spans="1:126" x14ac:dyDescent="0.3">
      <c r="A343" s="5"/>
      <c r="B343" s="5" t="s">
        <v>152</v>
      </c>
      <c r="C343" s="5"/>
      <c r="D343" s="5" t="s">
        <v>8</v>
      </c>
      <c r="E343" s="15">
        <f>1</f>
        <v>1</v>
      </c>
      <c r="F343" s="15"/>
      <c r="G343" s="15"/>
    </row>
    <row r="344" spans="1:126" x14ac:dyDescent="0.3">
      <c r="A344" s="21"/>
      <c r="B344" s="21" t="s">
        <v>163</v>
      </c>
      <c r="C344" s="21"/>
      <c r="D344" s="21" t="s">
        <v>69</v>
      </c>
      <c r="E344" s="22">
        <f>36</f>
        <v>36</v>
      </c>
      <c r="F344" s="22"/>
      <c r="G344" s="22"/>
    </row>
    <row r="345" spans="1:126" x14ac:dyDescent="0.3">
      <c r="A345" s="5"/>
      <c r="B345" s="5" t="s">
        <v>153</v>
      </c>
      <c r="C345" s="5"/>
      <c r="D345" s="5" t="s">
        <v>72</v>
      </c>
      <c r="E345" s="15">
        <v>28.375199999999996</v>
      </c>
      <c r="F345" s="15"/>
      <c r="G345" s="15"/>
    </row>
    <row r="346" spans="1:126" x14ac:dyDescent="0.3">
      <c r="A346" s="5"/>
      <c r="B346" s="5" t="s">
        <v>154</v>
      </c>
      <c r="C346" s="5"/>
      <c r="D346" s="5" t="s">
        <v>72</v>
      </c>
      <c r="E346" s="15">
        <v>15.069599999999999</v>
      </c>
      <c r="F346" s="15"/>
      <c r="G346" s="15"/>
    </row>
    <row r="347" spans="1:126" x14ac:dyDescent="0.3">
      <c r="A347" s="5"/>
      <c r="B347" s="5" t="s">
        <v>155</v>
      </c>
      <c r="C347" s="5"/>
      <c r="D347" s="5" t="s">
        <v>72</v>
      </c>
      <c r="E347" s="15">
        <v>4.3444799999999999</v>
      </c>
      <c r="F347" s="15"/>
      <c r="G347" s="15"/>
    </row>
    <row r="348" spans="1:126" s="25" customFormat="1" x14ac:dyDescent="0.3">
      <c r="A348" s="23"/>
      <c r="B348" s="23" t="s">
        <v>185</v>
      </c>
      <c r="C348" s="23"/>
      <c r="D348" s="23"/>
      <c r="E348" s="24"/>
      <c r="F348" s="24"/>
      <c r="G348" s="24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  <c r="AX348" s="59"/>
      <c r="AY348" s="59"/>
      <c r="AZ348" s="59"/>
      <c r="BA348" s="59"/>
      <c r="BB348" s="59"/>
      <c r="BC348" s="59"/>
      <c r="BD348" s="59"/>
      <c r="BE348" s="59"/>
      <c r="BF348" s="59"/>
      <c r="BG348" s="59"/>
      <c r="BH348" s="59"/>
      <c r="BI348" s="59"/>
      <c r="BJ348" s="59"/>
      <c r="BK348" s="59"/>
      <c r="BL348" s="59"/>
      <c r="BM348" s="59"/>
      <c r="BN348" s="59"/>
      <c r="BO348" s="59"/>
      <c r="BP348" s="59"/>
      <c r="BQ348" s="59"/>
      <c r="BR348" s="59"/>
      <c r="BS348" s="59"/>
      <c r="BT348" s="59"/>
      <c r="BU348" s="59"/>
      <c r="BV348" s="59"/>
      <c r="BW348" s="59"/>
      <c r="BX348" s="59"/>
      <c r="BY348" s="59"/>
      <c r="BZ348" s="59"/>
      <c r="CA348" s="59"/>
      <c r="CB348" s="59"/>
      <c r="CC348" s="59"/>
      <c r="CD348" s="59"/>
      <c r="CE348" s="59"/>
      <c r="CF348" s="59"/>
      <c r="CG348" s="59"/>
      <c r="CH348" s="59"/>
      <c r="CI348" s="59"/>
      <c r="CJ348" s="59"/>
      <c r="CK348" s="59"/>
      <c r="CL348" s="59"/>
      <c r="CM348" s="59"/>
      <c r="CN348" s="59"/>
      <c r="CO348" s="59"/>
      <c r="CP348" s="59"/>
      <c r="CQ348" s="59"/>
      <c r="CR348" s="59"/>
      <c r="CS348" s="59"/>
      <c r="CT348" s="59"/>
      <c r="CU348" s="59"/>
      <c r="CV348" s="59"/>
      <c r="CW348" s="59"/>
      <c r="CX348" s="59"/>
      <c r="CY348" s="59"/>
      <c r="CZ348" s="59"/>
      <c r="DA348" s="59"/>
      <c r="DB348" s="59"/>
      <c r="DC348" s="59"/>
      <c r="DD348" s="59"/>
      <c r="DE348" s="59"/>
      <c r="DF348" s="59"/>
      <c r="DG348" s="59"/>
      <c r="DH348" s="59"/>
      <c r="DI348" s="59"/>
      <c r="DJ348" s="59"/>
      <c r="DK348" s="59"/>
      <c r="DL348" s="59"/>
      <c r="DM348" s="59"/>
      <c r="DN348" s="59"/>
      <c r="DO348" s="59"/>
      <c r="DP348" s="59"/>
      <c r="DQ348" s="59"/>
      <c r="DR348" s="59"/>
      <c r="DS348" s="59"/>
      <c r="DT348" s="59"/>
      <c r="DU348" s="59"/>
      <c r="DV348" s="59"/>
    </row>
    <row r="349" spans="1:126" s="3" customFormat="1" x14ac:dyDescent="0.3">
      <c r="A349" s="21"/>
      <c r="B349" s="21" t="s">
        <v>186</v>
      </c>
      <c r="C349" s="21"/>
      <c r="D349" s="21" t="s">
        <v>14</v>
      </c>
      <c r="E349" s="22">
        <f>208</f>
        <v>208</v>
      </c>
      <c r="F349" s="22"/>
      <c r="G349" s="22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  <c r="AZ349" s="59"/>
      <c r="BA349" s="59"/>
      <c r="BB349" s="59"/>
      <c r="BC349" s="59"/>
      <c r="BD349" s="59"/>
      <c r="BE349" s="59"/>
      <c r="BF349" s="59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9"/>
      <c r="BS349" s="59"/>
      <c r="BT349" s="59"/>
      <c r="BU349" s="59"/>
      <c r="BV349" s="59"/>
      <c r="BW349" s="59"/>
      <c r="BX349" s="59"/>
      <c r="BY349" s="59"/>
      <c r="BZ349" s="59"/>
      <c r="CA349" s="59"/>
      <c r="CB349" s="59"/>
      <c r="CC349" s="59"/>
      <c r="CD349" s="59"/>
      <c r="CE349" s="59"/>
      <c r="CF349" s="59"/>
      <c r="CG349" s="59"/>
      <c r="CH349" s="59"/>
      <c r="CI349" s="59"/>
      <c r="CJ349" s="59"/>
      <c r="CK349" s="59"/>
      <c r="CL349" s="59"/>
      <c r="CM349" s="59"/>
      <c r="CN349" s="59"/>
      <c r="CO349" s="59"/>
      <c r="CP349" s="59"/>
      <c r="CQ349" s="59"/>
      <c r="CR349" s="59"/>
      <c r="CS349" s="59"/>
      <c r="CT349" s="59"/>
      <c r="CU349" s="59"/>
      <c r="CV349" s="59"/>
      <c r="CW349" s="59"/>
      <c r="CX349" s="59"/>
      <c r="CY349" s="59"/>
      <c r="CZ349" s="59"/>
      <c r="DA349" s="59"/>
      <c r="DB349" s="59"/>
      <c r="DC349" s="59"/>
      <c r="DD349" s="59"/>
      <c r="DE349" s="59"/>
      <c r="DF349" s="59"/>
      <c r="DG349" s="59"/>
      <c r="DH349" s="59"/>
      <c r="DI349" s="59"/>
      <c r="DJ349" s="59"/>
      <c r="DK349" s="59"/>
      <c r="DL349" s="59"/>
      <c r="DM349" s="59"/>
      <c r="DN349" s="59"/>
      <c r="DO349" s="59"/>
      <c r="DP349" s="59"/>
      <c r="DQ349" s="59"/>
      <c r="DR349" s="59"/>
      <c r="DS349" s="59"/>
      <c r="DT349" s="59"/>
      <c r="DU349" s="59"/>
      <c r="DV349" s="59"/>
    </row>
    <row r="350" spans="1:126" x14ac:dyDescent="0.3">
      <c r="A350" s="5"/>
      <c r="B350" s="5" t="s">
        <v>122</v>
      </c>
      <c r="C350" s="5"/>
      <c r="D350" s="5" t="s">
        <v>10</v>
      </c>
      <c r="E350" s="15">
        <f>10400</f>
        <v>10400</v>
      </c>
      <c r="F350" s="15"/>
      <c r="G350" s="15"/>
    </row>
    <row r="351" spans="1:126" x14ac:dyDescent="0.3">
      <c r="A351" s="5"/>
      <c r="B351" s="5" t="s">
        <v>129</v>
      </c>
      <c r="C351" s="5"/>
      <c r="D351" s="5" t="s">
        <v>8</v>
      </c>
      <c r="E351" s="15">
        <f>1482.8</f>
        <v>1482.8</v>
      </c>
      <c r="F351" s="15"/>
      <c r="G351" s="15"/>
    </row>
    <row r="352" spans="1:126" x14ac:dyDescent="0.3">
      <c r="A352" s="5"/>
      <c r="B352" s="5" t="s">
        <v>124</v>
      </c>
      <c r="C352" s="5"/>
      <c r="D352" s="5" t="s">
        <v>8</v>
      </c>
      <c r="E352" s="15">
        <f>234.9</f>
        <v>234.9</v>
      </c>
      <c r="F352" s="15"/>
      <c r="G352" s="15"/>
    </row>
    <row r="353" spans="1:126" x14ac:dyDescent="0.3">
      <c r="A353" s="5"/>
      <c r="B353" s="5" t="s">
        <v>187</v>
      </c>
      <c r="C353" s="5"/>
      <c r="D353" s="5" t="s">
        <v>8</v>
      </c>
      <c r="E353" s="15">
        <f>68.8</f>
        <v>68.8</v>
      </c>
      <c r="F353" s="15"/>
      <c r="G353" s="15"/>
    </row>
    <row r="354" spans="1:126" x14ac:dyDescent="0.3">
      <c r="A354" s="5"/>
      <c r="B354" s="11" t="s">
        <v>188</v>
      </c>
      <c r="C354" s="5"/>
      <c r="D354" s="5" t="s">
        <v>8</v>
      </c>
      <c r="E354" s="15">
        <f>193.2</f>
        <v>193.2</v>
      </c>
      <c r="F354" s="15"/>
      <c r="G354" s="15"/>
    </row>
    <row r="355" spans="1:126" x14ac:dyDescent="0.3">
      <c r="A355" s="5"/>
      <c r="B355" s="5" t="s">
        <v>125</v>
      </c>
      <c r="C355" s="5"/>
      <c r="D355" s="5" t="s">
        <v>8</v>
      </c>
      <c r="E355" s="15">
        <f>94.2</f>
        <v>94.2</v>
      </c>
      <c r="F355" s="15"/>
      <c r="G355" s="15"/>
    </row>
    <row r="356" spans="1:126" ht="31.2" x14ac:dyDescent="0.3">
      <c r="A356" s="5"/>
      <c r="B356" s="11" t="s">
        <v>133</v>
      </c>
      <c r="C356" s="5"/>
      <c r="D356" s="5" t="s">
        <v>14</v>
      </c>
      <c r="E356" s="15">
        <f>13312</f>
        <v>13312</v>
      </c>
      <c r="F356" s="15"/>
      <c r="G356" s="15"/>
    </row>
    <row r="357" spans="1:126" x14ac:dyDescent="0.3">
      <c r="A357" s="5"/>
      <c r="B357" s="5" t="s">
        <v>122</v>
      </c>
      <c r="C357" s="5"/>
      <c r="D357" s="5" t="s">
        <v>10</v>
      </c>
      <c r="E357" s="15">
        <f>151.5</f>
        <v>151.5</v>
      </c>
      <c r="F357" s="15"/>
      <c r="G357" s="15"/>
    </row>
    <row r="358" spans="1:126" x14ac:dyDescent="0.3">
      <c r="A358" s="5"/>
      <c r="B358" s="5" t="s">
        <v>129</v>
      </c>
      <c r="C358" s="5"/>
      <c r="D358" s="5" t="s">
        <v>8</v>
      </c>
      <c r="E358" s="15">
        <f>19</f>
        <v>19</v>
      </c>
      <c r="F358" s="15"/>
      <c r="G358" s="15"/>
    </row>
    <row r="359" spans="1:126" x14ac:dyDescent="0.3">
      <c r="A359" s="5"/>
      <c r="B359" s="5" t="s">
        <v>124</v>
      </c>
      <c r="C359" s="5"/>
      <c r="D359" s="5" t="s">
        <v>8</v>
      </c>
      <c r="E359" s="15">
        <f>0.2</f>
        <v>0.2</v>
      </c>
      <c r="F359" s="15"/>
      <c r="G359" s="15"/>
    </row>
    <row r="360" spans="1:126" x14ac:dyDescent="0.3">
      <c r="A360" s="5"/>
      <c r="B360" s="5" t="s">
        <v>187</v>
      </c>
      <c r="C360" s="5"/>
      <c r="D360" s="5" t="s">
        <v>8</v>
      </c>
      <c r="E360" s="15">
        <f>1.35</f>
        <v>1.35</v>
      </c>
      <c r="F360" s="15"/>
      <c r="G360" s="15"/>
    </row>
    <row r="361" spans="1:126" x14ac:dyDescent="0.3">
      <c r="A361" s="5"/>
      <c r="B361" s="5" t="s">
        <v>125</v>
      </c>
      <c r="C361" s="5"/>
      <c r="D361" s="5" t="s">
        <v>8</v>
      </c>
      <c r="E361" s="15">
        <f>1.2</f>
        <v>1.2</v>
      </c>
      <c r="F361" s="15"/>
      <c r="G361" s="15"/>
    </row>
    <row r="362" spans="1:126" ht="31.2" x14ac:dyDescent="0.3">
      <c r="A362" s="5"/>
      <c r="B362" s="11" t="s">
        <v>133</v>
      </c>
      <c r="C362" s="5"/>
      <c r="D362" s="5" t="s">
        <v>14</v>
      </c>
      <c r="E362" s="15">
        <f>160</f>
        <v>160</v>
      </c>
      <c r="F362" s="15"/>
      <c r="G362" s="15"/>
    </row>
    <row r="363" spans="1:126" x14ac:dyDescent="0.3">
      <c r="A363" s="5"/>
      <c r="B363" s="5" t="s">
        <v>129</v>
      </c>
      <c r="C363" s="5"/>
      <c r="D363" s="5" t="s">
        <v>8</v>
      </c>
      <c r="E363" s="15">
        <f>0.06</f>
        <v>0.06</v>
      </c>
      <c r="F363" s="15"/>
      <c r="G363" s="15"/>
    </row>
    <row r="364" spans="1:126" x14ac:dyDescent="0.3">
      <c r="A364" s="5"/>
      <c r="B364" s="5" t="s">
        <v>187</v>
      </c>
      <c r="C364" s="5"/>
      <c r="D364" s="5" t="s">
        <v>8</v>
      </c>
      <c r="E364" s="15">
        <f>0.01</f>
        <v>0.01</v>
      </c>
      <c r="F364" s="15"/>
      <c r="G364" s="15"/>
    </row>
    <row r="365" spans="1:126" ht="31.2" x14ac:dyDescent="0.3">
      <c r="A365" s="5"/>
      <c r="B365" s="11" t="s">
        <v>133</v>
      </c>
      <c r="C365" s="5"/>
      <c r="D365" s="5" t="s">
        <v>14</v>
      </c>
      <c r="E365" s="15">
        <f>320</f>
        <v>320</v>
      </c>
      <c r="F365" s="15"/>
      <c r="G365" s="15"/>
    </row>
    <row r="366" spans="1:126" s="3" customFormat="1" x14ac:dyDescent="0.3">
      <c r="A366" s="21"/>
      <c r="B366" s="21" t="s">
        <v>127</v>
      </c>
      <c r="C366" s="21"/>
      <c r="D366" s="21" t="s">
        <v>14</v>
      </c>
      <c r="E366" s="22">
        <f>1</f>
        <v>1</v>
      </c>
      <c r="F366" s="22"/>
      <c r="G366" s="22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9"/>
      <c r="BS366" s="59"/>
      <c r="BT366" s="59"/>
      <c r="BU366" s="59"/>
      <c r="BV366" s="59"/>
      <c r="BW366" s="59"/>
      <c r="BX366" s="59"/>
      <c r="BY366" s="59"/>
      <c r="BZ366" s="59"/>
      <c r="CA366" s="59"/>
      <c r="CB366" s="59"/>
      <c r="CC366" s="59"/>
      <c r="CD366" s="59"/>
      <c r="CE366" s="59"/>
      <c r="CF366" s="59"/>
      <c r="CG366" s="59"/>
      <c r="CH366" s="59"/>
      <c r="CI366" s="59"/>
      <c r="CJ366" s="59"/>
      <c r="CK366" s="59"/>
      <c r="CL366" s="59"/>
      <c r="CM366" s="59"/>
      <c r="CN366" s="59"/>
      <c r="CO366" s="59"/>
      <c r="CP366" s="59"/>
      <c r="CQ366" s="59"/>
      <c r="CR366" s="59"/>
      <c r="CS366" s="59"/>
      <c r="CT366" s="59"/>
      <c r="CU366" s="59"/>
      <c r="CV366" s="59"/>
      <c r="CW366" s="59"/>
      <c r="CX366" s="59"/>
      <c r="CY366" s="59"/>
      <c r="CZ366" s="59"/>
      <c r="DA366" s="59"/>
      <c r="DB366" s="59"/>
      <c r="DC366" s="59"/>
      <c r="DD366" s="59"/>
      <c r="DE366" s="59"/>
      <c r="DF366" s="59"/>
      <c r="DG366" s="59"/>
      <c r="DH366" s="59"/>
      <c r="DI366" s="59"/>
      <c r="DJ366" s="59"/>
      <c r="DK366" s="59"/>
      <c r="DL366" s="59"/>
      <c r="DM366" s="59"/>
      <c r="DN366" s="59"/>
      <c r="DO366" s="59"/>
      <c r="DP366" s="59"/>
      <c r="DQ366" s="59"/>
      <c r="DR366" s="59"/>
      <c r="DS366" s="59"/>
      <c r="DT366" s="59"/>
      <c r="DU366" s="59"/>
      <c r="DV366" s="59"/>
    </row>
    <row r="367" spans="1:126" x14ac:dyDescent="0.3">
      <c r="A367" s="5"/>
      <c r="B367" s="5" t="s">
        <v>128</v>
      </c>
      <c r="C367" s="5"/>
      <c r="D367" s="5" t="s">
        <v>10</v>
      </c>
      <c r="E367" s="15">
        <f>6409.6</f>
        <v>6409.6</v>
      </c>
      <c r="F367" s="15"/>
      <c r="G367" s="15"/>
    </row>
    <row r="368" spans="1:126" x14ac:dyDescent="0.3">
      <c r="A368" s="5"/>
      <c r="B368" s="5" t="s">
        <v>123</v>
      </c>
      <c r="C368" s="5"/>
      <c r="D368" s="5" t="s">
        <v>8</v>
      </c>
      <c r="E368" s="15">
        <f>1123.8</f>
        <v>1123.8</v>
      </c>
      <c r="F368" s="15"/>
      <c r="G368" s="15"/>
    </row>
    <row r="369" spans="1:7" x14ac:dyDescent="0.3">
      <c r="A369" s="5"/>
      <c r="B369" s="5" t="s">
        <v>129</v>
      </c>
      <c r="C369" s="5"/>
      <c r="D369" s="5" t="s">
        <v>8</v>
      </c>
      <c r="E369" s="15">
        <f>283.8</f>
        <v>283.8</v>
      </c>
      <c r="F369" s="15"/>
      <c r="G369" s="15"/>
    </row>
    <row r="370" spans="1:7" x14ac:dyDescent="0.3">
      <c r="A370" s="5"/>
      <c r="B370" s="5" t="s">
        <v>130</v>
      </c>
      <c r="C370" s="5"/>
      <c r="D370" s="5" t="s">
        <v>8</v>
      </c>
      <c r="E370" s="15">
        <f>75.1</f>
        <v>75.099999999999994</v>
      </c>
      <c r="F370" s="15"/>
      <c r="G370" s="15"/>
    </row>
    <row r="371" spans="1:7" x14ac:dyDescent="0.3">
      <c r="A371" s="5"/>
      <c r="B371" s="5" t="s">
        <v>131</v>
      </c>
      <c r="C371" s="5"/>
      <c r="D371" s="5" t="s">
        <v>8</v>
      </c>
      <c r="E371" s="15">
        <f>63.3</f>
        <v>63.3</v>
      </c>
      <c r="F371" s="15"/>
      <c r="G371" s="15"/>
    </row>
    <row r="372" spans="1:7" x14ac:dyDescent="0.3">
      <c r="A372" s="5"/>
      <c r="B372" s="5" t="s">
        <v>132</v>
      </c>
      <c r="C372" s="5"/>
      <c r="D372" s="5" t="s">
        <v>8</v>
      </c>
      <c r="E372" s="15">
        <f>4.2</f>
        <v>4.2</v>
      </c>
      <c r="F372" s="15"/>
      <c r="G372" s="15"/>
    </row>
    <row r="373" spans="1:7" ht="31.2" x14ac:dyDescent="0.3">
      <c r="A373" s="5"/>
      <c r="B373" s="11" t="s">
        <v>143</v>
      </c>
      <c r="C373" s="5"/>
      <c r="D373" s="5" t="s">
        <v>14</v>
      </c>
      <c r="E373" s="15">
        <f>9731</f>
        <v>9731</v>
      </c>
      <c r="F373" s="15"/>
      <c r="G373" s="15"/>
    </row>
    <row r="374" spans="1:7" ht="31.2" x14ac:dyDescent="0.3">
      <c r="A374" s="5"/>
      <c r="B374" s="11" t="s">
        <v>133</v>
      </c>
      <c r="C374" s="5"/>
      <c r="D374" s="5" t="s">
        <v>14</v>
      </c>
      <c r="E374" s="15">
        <f>1153</f>
        <v>1153</v>
      </c>
      <c r="F374" s="15"/>
      <c r="G374" s="15"/>
    </row>
    <row r="375" spans="1:7" x14ac:dyDescent="0.3">
      <c r="A375" s="21"/>
      <c r="B375" s="21" t="s">
        <v>134</v>
      </c>
      <c r="C375" s="21"/>
      <c r="D375" s="21" t="s">
        <v>14</v>
      </c>
      <c r="E375" s="22">
        <f>240</f>
        <v>240</v>
      </c>
      <c r="F375" s="22"/>
      <c r="G375" s="22"/>
    </row>
    <row r="376" spans="1:7" x14ac:dyDescent="0.3">
      <c r="A376" s="5"/>
      <c r="B376" s="5" t="s">
        <v>135</v>
      </c>
      <c r="C376" s="5"/>
      <c r="D376" s="5" t="s">
        <v>10</v>
      </c>
      <c r="E376" s="15">
        <f>593.8</f>
        <v>593.79999999999995</v>
      </c>
      <c r="F376" s="15"/>
      <c r="G376" s="15"/>
    </row>
    <row r="377" spans="1:7" x14ac:dyDescent="0.3">
      <c r="A377" s="5"/>
      <c r="B377" s="5" t="s">
        <v>136</v>
      </c>
      <c r="C377" s="5"/>
      <c r="D377" s="5" t="s">
        <v>8</v>
      </c>
      <c r="E377" s="15">
        <f>6/112*$E$375</f>
        <v>12.857142857142856</v>
      </c>
      <c r="F377" s="15"/>
      <c r="G377" s="15"/>
    </row>
    <row r="378" spans="1:7" x14ac:dyDescent="0.3">
      <c r="A378" s="5"/>
      <c r="B378" s="5" t="s">
        <v>137</v>
      </c>
      <c r="C378" s="5"/>
      <c r="D378" s="5" t="s">
        <v>8</v>
      </c>
      <c r="E378" s="15">
        <f>2.7/112*$E$375</f>
        <v>5.7857142857142856</v>
      </c>
      <c r="F378" s="15"/>
      <c r="G378" s="15"/>
    </row>
    <row r="379" spans="1:7" x14ac:dyDescent="0.3">
      <c r="A379" s="5"/>
      <c r="B379" s="5" t="s">
        <v>138</v>
      </c>
      <c r="C379" s="5"/>
      <c r="D379" s="5" t="s">
        <v>8</v>
      </c>
      <c r="E379" s="15">
        <f>3.1/112*$E$375</f>
        <v>6.6428571428571432</v>
      </c>
      <c r="F379" s="15"/>
      <c r="G379" s="15"/>
    </row>
    <row r="380" spans="1:7" x14ac:dyDescent="0.3">
      <c r="A380" s="5"/>
      <c r="B380" s="5" t="s">
        <v>139</v>
      </c>
      <c r="C380" s="5"/>
      <c r="D380" s="5" t="s">
        <v>8</v>
      </c>
      <c r="E380" s="15">
        <f>2.88</f>
        <v>2.88</v>
      </c>
      <c r="F380" s="15"/>
      <c r="G380" s="15"/>
    </row>
    <row r="381" spans="1:7" x14ac:dyDescent="0.3">
      <c r="A381" s="21"/>
      <c r="B381" s="21" t="s">
        <v>140</v>
      </c>
      <c r="C381" s="21"/>
      <c r="D381" s="21" t="s">
        <v>10</v>
      </c>
      <c r="E381" s="22"/>
      <c r="F381" s="22"/>
      <c r="G381" s="22"/>
    </row>
    <row r="382" spans="1:7" x14ac:dyDescent="0.3">
      <c r="A382" s="5"/>
      <c r="B382" s="5" t="s">
        <v>141</v>
      </c>
      <c r="C382" s="5"/>
      <c r="D382" s="5" t="s">
        <v>10</v>
      </c>
      <c r="E382" s="15">
        <f>5868</f>
        <v>5868</v>
      </c>
      <c r="F382" s="15"/>
      <c r="G382" s="15"/>
    </row>
    <row r="383" spans="1:7" x14ac:dyDescent="0.3">
      <c r="A383" s="5"/>
      <c r="B383" s="5" t="s">
        <v>129</v>
      </c>
      <c r="C383" s="5"/>
      <c r="D383" s="5" t="s">
        <v>8</v>
      </c>
      <c r="E383" s="15">
        <f>272.6</f>
        <v>272.60000000000002</v>
      </c>
      <c r="F383" s="15"/>
      <c r="G383" s="15"/>
    </row>
    <row r="384" spans="1:7" x14ac:dyDescent="0.3">
      <c r="A384" s="5"/>
      <c r="B384" s="5" t="s">
        <v>130</v>
      </c>
      <c r="C384" s="5"/>
      <c r="D384" s="5" t="s">
        <v>8</v>
      </c>
      <c r="E384" s="15">
        <f>270.7</f>
        <v>270.7</v>
      </c>
      <c r="F384" s="15"/>
      <c r="G384" s="15"/>
    </row>
    <row r="385" spans="1:7" x14ac:dyDescent="0.3">
      <c r="A385" s="5"/>
      <c r="B385" s="5" t="s">
        <v>124</v>
      </c>
      <c r="C385" s="5"/>
      <c r="D385" s="5" t="s">
        <v>8</v>
      </c>
      <c r="E385" s="15">
        <f>89.1</f>
        <v>89.1</v>
      </c>
      <c r="F385" s="15"/>
      <c r="G385" s="15"/>
    </row>
    <row r="386" spans="1:7" ht="31.2" x14ac:dyDescent="0.3">
      <c r="A386" s="5"/>
      <c r="B386" s="11" t="s">
        <v>168</v>
      </c>
      <c r="C386" s="5"/>
      <c r="D386" s="5" t="s">
        <v>14</v>
      </c>
      <c r="E386" s="15">
        <f>7750</f>
        <v>7750</v>
      </c>
      <c r="F386" s="15"/>
      <c r="G386" s="15"/>
    </row>
    <row r="387" spans="1:7" ht="31.2" x14ac:dyDescent="0.3">
      <c r="A387" s="5"/>
      <c r="B387" s="11" t="s">
        <v>189</v>
      </c>
      <c r="C387" s="5"/>
      <c r="D387" s="5" t="s">
        <v>14</v>
      </c>
      <c r="E387" s="15">
        <f>1540</f>
        <v>1540</v>
      </c>
      <c r="F387" s="15"/>
      <c r="G387" s="15"/>
    </row>
    <row r="388" spans="1:7" ht="31.2" x14ac:dyDescent="0.3">
      <c r="A388" s="5"/>
      <c r="B388" s="11" t="s">
        <v>190</v>
      </c>
      <c r="C388" s="5"/>
      <c r="D388" s="5" t="s">
        <v>14</v>
      </c>
      <c r="E388" s="15">
        <f>4572</f>
        <v>4572</v>
      </c>
      <c r="F388" s="15"/>
      <c r="G388" s="15"/>
    </row>
    <row r="389" spans="1:7" x14ac:dyDescent="0.3">
      <c r="A389" s="21"/>
      <c r="B389" s="21" t="s">
        <v>169</v>
      </c>
      <c r="C389" s="21"/>
      <c r="D389" s="21" t="s">
        <v>14</v>
      </c>
      <c r="E389" s="22">
        <f>1</f>
        <v>1</v>
      </c>
      <c r="F389" s="22"/>
      <c r="G389" s="22"/>
    </row>
    <row r="390" spans="1:7" x14ac:dyDescent="0.3">
      <c r="A390" s="5"/>
      <c r="B390" s="5" t="s">
        <v>170</v>
      </c>
      <c r="C390" s="5"/>
      <c r="D390" s="5" t="s">
        <v>10</v>
      </c>
      <c r="E390" s="15">
        <f>12055.9</f>
        <v>12055.9</v>
      </c>
      <c r="F390" s="15"/>
      <c r="G390" s="15"/>
    </row>
    <row r="391" spans="1:7" x14ac:dyDescent="0.3">
      <c r="A391" s="5"/>
      <c r="B391" s="5" t="s">
        <v>129</v>
      </c>
      <c r="C391" s="5"/>
      <c r="D391" s="5" t="s">
        <v>8</v>
      </c>
      <c r="E391" s="15">
        <f>950.1</f>
        <v>950.1</v>
      </c>
      <c r="F391" s="15"/>
      <c r="G391" s="15"/>
    </row>
    <row r="392" spans="1:7" x14ac:dyDescent="0.3">
      <c r="A392" s="5"/>
      <c r="B392" s="5" t="s">
        <v>130</v>
      </c>
      <c r="C392" s="5"/>
      <c r="D392" s="5" t="s">
        <v>8</v>
      </c>
      <c r="E392" s="15">
        <f>622.6</f>
        <v>622.6</v>
      </c>
      <c r="F392" s="15"/>
      <c r="G392" s="15"/>
    </row>
    <row r="393" spans="1:7" x14ac:dyDescent="0.3">
      <c r="A393" s="5"/>
      <c r="B393" s="5" t="s">
        <v>124</v>
      </c>
      <c r="C393" s="5"/>
      <c r="D393" s="5" t="s">
        <v>8</v>
      </c>
      <c r="E393" s="15">
        <f>266.7</f>
        <v>266.7</v>
      </c>
      <c r="F393" s="15"/>
      <c r="G393" s="15"/>
    </row>
    <row r="394" spans="1:7" ht="31.2" x14ac:dyDescent="0.3">
      <c r="A394" s="5"/>
      <c r="B394" s="11" t="s">
        <v>168</v>
      </c>
      <c r="C394" s="5"/>
      <c r="D394" s="5" t="s">
        <v>14</v>
      </c>
      <c r="E394" s="15">
        <f>4456</f>
        <v>4456</v>
      </c>
      <c r="F394" s="15"/>
      <c r="G394" s="15"/>
    </row>
    <row r="395" spans="1:7" ht="31.2" x14ac:dyDescent="0.3">
      <c r="A395" s="5"/>
      <c r="B395" s="11" t="s">
        <v>189</v>
      </c>
      <c r="C395" s="5"/>
      <c r="D395" s="5" t="s">
        <v>14</v>
      </c>
      <c r="E395" s="15">
        <f>520</f>
        <v>520</v>
      </c>
      <c r="F395" s="15"/>
      <c r="G395" s="15"/>
    </row>
    <row r="396" spans="1:7" x14ac:dyDescent="0.3">
      <c r="A396" s="5"/>
      <c r="B396" s="11" t="s">
        <v>172</v>
      </c>
      <c r="C396" s="5"/>
      <c r="D396" s="5" t="s">
        <v>8</v>
      </c>
      <c r="E396" s="15">
        <f>207.6</f>
        <v>207.6</v>
      </c>
      <c r="F396" s="15"/>
      <c r="G396" s="15"/>
    </row>
    <row r="397" spans="1:7" ht="31.2" x14ac:dyDescent="0.3">
      <c r="A397" s="5"/>
      <c r="B397" s="11" t="s">
        <v>173</v>
      </c>
      <c r="C397" s="5"/>
      <c r="D397" s="5" t="s">
        <v>14</v>
      </c>
      <c r="E397" s="15">
        <f>112+112</f>
        <v>224</v>
      </c>
      <c r="F397" s="15"/>
      <c r="G397" s="15"/>
    </row>
    <row r="398" spans="1:7" x14ac:dyDescent="0.3">
      <c r="A398" s="5"/>
      <c r="B398" s="11" t="s">
        <v>174</v>
      </c>
      <c r="C398" s="5"/>
      <c r="D398" s="5" t="s">
        <v>74</v>
      </c>
      <c r="E398" s="15">
        <f>5607.6</f>
        <v>5607.6</v>
      </c>
      <c r="F398" s="15"/>
      <c r="G398" s="15"/>
    </row>
    <row r="399" spans="1:7" x14ac:dyDescent="0.3">
      <c r="A399" s="21"/>
      <c r="B399" s="21" t="s">
        <v>176</v>
      </c>
      <c r="C399" s="21"/>
      <c r="D399" s="21"/>
      <c r="E399" s="22"/>
      <c r="F399" s="22"/>
      <c r="G399" s="22"/>
    </row>
    <row r="400" spans="1:7" x14ac:dyDescent="0.3">
      <c r="A400" s="5"/>
      <c r="B400" s="5" t="s">
        <v>170</v>
      </c>
      <c r="C400" s="5"/>
      <c r="D400" s="5" t="s">
        <v>10</v>
      </c>
      <c r="E400" s="15">
        <f>11239.5</f>
        <v>11239.5</v>
      </c>
      <c r="F400" s="15"/>
      <c r="G400" s="15"/>
    </row>
    <row r="401" spans="1:7" x14ac:dyDescent="0.3">
      <c r="A401" s="5"/>
      <c r="B401" s="5" t="s">
        <v>129</v>
      </c>
      <c r="C401" s="5"/>
      <c r="D401" s="5" t="s">
        <v>8</v>
      </c>
      <c r="E401" s="15">
        <f>1511.2</f>
        <v>1511.2</v>
      </c>
      <c r="F401" s="15"/>
      <c r="G401" s="15"/>
    </row>
    <row r="402" spans="1:7" x14ac:dyDescent="0.3">
      <c r="A402" s="5"/>
      <c r="B402" s="5" t="s">
        <v>124</v>
      </c>
      <c r="C402" s="5"/>
      <c r="D402" s="5" t="s">
        <v>8</v>
      </c>
      <c r="E402" s="15">
        <f>539.4</f>
        <v>539.4</v>
      </c>
      <c r="F402" s="15"/>
      <c r="G402" s="15"/>
    </row>
    <row r="403" spans="1:7" x14ac:dyDescent="0.3">
      <c r="A403" s="5"/>
      <c r="B403" s="5" t="s">
        <v>191</v>
      </c>
      <c r="C403" s="5"/>
      <c r="D403" s="5" t="s">
        <v>8</v>
      </c>
      <c r="E403" s="15">
        <f>362.5</f>
        <v>362.5</v>
      </c>
      <c r="F403" s="15"/>
      <c r="G403" s="15"/>
    </row>
    <row r="404" spans="1:7" ht="31.2" x14ac:dyDescent="0.3">
      <c r="A404" s="5"/>
      <c r="B404" s="11" t="s">
        <v>168</v>
      </c>
      <c r="C404" s="5"/>
      <c r="D404" s="5" t="s">
        <v>14</v>
      </c>
      <c r="E404" s="15">
        <f>42000</f>
        <v>42000</v>
      </c>
      <c r="F404" s="15"/>
      <c r="G404" s="15"/>
    </row>
    <row r="405" spans="1:7" x14ac:dyDescent="0.3">
      <c r="A405" s="21"/>
      <c r="B405" s="21" t="s">
        <v>192</v>
      </c>
      <c r="C405" s="21"/>
      <c r="D405" s="21"/>
      <c r="E405" s="22"/>
      <c r="F405" s="22"/>
      <c r="G405" s="22"/>
    </row>
    <row r="406" spans="1:7" x14ac:dyDescent="0.3">
      <c r="A406" s="5"/>
      <c r="B406" s="5" t="s">
        <v>170</v>
      </c>
      <c r="C406" s="5"/>
      <c r="D406" s="5" t="s">
        <v>10</v>
      </c>
      <c r="E406" s="15">
        <f>1173.5</f>
        <v>1173.5</v>
      </c>
      <c r="F406" s="15"/>
      <c r="G406" s="15"/>
    </row>
    <row r="407" spans="1:7" x14ac:dyDescent="0.3">
      <c r="A407" s="5"/>
      <c r="B407" s="5" t="s">
        <v>129</v>
      </c>
      <c r="C407" s="5"/>
      <c r="D407" s="5" t="s">
        <v>8</v>
      </c>
      <c r="E407" s="15">
        <f>159.8</f>
        <v>159.80000000000001</v>
      </c>
      <c r="F407" s="15"/>
      <c r="G407" s="15"/>
    </row>
    <row r="408" spans="1:7" x14ac:dyDescent="0.3">
      <c r="A408" s="5"/>
      <c r="B408" s="5" t="s">
        <v>124</v>
      </c>
      <c r="C408" s="5"/>
      <c r="D408" s="5" t="s">
        <v>8</v>
      </c>
      <c r="E408" s="15">
        <f>57</f>
        <v>57</v>
      </c>
      <c r="F408" s="15"/>
      <c r="G408" s="15"/>
    </row>
    <row r="409" spans="1:7" x14ac:dyDescent="0.3">
      <c r="A409" s="5"/>
      <c r="B409" s="5" t="s">
        <v>191</v>
      </c>
      <c r="C409" s="5"/>
      <c r="D409" s="5" t="s">
        <v>8</v>
      </c>
      <c r="E409" s="15">
        <f>38.3</f>
        <v>38.299999999999997</v>
      </c>
      <c r="F409" s="15"/>
      <c r="G409" s="15"/>
    </row>
    <row r="410" spans="1:7" ht="31.2" x14ac:dyDescent="0.3">
      <c r="A410" s="5"/>
      <c r="B410" s="11" t="s">
        <v>168</v>
      </c>
      <c r="C410" s="5"/>
      <c r="D410" s="5" t="s">
        <v>14</v>
      </c>
      <c r="E410" s="15">
        <f>1680</f>
        <v>1680</v>
      </c>
      <c r="F410" s="15"/>
      <c r="G410" s="15"/>
    </row>
    <row r="411" spans="1:7" ht="31.2" x14ac:dyDescent="0.3">
      <c r="A411" s="5"/>
      <c r="B411" s="11" t="s">
        <v>133</v>
      </c>
      <c r="C411" s="5"/>
      <c r="D411" s="5" t="s">
        <v>14</v>
      </c>
      <c r="E411" s="15">
        <f>2068</f>
        <v>2068</v>
      </c>
      <c r="F411" s="15"/>
      <c r="G411" s="15"/>
    </row>
    <row r="412" spans="1:7" x14ac:dyDescent="0.3">
      <c r="A412" s="21"/>
      <c r="B412" s="21" t="s">
        <v>177</v>
      </c>
      <c r="C412" s="21"/>
      <c r="D412" s="21"/>
      <c r="E412" s="22"/>
      <c r="F412" s="22"/>
      <c r="G412" s="22"/>
    </row>
    <row r="413" spans="1:7" ht="31.2" x14ac:dyDescent="0.3">
      <c r="A413" s="5"/>
      <c r="B413" s="11" t="s">
        <v>178</v>
      </c>
      <c r="C413" s="5"/>
      <c r="D413" s="5" t="s">
        <v>8</v>
      </c>
      <c r="E413" s="15">
        <f>148</f>
        <v>148</v>
      </c>
      <c r="F413" s="15"/>
      <c r="G413" s="15"/>
    </row>
    <row r="414" spans="1:7" x14ac:dyDescent="0.3">
      <c r="A414" s="21"/>
      <c r="B414" s="21" t="s">
        <v>193</v>
      </c>
      <c r="C414" s="21"/>
      <c r="D414" s="21" t="s">
        <v>14</v>
      </c>
      <c r="E414" s="22">
        <f>1</f>
        <v>1</v>
      </c>
      <c r="F414" s="22"/>
      <c r="G414" s="22"/>
    </row>
    <row r="415" spans="1:7" x14ac:dyDescent="0.3">
      <c r="A415" s="5"/>
      <c r="B415" s="5" t="s">
        <v>193</v>
      </c>
      <c r="C415" s="5"/>
      <c r="D415" s="5" t="s">
        <v>14</v>
      </c>
      <c r="E415" s="15">
        <f>1</f>
        <v>1</v>
      </c>
      <c r="F415" s="15"/>
      <c r="G415" s="15"/>
    </row>
    <row r="416" spans="1:7" x14ac:dyDescent="0.3">
      <c r="A416" s="21"/>
      <c r="B416" s="21" t="s">
        <v>180</v>
      </c>
      <c r="C416" s="21"/>
      <c r="D416" s="21"/>
      <c r="E416" s="22"/>
      <c r="F416" s="22"/>
      <c r="G416" s="22"/>
    </row>
    <row r="417" spans="1:7" ht="31.2" x14ac:dyDescent="0.3">
      <c r="A417" s="5"/>
      <c r="B417" s="11" t="s">
        <v>181</v>
      </c>
      <c r="C417" s="5"/>
      <c r="D417" s="5" t="s">
        <v>8</v>
      </c>
      <c r="E417" s="15">
        <f>2830.3</f>
        <v>2830.3</v>
      </c>
      <c r="F417" s="15"/>
      <c r="G417" s="15"/>
    </row>
    <row r="418" spans="1:7" x14ac:dyDescent="0.3">
      <c r="A418" s="5"/>
      <c r="B418" s="5" t="s">
        <v>182</v>
      </c>
      <c r="C418" s="5"/>
      <c r="D418" s="5" t="s">
        <v>8</v>
      </c>
      <c r="E418" s="15">
        <f>92.2</f>
        <v>92.2</v>
      </c>
      <c r="F418" s="15"/>
      <c r="G418" s="15"/>
    </row>
    <row r="419" spans="1:7" x14ac:dyDescent="0.3">
      <c r="A419" s="21"/>
      <c r="B419" s="21" t="s">
        <v>183</v>
      </c>
      <c r="C419" s="21"/>
      <c r="D419" s="21" t="s">
        <v>69</v>
      </c>
      <c r="E419" s="22">
        <f>49760</f>
        <v>49760</v>
      </c>
      <c r="F419" s="22"/>
      <c r="G419" s="22"/>
    </row>
    <row r="420" spans="1:7" x14ac:dyDescent="0.3">
      <c r="A420" s="5"/>
      <c r="B420" s="5" t="s">
        <v>153</v>
      </c>
      <c r="C420" s="5"/>
      <c r="D420" s="5" t="s">
        <v>72</v>
      </c>
      <c r="E420" s="15">
        <f>$E$419*0.563*1.4</f>
        <v>39220.831999999995</v>
      </c>
      <c r="F420" s="15"/>
      <c r="G420" s="15"/>
    </row>
    <row r="421" spans="1:7" x14ac:dyDescent="0.3">
      <c r="A421" s="5"/>
      <c r="B421" s="5" t="s">
        <v>154</v>
      </c>
      <c r="C421" s="5"/>
      <c r="D421" s="5" t="s">
        <v>72</v>
      </c>
      <c r="E421" s="15">
        <f>$E$419*0.299*1.4</f>
        <v>20829.536</v>
      </c>
      <c r="F421" s="15"/>
      <c r="G421" s="15"/>
    </row>
    <row r="422" spans="1:7" x14ac:dyDescent="0.3">
      <c r="A422" s="5"/>
      <c r="B422" s="5" t="s">
        <v>155</v>
      </c>
      <c r="C422" s="5"/>
      <c r="D422" s="5" t="s">
        <v>72</v>
      </c>
      <c r="E422" s="15">
        <f>(E420+E421)*0.1</f>
        <v>6005.0367999999999</v>
      </c>
      <c r="F422" s="15"/>
      <c r="G422" s="15"/>
    </row>
    <row r="423" spans="1:7" x14ac:dyDescent="0.3">
      <c r="A423" s="21"/>
      <c r="B423" s="21" t="s">
        <v>184</v>
      </c>
      <c r="C423" s="21"/>
      <c r="D423" s="21" t="s">
        <v>69</v>
      </c>
      <c r="E423" s="22">
        <f>4976</f>
        <v>4976</v>
      </c>
      <c r="F423" s="22"/>
      <c r="G423" s="22"/>
    </row>
    <row r="424" spans="1:7" x14ac:dyDescent="0.3">
      <c r="A424" s="5"/>
      <c r="B424" s="5" t="s">
        <v>153</v>
      </c>
      <c r="C424" s="5"/>
      <c r="D424" s="5" t="s">
        <v>72</v>
      </c>
      <c r="E424" s="15">
        <f>$E$423*0.563*1.4</f>
        <v>3922.0831999999996</v>
      </c>
      <c r="F424" s="15"/>
      <c r="G424" s="15"/>
    </row>
    <row r="425" spans="1:7" x14ac:dyDescent="0.3">
      <c r="A425" s="5"/>
      <c r="B425" s="5" t="s">
        <v>155</v>
      </c>
      <c r="C425" s="5"/>
      <c r="D425" s="5" t="s">
        <v>72</v>
      </c>
      <c r="E425" s="15">
        <f>E424*0.1</f>
        <v>392.20831999999996</v>
      </c>
      <c r="F425" s="15"/>
      <c r="G425" s="15"/>
    </row>
    <row r="426" spans="1:7" ht="31.2" x14ac:dyDescent="0.3">
      <c r="A426" s="21"/>
      <c r="B426" s="26" t="s">
        <v>194</v>
      </c>
      <c r="C426" s="21"/>
      <c r="D426" s="21" t="s">
        <v>69</v>
      </c>
      <c r="E426" s="22">
        <f>113212</f>
        <v>113212</v>
      </c>
      <c r="F426" s="22"/>
      <c r="G426" s="22"/>
    </row>
    <row r="427" spans="1:7" x14ac:dyDescent="0.3">
      <c r="A427" s="5"/>
      <c r="B427" s="5" t="s">
        <v>153</v>
      </c>
      <c r="C427" s="5"/>
      <c r="D427" s="5" t="s">
        <v>72</v>
      </c>
      <c r="E427" s="15">
        <f>$E$426*0.563*1.4</f>
        <v>89233.698399999979</v>
      </c>
      <c r="F427" s="15"/>
      <c r="G427" s="15"/>
    </row>
    <row r="428" spans="1:7" x14ac:dyDescent="0.3">
      <c r="A428" s="5"/>
      <c r="B428" s="5" t="s">
        <v>154</v>
      </c>
      <c r="C428" s="5"/>
      <c r="D428" s="5" t="s">
        <v>72</v>
      </c>
      <c r="E428" s="15">
        <f>$E$426*0.299*1.4</f>
        <v>47390.543199999993</v>
      </c>
      <c r="F428" s="15"/>
      <c r="G428" s="15"/>
    </row>
    <row r="429" spans="1:7" x14ac:dyDescent="0.3">
      <c r="A429" s="5"/>
      <c r="B429" s="5" t="s">
        <v>155</v>
      </c>
      <c r="C429" s="5"/>
      <c r="D429" s="5" t="s">
        <v>72</v>
      </c>
      <c r="E429" s="15">
        <f>(E427+E428)*0.1</f>
        <v>13662.424159999999</v>
      </c>
      <c r="F429" s="15"/>
      <c r="G429" s="15"/>
    </row>
    <row r="430" spans="1:7" x14ac:dyDescent="0.3">
      <c r="A430" s="21"/>
      <c r="B430" s="21" t="s">
        <v>179</v>
      </c>
      <c r="C430" s="21"/>
      <c r="D430" s="21" t="s">
        <v>69</v>
      </c>
      <c r="E430" s="22">
        <f>9250</f>
        <v>9250</v>
      </c>
      <c r="F430" s="22"/>
      <c r="G430" s="22"/>
    </row>
    <row r="431" spans="1:7" x14ac:dyDescent="0.3">
      <c r="A431" s="5"/>
      <c r="B431" s="5" t="s">
        <v>153</v>
      </c>
      <c r="C431" s="5"/>
      <c r="D431" s="5" t="s">
        <v>72</v>
      </c>
      <c r="E431" s="15">
        <f>$E$430*0.563*1.4</f>
        <v>7290.8499999999985</v>
      </c>
      <c r="F431" s="15"/>
      <c r="G431" s="15"/>
    </row>
    <row r="432" spans="1:7" x14ac:dyDescent="0.3">
      <c r="A432" s="5"/>
      <c r="B432" s="5" t="s">
        <v>154</v>
      </c>
      <c r="C432" s="5"/>
      <c r="D432" s="5" t="s">
        <v>72</v>
      </c>
      <c r="E432" s="15">
        <f>$E$430*0.299*1.4</f>
        <v>3872.0499999999997</v>
      </c>
      <c r="F432" s="15"/>
      <c r="G432" s="15"/>
    </row>
    <row r="433" spans="1:126" x14ac:dyDescent="0.3">
      <c r="A433" s="5"/>
      <c r="B433" s="5" t="s">
        <v>155</v>
      </c>
      <c r="C433" s="5"/>
      <c r="D433" s="5" t="s">
        <v>72</v>
      </c>
      <c r="E433" s="15">
        <f>(E431+E432)*0.1</f>
        <v>1116.2899999999997</v>
      </c>
      <c r="F433" s="15"/>
      <c r="G433" s="15"/>
    </row>
    <row r="434" spans="1:126" x14ac:dyDescent="0.3">
      <c r="A434" s="21"/>
      <c r="B434" s="21" t="s">
        <v>195</v>
      </c>
      <c r="C434" s="21"/>
      <c r="D434" s="21"/>
      <c r="E434" s="22"/>
      <c r="F434" s="22"/>
      <c r="G434" s="22"/>
    </row>
    <row r="435" spans="1:126" ht="31.2" x14ac:dyDescent="0.3">
      <c r="A435" s="5"/>
      <c r="B435" s="11" t="s">
        <v>66</v>
      </c>
      <c r="C435" s="5"/>
      <c r="D435" s="5" t="s">
        <v>8</v>
      </c>
      <c r="E435" s="15">
        <f>0.37</f>
        <v>0.37</v>
      </c>
      <c r="F435" s="15"/>
      <c r="G435" s="15"/>
    </row>
    <row r="436" spans="1:126" x14ac:dyDescent="0.3">
      <c r="A436" s="5"/>
      <c r="B436" s="11" t="s">
        <v>67</v>
      </c>
      <c r="C436" s="5"/>
      <c r="D436" s="5" t="s">
        <v>10</v>
      </c>
      <c r="E436" s="15">
        <f>0.09</f>
        <v>0.09</v>
      </c>
      <c r="F436" s="15"/>
      <c r="G436" s="15"/>
    </row>
    <row r="437" spans="1:126" x14ac:dyDescent="0.3">
      <c r="A437" s="5"/>
      <c r="B437" s="11" t="s">
        <v>149</v>
      </c>
      <c r="C437" s="5"/>
      <c r="D437" s="5" t="s">
        <v>74</v>
      </c>
      <c r="E437" s="15">
        <f>32.9</f>
        <v>32.9</v>
      </c>
      <c r="F437" s="15"/>
      <c r="G437" s="15"/>
    </row>
    <row r="438" spans="1:126" ht="31.2" x14ac:dyDescent="0.3">
      <c r="A438" s="5"/>
      <c r="B438" s="11" t="s">
        <v>66</v>
      </c>
      <c r="C438" s="5"/>
      <c r="D438" s="5" t="s">
        <v>8</v>
      </c>
      <c r="E438" s="15">
        <f>0.12</f>
        <v>0.12</v>
      </c>
      <c r="F438" s="15"/>
      <c r="G438" s="15"/>
    </row>
    <row r="439" spans="1:126" x14ac:dyDescent="0.3">
      <c r="A439" s="5"/>
      <c r="B439" s="11" t="s">
        <v>67</v>
      </c>
      <c r="C439" s="5"/>
      <c r="D439" s="5" t="s">
        <v>10</v>
      </c>
      <c r="E439" s="15">
        <f>0.03</f>
        <v>0.03</v>
      </c>
      <c r="F439" s="15"/>
      <c r="G439" s="15"/>
    </row>
    <row r="440" spans="1:126" x14ac:dyDescent="0.3">
      <c r="A440" s="5"/>
      <c r="B440" s="11" t="s">
        <v>149</v>
      </c>
      <c r="C440" s="5"/>
      <c r="D440" s="5" t="s">
        <v>74</v>
      </c>
      <c r="E440" s="15">
        <f>9.4</f>
        <v>9.4</v>
      </c>
      <c r="F440" s="15"/>
      <c r="G440" s="15"/>
    </row>
    <row r="441" spans="1:126" s="3" customFormat="1" x14ac:dyDescent="0.3">
      <c r="A441" s="21"/>
      <c r="B441" s="26" t="s">
        <v>148</v>
      </c>
      <c r="C441" s="21"/>
      <c r="D441" s="21" t="s">
        <v>69</v>
      </c>
      <c r="E441" s="22">
        <f>389.4</f>
        <v>389.4</v>
      </c>
      <c r="F441" s="22"/>
      <c r="G441" s="22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  <c r="AZ441" s="59"/>
      <c r="BA441" s="59"/>
      <c r="BB441" s="59"/>
      <c r="BC441" s="59"/>
      <c r="BD441" s="59"/>
      <c r="BE441" s="59"/>
      <c r="BF441" s="59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9"/>
      <c r="BS441" s="59"/>
      <c r="BT441" s="59"/>
      <c r="BU441" s="59"/>
      <c r="BV441" s="59"/>
      <c r="BW441" s="59"/>
      <c r="BX441" s="59"/>
      <c r="BY441" s="59"/>
      <c r="BZ441" s="59"/>
      <c r="CA441" s="59"/>
      <c r="CB441" s="59"/>
      <c r="CC441" s="59"/>
      <c r="CD441" s="59"/>
      <c r="CE441" s="59"/>
      <c r="CF441" s="59"/>
      <c r="CG441" s="59"/>
      <c r="CH441" s="59"/>
      <c r="CI441" s="59"/>
      <c r="CJ441" s="59"/>
      <c r="CK441" s="59"/>
      <c r="CL441" s="59"/>
      <c r="CM441" s="59"/>
      <c r="CN441" s="59"/>
      <c r="CO441" s="59"/>
      <c r="CP441" s="59"/>
      <c r="CQ441" s="59"/>
      <c r="CR441" s="59"/>
      <c r="CS441" s="59"/>
      <c r="CT441" s="59"/>
      <c r="CU441" s="59"/>
      <c r="CV441" s="59"/>
      <c r="CW441" s="59"/>
      <c r="CX441" s="59"/>
      <c r="CY441" s="59"/>
      <c r="CZ441" s="59"/>
      <c r="DA441" s="59"/>
      <c r="DB441" s="59"/>
      <c r="DC441" s="59"/>
      <c r="DD441" s="59"/>
      <c r="DE441" s="59"/>
      <c r="DF441" s="59"/>
      <c r="DG441" s="59"/>
      <c r="DH441" s="59"/>
      <c r="DI441" s="59"/>
      <c r="DJ441" s="59"/>
      <c r="DK441" s="59"/>
      <c r="DL441" s="59"/>
      <c r="DM441" s="59"/>
      <c r="DN441" s="59"/>
      <c r="DO441" s="59"/>
      <c r="DP441" s="59"/>
      <c r="DQ441" s="59"/>
      <c r="DR441" s="59"/>
      <c r="DS441" s="59"/>
      <c r="DT441" s="59"/>
      <c r="DU441" s="59"/>
      <c r="DV441" s="59"/>
    </row>
    <row r="442" spans="1:126" x14ac:dyDescent="0.3">
      <c r="A442" s="5"/>
      <c r="B442" s="5" t="s">
        <v>567</v>
      </c>
      <c r="C442" s="5"/>
      <c r="D442" s="5" t="s">
        <v>72</v>
      </c>
      <c r="E442" s="15">
        <v>128.50200000000001</v>
      </c>
      <c r="F442" s="15"/>
      <c r="G442" s="15"/>
    </row>
    <row r="443" spans="1:126" x14ac:dyDescent="0.3">
      <c r="A443" s="5"/>
      <c r="B443" s="5" t="s">
        <v>568</v>
      </c>
      <c r="C443" s="5"/>
      <c r="D443" s="5" t="s">
        <v>72</v>
      </c>
      <c r="E443" s="15">
        <v>1051.3800000000001</v>
      </c>
      <c r="F443" s="15"/>
      <c r="G443" s="15"/>
    </row>
    <row r="444" spans="1:126" x14ac:dyDescent="0.3">
      <c r="A444" s="5"/>
      <c r="B444" s="5" t="s">
        <v>569</v>
      </c>
      <c r="C444" s="5"/>
      <c r="D444" s="5" t="s">
        <v>72</v>
      </c>
      <c r="E444" s="15">
        <v>116.82</v>
      </c>
      <c r="F444" s="15"/>
      <c r="G444" s="15"/>
    </row>
    <row r="445" spans="1:126" x14ac:dyDescent="0.3">
      <c r="A445" s="5"/>
      <c r="B445" s="5" t="s">
        <v>566</v>
      </c>
      <c r="C445" s="5"/>
      <c r="D445" s="5" t="s">
        <v>72</v>
      </c>
      <c r="E445" s="15">
        <v>389.4</v>
      </c>
      <c r="F445" s="15"/>
      <c r="G445" s="15"/>
    </row>
    <row r="446" spans="1:126" x14ac:dyDescent="0.3">
      <c r="A446" s="5"/>
      <c r="B446" s="5" t="s">
        <v>70</v>
      </c>
      <c r="C446" s="5"/>
      <c r="D446" s="5" t="s">
        <v>72</v>
      </c>
      <c r="E446" s="15">
        <v>389.4</v>
      </c>
      <c r="F446" s="15"/>
      <c r="G446" s="15"/>
    </row>
    <row r="447" spans="1:126" x14ac:dyDescent="0.3">
      <c r="A447" s="23"/>
      <c r="B447" s="23" t="s">
        <v>196</v>
      </c>
      <c r="C447" s="23"/>
      <c r="D447" s="23"/>
      <c r="E447" s="24"/>
      <c r="F447" s="24"/>
      <c r="G447" s="24"/>
    </row>
    <row r="448" spans="1:126" x14ac:dyDescent="0.3">
      <c r="A448" s="21"/>
      <c r="B448" s="21" t="s">
        <v>197</v>
      </c>
      <c r="C448" s="21"/>
      <c r="D448" s="21" t="s">
        <v>14</v>
      </c>
      <c r="E448" s="22">
        <f>102</f>
        <v>102</v>
      </c>
      <c r="F448" s="22"/>
      <c r="G448" s="22"/>
    </row>
    <row r="449" spans="1:7" x14ac:dyDescent="0.3">
      <c r="A449" s="5"/>
      <c r="B449" s="5" t="s">
        <v>122</v>
      </c>
      <c r="C449" s="5"/>
      <c r="D449" s="5" t="s">
        <v>10</v>
      </c>
      <c r="E449" s="15">
        <f>7408.2</f>
        <v>7408.2</v>
      </c>
      <c r="F449" s="15"/>
      <c r="G449" s="15"/>
    </row>
    <row r="450" spans="1:7" x14ac:dyDescent="0.3">
      <c r="A450" s="5"/>
      <c r="B450" s="5" t="s">
        <v>123</v>
      </c>
      <c r="C450" s="5"/>
      <c r="D450" s="5" t="s">
        <v>8</v>
      </c>
      <c r="E450" s="15">
        <f>1566</f>
        <v>1566</v>
      </c>
      <c r="F450" s="15"/>
      <c r="G450" s="15"/>
    </row>
    <row r="451" spans="1:7" x14ac:dyDescent="0.3">
      <c r="A451" s="5"/>
      <c r="B451" s="5" t="s">
        <v>124</v>
      </c>
      <c r="C451" s="5"/>
      <c r="D451" s="5" t="s">
        <v>8</v>
      </c>
      <c r="E451" s="15">
        <f>207.1</f>
        <v>207.1</v>
      </c>
      <c r="F451" s="15"/>
      <c r="G451" s="15"/>
    </row>
    <row r="452" spans="1:7" ht="31.2" x14ac:dyDescent="0.3">
      <c r="A452" s="5"/>
      <c r="B452" s="11" t="s">
        <v>126</v>
      </c>
      <c r="C452" s="5"/>
      <c r="D452" s="5" t="s">
        <v>14</v>
      </c>
      <c r="E452" s="15">
        <f>90</f>
        <v>90</v>
      </c>
      <c r="F452" s="15"/>
      <c r="G452" s="15"/>
    </row>
    <row r="453" spans="1:7" x14ac:dyDescent="0.3">
      <c r="A453" s="5"/>
      <c r="B453" s="11" t="s">
        <v>167</v>
      </c>
      <c r="C453" s="5"/>
      <c r="D453" s="5" t="s">
        <v>8</v>
      </c>
      <c r="E453" s="15">
        <f>86.9</f>
        <v>86.9</v>
      </c>
      <c r="F453" s="15"/>
      <c r="G453" s="15"/>
    </row>
    <row r="454" spans="1:7" x14ac:dyDescent="0.3">
      <c r="A454" s="5"/>
      <c r="B454" s="5" t="s">
        <v>125</v>
      </c>
      <c r="C454" s="5"/>
      <c r="D454" s="5" t="s">
        <v>8</v>
      </c>
      <c r="E454" s="15">
        <f>67.4</f>
        <v>67.400000000000006</v>
      </c>
      <c r="F454" s="15"/>
      <c r="G454" s="15"/>
    </row>
    <row r="455" spans="1:7" x14ac:dyDescent="0.3">
      <c r="A455" s="5"/>
      <c r="B455" s="5" t="s">
        <v>122</v>
      </c>
      <c r="C455" s="5"/>
      <c r="D455" s="5" t="s">
        <v>10</v>
      </c>
      <c r="E455" s="15">
        <f>47.7</f>
        <v>47.7</v>
      </c>
      <c r="F455" s="15"/>
      <c r="G455" s="15"/>
    </row>
    <row r="456" spans="1:7" x14ac:dyDescent="0.3">
      <c r="A456" s="5"/>
      <c r="B456" s="5" t="s">
        <v>123</v>
      </c>
      <c r="C456" s="5"/>
      <c r="D456" s="5" t="s">
        <v>8</v>
      </c>
      <c r="E456" s="15">
        <f>8.8</f>
        <v>8.8000000000000007</v>
      </c>
      <c r="F456" s="15"/>
      <c r="G456" s="15"/>
    </row>
    <row r="457" spans="1:7" x14ac:dyDescent="0.3">
      <c r="A457" s="5"/>
      <c r="B457" s="5" t="s">
        <v>124</v>
      </c>
      <c r="C457" s="5"/>
      <c r="D457" s="5" t="s">
        <v>8</v>
      </c>
      <c r="E457" s="15">
        <f>1.4</f>
        <v>1.4</v>
      </c>
      <c r="F457" s="15"/>
      <c r="G457" s="15"/>
    </row>
    <row r="458" spans="1:7" ht="31.2" x14ac:dyDescent="0.3">
      <c r="A458" s="5"/>
      <c r="B458" s="11" t="s">
        <v>126</v>
      </c>
      <c r="C458" s="5"/>
      <c r="D458" s="5" t="s">
        <v>14</v>
      </c>
      <c r="E458" s="15">
        <f>72</f>
        <v>72</v>
      </c>
      <c r="F458" s="15"/>
      <c r="G458" s="15"/>
    </row>
    <row r="459" spans="1:7" x14ac:dyDescent="0.3">
      <c r="A459" s="5"/>
      <c r="B459" s="5" t="s">
        <v>123</v>
      </c>
      <c r="C459" s="5"/>
      <c r="D459" s="5" t="s">
        <v>8</v>
      </c>
      <c r="E459" s="15">
        <f>18</f>
        <v>18</v>
      </c>
      <c r="F459" s="15"/>
      <c r="G459" s="15"/>
    </row>
    <row r="460" spans="1:7" x14ac:dyDescent="0.3">
      <c r="A460" s="5"/>
      <c r="B460" s="5" t="s">
        <v>124</v>
      </c>
      <c r="C460" s="5"/>
      <c r="D460" s="5" t="s">
        <v>8</v>
      </c>
      <c r="E460" s="15">
        <f>2.8</f>
        <v>2.8</v>
      </c>
      <c r="F460" s="15"/>
      <c r="G460" s="15"/>
    </row>
    <row r="461" spans="1:7" ht="31.2" x14ac:dyDescent="0.3">
      <c r="A461" s="5"/>
      <c r="B461" s="11" t="s">
        <v>126</v>
      </c>
      <c r="C461" s="5"/>
      <c r="D461" s="5" t="s">
        <v>14</v>
      </c>
      <c r="E461" s="15">
        <f>144</f>
        <v>144</v>
      </c>
      <c r="F461" s="15"/>
      <c r="G461" s="15"/>
    </row>
    <row r="462" spans="1:7" x14ac:dyDescent="0.3">
      <c r="A462" s="21"/>
      <c r="B462" s="21" t="s">
        <v>127</v>
      </c>
      <c r="C462" s="21"/>
      <c r="D462" s="21" t="s">
        <v>14</v>
      </c>
      <c r="E462" s="22"/>
      <c r="F462" s="22"/>
      <c r="G462" s="22"/>
    </row>
    <row r="463" spans="1:7" x14ac:dyDescent="0.3">
      <c r="A463" s="5"/>
      <c r="B463" s="5" t="s">
        <v>128</v>
      </c>
      <c r="C463" s="5"/>
      <c r="D463" s="5" t="s">
        <v>10</v>
      </c>
      <c r="E463" s="15">
        <f>3307.4</f>
        <v>3307.4</v>
      </c>
      <c r="F463" s="15"/>
      <c r="G463" s="15"/>
    </row>
    <row r="464" spans="1:7" x14ac:dyDescent="0.3">
      <c r="A464" s="5"/>
      <c r="B464" s="5" t="s">
        <v>129</v>
      </c>
      <c r="C464" s="5"/>
      <c r="D464" s="5" t="s">
        <v>8</v>
      </c>
      <c r="E464" s="15">
        <f>256.7</f>
        <v>256.7</v>
      </c>
      <c r="F464" s="15"/>
      <c r="G464" s="15"/>
    </row>
    <row r="465" spans="1:7" x14ac:dyDescent="0.3">
      <c r="A465" s="5"/>
      <c r="B465" s="5" t="s">
        <v>130</v>
      </c>
      <c r="C465" s="5"/>
      <c r="D465" s="5" t="s">
        <v>8</v>
      </c>
      <c r="E465" s="15">
        <f>34</f>
        <v>34</v>
      </c>
      <c r="F465" s="15"/>
      <c r="G465" s="15"/>
    </row>
    <row r="466" spans="1:7" x14ac:dyDescent="0.3">
      <c r="A466" s="5"/>
      <c r="B466" s="5" t="s">
        <v>131</v>
      </c>
      <c r="C466" s="5"/>
      <c r="D466" s="5" t="s">
        <v>8</v>
      </c>
      <c r="E466" s="15">
        <f>63.1</f>
        <v>63.1</v>
      </c>
      <c r="F466" s="15"/>
      <c r="G466" s="15"/>
    </row>
    <row r="467" spans="1:7" x14ac:dyDescent="0.3">
      <c r="A467" s="5"/>
      <c r="B467" s="5" t="s">
        <v>132</v>
      </c>
      <c r="C467" s="5"/>
      <c r="D467" s="5" t="s">
        <v>8</v>
      </c>
      <c r="E467" s="15">
        <f>2.1</f>
        <v>2.1</v>
      </c>
      <c r="F467" s="15"/>
      <c r="G467" s="15"/>
    </row>
    <row r="468" spans="1:7" ht="31.2" x14ac:dyDescent="0.3">
      <c r="A468" s="5"/>
      <c r="B468" s="11" t="s">
        <v>168</v>
      </c>
      <c r="C468" s="5"/>
      <c r="D468" s="5" t="s">
        <v>14</v>
      </c>
      <c r="E468" s="15">
        <f>1845</f>
        <v>1845</v>
      </c>
      <c r="F468" s="15"/>
      <c r="G468" s="15"/>
    </row>
    <row r="469" spans="1:7" ht="31.2" x14ac:dyDescent="0.3">
      <c r="A469" s="5"/>
      <c r="B469" s="11" t="s">
        <v>133</v>
      </c>
      <c r="C469" s="5"/>
      <c r="D469" s="5" t="s">
        <v>14</v>
      </c>
      <c r="E469" s="15">
        <f>1009</f>
        <v>1009</v>
      </c>
      <c r="F469" s="15"/>
      <c r="G469" s="15"/>
    </row>
    <row r="470" spans="1:7" x14ac:dyDescent="0.3">
      <c r="A470" s="21"/>
      <c r="B470" s="21" t="s">
        <v>134</v>
      </c>
      <c r="C470" s="21"/>
      <c r="D470" s="21" t="s">
        <v>14</v>
      </c>
      <c r="E470" s="22">
        <f>112</f>
        <v>112</v>
      </c>
      <c r="F470" s="22"/>
      <c r="G470" s="22"/>
    </row>
    <row r="471" spans="1:7" x14ac:dyDescent="0.3">
      <c r="A471" s="5"/>
      <c r="B471" s="5" t="s">
        <v>135</v>
      </c>
      <c r="C471" s="5"/>
      <c r="D471" s="5" t="s">
        <v>10</v>
      </c>
      <c r="E471" s="15">
        <f>315.5</f>
        <v>315.5</v>
      </c>
      <c r="F471" s="15"/>
      <c r="G471" s="15"/>
    </row>
    <row r="472" spans="1:7" x14ac:dyDescent="0.3">
      <c r="A472" s="5"/>
      <c r="B472" s="5" t="s">
        <v>136</v>
      </c>
      <c r="C472" s="5"/>
      <c r="D472" s="5" t="s">
        <v>8</v>
      </c>
      <c r="E472" s="15">
        <f>6</f>
        <v>6</v>
      </c>
      <c r="F472" s="15"/>
      <c r="G472" s="15"/>
    </row>
    <row r="473" spans="1:7" x14ac:dyDescent="0.3">
      <c r="A473" s="5"/>
      <c r="B473" s="5" t="s">
        <v>137</v>
      </c>
      <c r="C473" s="5"/>
      <c r="D473" s="5" t="s">
        <v>8</v>
      </c>
      <c r="E473" s="15">
        <f>2.7</f>
        <v>2.7</v>
      </c>
      <c r="F473" s="15"/>
      <c r="G473" s="15"/>
    </row>
    <row r="474" spans="1:7" x14ac:dyDescent="0.3">
      <c r="A474" s="5"/>
      <c r="B474" s="5" t="s">
        <v>138</v>
      </c>
      <c r="C474" s="5"/>
      <c r="D474" s="5" t="s">
        <v>8</v>
      </c>
      <c r="E474" s="15">
        <f>3.1</f>
        <v>3.1</v>
      </c>
      <c r="F474" s="15"/>
      <c r="G474" s="15"/>
    </row>
    <row r="475" spans="1:7" x14ac:dyDescent="0.3">
      <c r="A475" s="5"/>
      <c r="B475" s="5" t="s">
        <v>139</v>
      </c>
      <c r="C475" s="5"/>
      <c r="D475" s="5" t="s">
        <v>8</v>
      </c>
      <c r="E475" s="15">
        <f>0.7</f>
        <v>0.7</v>
      </c>
      <c r="F475" s="15"/>
      <c r="G475" s="15"/>
    </row>
    <row r="476" spans="1:7" x14ac:dyDescent="0.3">
      <c r="A476" s="21"/>
      <c r="B476" s="21" t="s">
        <v>140</v>
      </c>
      <c r="C476" s="21"/>
      <c r="D476" s="21" t="s">
        <v>10</v>
      </c>
      <c r="E476" s="22"/>
      <c r="F476" s="22"/>
      <c r="G476" s="22"/>
    </row>
    <row r="477" spans="1:7" x14ac:dyDescent="0.3">
      <c r="A477" s="5"/>
      <c r="B477" s="5" t="s">
        <v>141</v>
      </c>
      <c r="C477" s="5"/>
      <c r="D477" s="5" t="s">
        <v>10</v>
      </c>
      <c r="E477" s="15">
        <f>1486.4</f>
        <v>1486.4</v>
      </c>
      <c r="F477" s="15"/>
      <c r="G477" s="15"/>
    </row>
    <row r="478" spans="1:7" x14ac:dyDescent="0.3">
      <c r="A478" s="5"/>
      <c r="B478" s="5" t="s">
        <v>123</v>
      </c>
      <c r="C478" s="5"/>
      <c r="D478" s="5" t="s">
        <v>8</v>
      </c>
      <c r="E478" s="15">
        <f>141.2</f>
        <v>141.19999999999999</v>
      </c>
      <c r="F478" s="15"/>
      <c r="G478" s="15"/>
    </row>
    <row r="479" spans="1:7" x14ac:dyDescent="0.3">
      <c r="A479" s="5"/>
      <c r="B479" s="5" t="s">
        <v>124</v>
      </c>
      <c r="C479" s="5"/>
      <c r="D479" s="5" t="s">
        <v>8</v>
      </c>
      <c r="E479" s="15">
        <f>10.6</f>
        <v>10.6</v>
      </c>
      <c r="F479" s="15"/>
      <c r="G479" s="15"/>
    </row>
    <row r="480" spans="1:7" x14ac:dyDescent="0.3">
      <c r="A480" s="5"/>
      <c r="B480" s="5" t="s">
        <v>142</v>
      </c>
      <c r="C480" s="5"/>
      <c r="D480" s="5" t="s">
        <v>8</v>
      </c>
      <c r="E480" s="15">
        <f>8.1</f>
        <v>8.1</v>
      </c>
      <c r="F480" s="15"/>
      <c r="G480" s="15"/>
    </row>
    <row r="481" spans="1:7" ht="31.2" x14ac:dyDescent="0.3">
      <c r="A481" s="5"/>
      <c r="B481" s="11" t="s">
        <v>143</v>
      </c>
      <c r="C481" s="5"/>
      <c r="D481" s="5" t="s">
        <v>14</v>
      </c>
      <c r="E481" s="15">
        <f>1139</f>
        <v>1139</v>
      </c>
      <c r="F481" s="15"/>
      <c r="G481" s="15"/>
    </row>
    <row r="482" spans="1:7" x14ac:dyDescent="0.3">
      <c r="A482" s="21"/>
      <c r="B482" s="21" t="s">
        <v>169</v>
      </c>
      <c r="C482" s="21"/>
      <c r="D482" s="21" t="s">
        <v>14</v>
      </c>
      <c r="E482" s="22"/>
      <c r="F482" s="22"/>
      <c r="G482" s="22"/>
    </row>
    <row r="483" spans="1:7" x14ac:dyDescent="0.3">
      <c r="A483" s="5"/>
      <c r="B483" s="5" t="s">
        <v>170</v>
      </c>
      <c r="C483" s="5"/>
      <c r="D483" s="5" t="s">
        <v>10</v>
      </c>
      <c r="E483" s="15">
        <f>1315.8</f>
        <v>1315.8</v>
      </c>
      <c r="F483" s="15"/>
      <c r="G483" s="15"/>
    </row>
    <row r="484" spans="1:7" x14ac:dyDescent="0.3">
      <c r="A484" s="5"/>
      <c r="B484" s="5" t="s">
        <v>129</v>
      </c>
      <c r="C484" s="5"/>
      <c r="D484" s="5" t="s">
        <v>8</v>
      </c>
      <c r="E484" s="15">
        <f>131.6</f>
        <v>131.6</v>
      </c>
      <c r="F484" s="15"/>
      <c r="G484" s="15"/>
    </row>
    <row r="485" spans="1:7" x14ac:dyDescent="0.3">
      <c r="A485" s="5"/>
      <c r="B485" s="5" t="s">
        <v>124</v>
      </c>
      <c r="C485" s="5"/>
      <c r="D485" s="5" t="s">
        <v>8</v>
      </c>
      <c r="E485" s="15">
        <f>43.1</f>
        <v>43.1</v>
      </c>
      <c r="F485" s="15"/>
      <c r="G485" s="15"/>
    </row>
    <row r="486" spans="1:7" x14ac:dyDescent="0.3">
      <c r="A486" s="5"/>
      <c r="B486" s="5" t="s">
        <v>142</v>
      </c>
      <c r="C486" s="5"/>
      <c r="D486" s="5" t="s">
        <v>8</v>
      </c>
      <c r="E486" s="15">
        <f>18.5</f>
        <v>18.5</v>
      </c>
      <c r="F486" s="15"/>
      <c r="G486" s="15"/>
    </row>
    <row r="487" spans="1:7" ht="31.2" x14ac:dyDescent="0.3">
      <c r="A487" s="5"/>
      <c r="B487" s="11" t="s">
        <v>168</v>
      </c>
      <c r="C487" s="5"/>
      <c r="D487" s="5" t="s">
        <v>14</v>
      </c>
      <c r="E487" s="15">
        <f>1040</f>
        <v>1040</v>
      </c>
      <c r="F487" s="15"/>
      <c r="G487" s="15"/>
    </row>
    <row r="488" spans="1:7" x14ac:dyDescent="0.3">
      <c r="A488" s="5"/>
      <c r="B488" s="11" t="s">
        <v>172</v>
      </c>
      <c r="C488" s="5"/>
      <c r="D488" s="5" t="s">
        <v>8</v>
      </c>
      <c r="E488" s="15">
        <f>45.5</f>
        <v>45.5</v>
      </c>
      <c r="F488" s="15"/>
      <c r="G488" s="15"/>
    </row>
    <row r="489" spans="1:7" ht="31.2" x14ac:dyDescent="0.3">
      <c r="A489" s="5"/>
      <c r="B489" s="11" t="s">
        <v>173</v>
      </c>
      <c r="C489" s="5"/>
      <c r="D489" s="5" t="s">
        <v>14</v>
      </c>
      <c r="E489" s="15">
        <f>80</f>
        <v>80</v>
      </c>
      <c r="F489" s="15"/>
      <c r="G489" s="15"/>
    </row>
    <row r="490" spans="1:7" x14ac:dyDescent="0.3">
      <c r="A490" s="5"/>
      <c r="B490" s="11" t="s">
        <v>174</v>
      </c>
      <c r="C490" s="5"/>
      <c r="D490" s="5" t="s">
        <v>74</v>
      </c>
      <c r="E490" s="15">
        <f>1172</f>
        <v>1172</v>
      </c>
      <c r="F490" s="15"/>
      <c r="G490" s="15"/>
    </row>
    <row r="491" spans="1:7" x14ac:dyDescent="0.3">
      <c r="A491" s="21"/>
      <c r="B491" s="21" t="s">
        <v>171</v>
      </c>
      <c r="C491" s="21"/>
      <c r="D491" s="21" t="s">
        <v>14</v>
      </c>
      <c r="E491" s="22">
        <f>2</f>
        <v>2</v>
      </c>
      <c r="F491" s="22"/>
      <c r="G491" s="22"/>
    </row>
    <row r="492" spans="1:7" x14ac:dyDescent="0.3">
      <c r="A492" s="5"/>
      <c r="B492" s="5" t="s">
        <v>170</v>
      </c>
      <c r="C492" s="5"/>
      <c r="D492" s="5" t="s">
        <v>10</v>
      </c>
      <c r="E492" s="15">
        <f>2.9</f>
        <v>2.9</v>
      </c>
      <c r="F492" s="15"/>
      <c r="G492" s="15"/>
    </row>
    <row r="493" spans="1:7" x14ac:dyDescent="0.3">
      <c r="A493" s="5"/>
      <c r="B493" s="5" t="s">
        <v>124</v>
      </c>
      <c r="C493" s="5"/>
      <c r="D493" s="5" t="s">
        <v>8</v>
      </c>
      <c r="E493" s="15">
        <f>0.2</f>
        <v>0.2</v>
      </c>
      <c r="F493" s="15"/>
      <c r="G493" s="15"/>
    </row>
    <row r="494" spans="1:7" x14ac:dyDescent="0.3">
      <c r="A494" s="5"/>
      <c r="B494" s="5" t="s">
        <v>175</v>
      </c>
      <c r="C494" s="5"/>
      <c r="D494" s="5" t="s">
        <v>8</v>
      </c>
      <c r="E494" s="15">
        <f>0.2</f>
        <v>0.2</v>
      </c>
      <c r="F494" s="15"/>
      <c r="G494" s="15"/>
    </row>
    <row r="495" spans="1:7" x14ac:dyDescent="0.3">
      <c r="A495" s="21"/>
      <c r="B495" s="21" t="s">
        <v>176</v>
      </c>
      <c r="C495" s="21"/>
      <c r="D495" s="21"/>
      <c r="E495" s="22"/>
      <c r="F495" s="22"/>
      <c r="G495" s="22"/>
    </row>
    <row r="496" spans="1:7" x14ac:dyDescent="0.3">
      <c r="A496" s="5"/>
      <c r="B496" s="5" t="s">
        <v>170</v>
      </c>
      <c r="C496" s="5"/>
      <c r="D496" s="5" t="s">
        <v>10</v>
      </c>
      <c r="E496" s="15">
        <f>4763.7</f>
        <v>4763.7</v>
      </c>
      <c r="F496" s="15"/>
      <c r="G496" s="15"/>
    </row>
    <row r="497" spans="1:7" x14ac:dyDescent="0.3">
      <c r="A497" s="5"/>
      <c r="B497" s="5" t="s">
        <v>129</v>
      </c>
      <c r="C497" s="5"/>
      <c r="D497" s="5" t="s">
        <v>8</v>
      </c>
      <c r="E497" s="15">
        <f>1429.1</f>
        <v>1429.1</v>
      </c>
      <c r="F497" s="15"/>
      <c r="G497" s="15"/>
    </row>
    <row r="498" spans="1:7" x14ac:dyDescent="0.3">
      <c r="A498" s="5"/>
      <c r="B498" s="5" t="s">
        <v>131</v>
      </c>
      <c r="C498" s="5"/>
      <c r="D498" s="5" t="s">
        <v>8</v>
      </c>
      <c r="E498" s="15">
        <f>6.7</f>
        <v>6.7</v>
      </c>
      <c r="F498" s="15"/>
      <c r="G498" s="15"/>
    </row>
    <row r="499" spans="1:7" x14ac:dyDescent="0.3">
      <c r="A499" s="5"/>
      <c r="B499" s="5" t="s">
        <v>124</v>
      </c>
      <c r="C499" s="5"/>
      <c r="D499" s="5" t="s">
        <v>8</v>
      </c>
      <c r="E499" s="15">
        <f>274.3</f>
        <v>274.3</v>
      </c>
      <c r="F499" s="15"/>
      <c r="G499" s="15"/>
    </row>
    <row r="500" spans="1:7" x14ac:dyDescent="0.3">
      <c r="A500" s="5"/>
      <c r="B500" s="5" t="s">
        <v>142</v>
      </c>
      <c r="C500" s="5"/>
      <c r="D500" s="5" t="s">
        <v>8</v>
      </c>
      <c r="E500" s="15">
        <f>91.3</f>
        <v>91.3</v>
      </c>
      <c r="F500" s="15"/>
      <c r="G500" s="15"/>
    </row>
    <row r="501" spans="1:7" ht="31.2" x14ac:dyDescent="0.3">
      <c r="A501" s="5"/>
      <c r="B501" s="11" t="s">
        <v>168</v>
      </c>
      <c r="C501" s="5"/>
      <c r="D501" s="5" t="s">
        <v>14</v>
      </c>
      <c r="E501" s="15">
        <f>9437</f>
        <v>9437</v>
      </c>
      <c r="F501" s="15"/>
      <c r="G501" s="15"/>
    </row>
    <row r="502" spans="1:7" x14ac:dyDescent="0.3">
      <c r="A502" s="21"/>
      <c r="B502" s="21" t="s">
        <v>177</v>
      </c>
      <c r="C502" s="21"/>
      <c r="D502" s="21"/>
      <c r="E502" s="22"/>
      <c r="F502" s="22"/>
      <c r="G502" s="22"/>
    </row>
    <row r="503" spans="1:7" ht="31.2" x14ac:dyDescent="0.3">
      <c r="A503" s="5"/>
      <c r="B503" s="11" t="s">
        <v>178</v>
      </c>
      <c r="C503" s="5"/>
      <c r="D503" s="5" t="s">
        <v>8</v>
      </c>
      <c r="E503" s="15">
        <f>71.5</f>
        <v>71.5</v>
      </c>
      <c r="F503" s="15"/>
      <c r="G503" s="15"/>
    </row>
    <row r="504" spans="1:7" x14ac:dyDescent="0.3">
      <c r="A504" s="21"/>
      <c r="B504" s="21" t="s">
        <v>179</v>
      </c>
      <c r="C504" s="21"/>
      <c r="D504" s="21" t="s">
        <v>69</v>
      </c>
      <c r="E504" s="22">
        <f>2802</f>
        <v>2802</v>
      </c>
      <c r="F504" s="22"/>
      <c r="G504" s="22"/>
    </row>
    <row r="505" spans="1:7" x14ac:dyDescent="0.3">
      <c r="A505" s="5"/>
      <c r="B505" s="5" t="s">
        <v>153</v>
      </c>
      <c r="C505" s="5"/>
      <c r="D505" s="5" t="s">
        <v>72</v>
      </c>
      <c r="E505" s="15">
        <v>2208.5363999999995</v>
      </c>
      <c r="F505" s="15"/>
      <c r="G505" s="15"/>
    </row>
    <row r="506" spans="1:7" x14ac:dyDescent="0.3">
      <c r="A506" s="5"/>
      <c r="B506" s="5" t="s">
        <v>154</v>
      </c>
      <c r="C506" s="5"/>
      <c r="D506" s="5" t="s">
        <v>72</v>
      </c>
      <c r="E506" s="15">
        <v>1172.9171999999999</v>
      </c>
      <c r="F506" s="15"/>
      <c r="G506" s="15"/>
    </row>
    <row r="507" spans="1:7" x14ac:dyDescent="0.3">
      <c r="A507" s="5"/>
      <c r="B507" s="5" t="s">
        <v>155</v>
      </c>
      <c r="C507" s="5"/>
      <c r="D507" s="5" t="s">
        <v>72</v>
      </c>
      <c r="E507" s="15">
        <v>338.14535999999998</v>
      </c>
      <c r="F507" s="15"/>
      <c r="G507" s="15"/>
    </row>
    <row r="508" spans="1:7" x14ac:dyDescent="0.3">
      <c r="A508" s="21"/>
      <c r="B508" s="21" t="s">
        <v>180</v>
      </c>
      <c r="C508" s="21"/>
      <c r="D508" s="21"/>
      <c r="E508" s="22"/>
      <c r="F508" s="22"/>
      <c r="G508" s="22"/>
    </row>
    <row r="509" spans="1:7" ht="31.2" x14ac:dyDescent="0.3">
      <c r="A509" s="5"/>
      <c r="B509" s="11" t="s">
        <v>181</v>
      </c>
      <c r="C509" s="5"/>
      <c r="D509" s="5" t="s">
        <v>8</v>
      </c>
      <c r="E509" s="15">
        <f>227.9</f>
        <v>227.9</v>
      </c>
      <c r="F509" s="15"/>
      <c r="G509" s="15"/>
    </row>
    <row r="510" spans="1:7" x14ac:dyDescent="0.3">
      <c r="A510" s="5"/>
      <c r="B510" s="5" t="s">
        <v>182</v>
      </c>
      <c r="C510" s="5"/>
      <c r="D510" s="5" t="s">
        <v>8</v>
      </c>
      <c r="E510" s="15">
        <v>4</v>
      </c>
      <c r="F510" s="15"/>
      <c r="G510" s="15"/>
    </row>
    <row r="511" spans="1:7" x14ac:dyDescent="0.3">
      <c r="A511" s="21"/>
      <c r="B511" s="21" t="s">
        <v>183</v>
      </c>
      <c r="C511" s="21"/>
      <c r="D511" s="21" t="s">
        <v>69</v>
      </c>
      <c r="E511" s="22">
        <f>1301.7</f>
        <v>1301.7</v>
      </c>
      <c r="F511" s="22"/>
      <c r="G511" s="22"/>
    </row>
    <row r="512" spans="1:7" x14ac:dyDescent="0.3">
      <c r="A512" s="5"/>
      <c r="B512" s="5" t="s">
        <v>153</v>
      </c>
      <c r="C512" s="5"/>
      <c r="D512" s="5" t="s">
        <v>72</v>
      </c>
      <c r="E512" s="15">
        <v>1025.9999399999999</v>
      </c>
      <c r="F512" s="15"/>
      <c r="G512" s="15"/>
    </row>
    <row r="513" spans="1:7" x14ac:dyDescent="0.3">
      <c r="A513" s="5"/>
      <c r="B513" s="5" t="s">
        <v>154</v>
      </c>
      <c r="C513" s="5"/>
      <c r="D513" s="5" t="s">
        <v>72</v>
      </c>
      <c r="E513" s="15">
        <v>544.89161999999999</v>
      </c>
      <c r="F513" s="15"/>
      <c r="G513" s="15"/>
    </row>
    <row r="514" spans="1:7" x14ac:dyDescent="0.3">
      <c r="A514" s="5"/>
      <c r="B514" s="5" t="s">
        <v>155</v>
      </c>
      <c r="C514" s="5"/>
      <c r="D514" s="5" t="s">
        <v>72</v>
      </c>
      <c r="E514" s="15">
        <v>157.089156</v>
      </c>
      <c r="F514" s="15"/>
      <c r="G514" s="15"/>
    </row>
    <row r="515" spans="1:7" x14ac:dyDescent="0.3">
      <c r="A515" s="21"/>
      <c r="B515" s="21" t="s">
        <v>184</v>
      </c>
      <c r="C515" s="21"/>
      <c r="D515" s="21" t="s">
        <v>69</v>
      </c>
      <c r="E515" s="22">
        <f>130.2</f>
        <v>130.19999999999999</v>
      </c>
      <c r="F515" s="22"/>
      <c r="G515" s="22"/>
    </row>
    <row r="516" spans="1:7" x14ac:dyDescent="0.3">
      <c r="A516" s="5"/>
      <c r="B516" s="5" t="s">
        <v>153</v>
      </c>
      <c r="C516" s="5"/>
      <c r="D516" s="5" t="s">
        <v>72</v>
      </c>
      <c r="E516" s="15">
        <v>102.62363999999998</v>
      </c>
      <c r="F516" s="15"/>
      <c r="G516" s="15"/>
    </row>
    <row r="517" spans="1:7" x14ac:dyDescent="0.3">
      <c r="A517" s="5"/>
      <c r="B517" s="5" t="s">
        <v>155</v>
      </c>
      <c r="C517" s="5"/>
      <c r="D517" s="5" t="s">
        <v>72</v>
      </c>
      <c r="E517" s="15">
        <v>10.262363999999998</v>
      </c>
      <c r="F517" s="15"/>
      <c r="G517" s="15"/>
    </row>
    <row r="518" spans="1:7" x14ac:dyDescent="0.3">
      <c r="A518" s="21"/>
      <c r="B518" s="21" t="s">
        <v>164</v>
      </c>
      <c r="C518" s="21"/>
      <c r="D518" s="21" t="s">
        <v>158</v>
      </c>
      <c r="E518" s="22"/>
      <c r="F518" s="22"/>
      <c r="G518" s="22"/>
    </row>
    <row r="519" spans="1:7" x14ac:dyDescent="0.3">
      <c r="A519" s="5"/>
      <c r="B519" s="5" t="s">
        <v>152</v>
      </c>
      <c r="C519" s="5"/>
      <c r="D519" s="5" t="s">
        <v>8</v>
      </c>
      <c r="E519" s="15">
        <f>1</f>
        <v>1</v>
      </c>
      <c r="F519" s="15"/>
      <c r="G519" s="15"/>
    </row>
    <row r="520" spans="1:7" x14ac:dyDescent="0.3">
      <c r="A520" s="21"/>
      <c r="B520" s="21" t="s">
        <v>163</v>
      </c>
      <c r="C520" s="21"/>
      <c r="D520" s="21" t="s">
        <v>69</v>
      </c>
      <c r="E520" s="22">
        <f>36</f>
        <v>36</v>
      </c>
      <c r="F520" s="22"/>
      <c r="G520" s="22"/>
    </row>
    <row r="521" spans="1:7" x14ac:dyDescent="0.3">
      <c r="A521" s="5"/>
      <c r="B521" s="5" t="s">
        <v>153</v>
      </c>
      <c r="C521" s="5"/>
      <c r="D521" s="5" t="s">
        <v>72</v>
      </c>
      <c r="E521" s="15">
        <v>28.375199999999996</v>
      </c>
      <c r="F521" s="15"/>
      <c r="G521" s="15"/>
    </row>
    <row r="522" spans="1:7" x14ac:dyDescent="0.3">
      <c r="A522" s="5"/>
      <c r="B522" s="5" t="s">
        <v>154</v>
      </c>
      <c r="C522" s="5"/>
      <c r="D522" s="5" t="s">
        <v>72</v>
      </c>
      <c r="E522" s="15">
        <v>15.069599999999999</v>
      </c>
      <c r="F522" s="15"/>
      <c r="G522" s="15"/>
    </row>
    <row r="523" spans="1:7" x14ac:dyDescent="0.3">
      <c r="A523" s="5"/>
      <c r="B523" s="5" t="s">
        <v>155</v>
      </c>
      <c r="C523" s="5"/>
      <c r="D523" s="5" t="s">
        <v>72</v>
      </c>
      <c r="E523" s="15">
        <v>4.3444799999999999</v>
      </c>
      <c r="F523" s="15"/>
      <c r="G523" s="15"/>
    </row>
    <row r="524" spans="1:7" x14ac:dyDescent="0.3">
      <c r="A524" s="23"/>
      <c r="B524" s="23" t="s">
        <v>198</v>
      </c>
      <c r="C524" s="23"/>
      <c r="D524" s="23"/>
      <c r="E524" s="24"/>
      <c r="F524" s="24"/>
      <c r="G524" s="24"/>
    </row>
    <row r="525" spans="1:7" x14ac:dyDescent="0.3">
      <c r="A525" s="21"/>
      <c r="B525" s="21" t="s">
        <v>162</v>
      </c>
      <c r="C525" s="21"/>
      <c r="D525" s="21" t="s">
        <v>14</v>
      </c>
      <c r="E525" s="22">
        <f>32</f>
        <v>32</v>
      </c>
      <c r="F525" s="22"/>
      <c r="G525" s="22"/>
    </row>
    <row r="526" spans="1:7" x14ac:dyDescent="0.3">
      <c r="A526" s="5"/>
      <c r="B526" s="5" t="s">
        <v>122</v>
      </c>
      <c r="C526" s="5"/>
      <c r="D526" s="5" t="s">
        <v>10</v>
      </c>
      <c r="E526" s="15">
        <f>2154.5</f>
        <v>2154.5</v>
      </c>
      <c r="F526" s="15"/>
      <c r="G526" s="15"/>
    </row>
    <row r="527" spans="1:7" x14ac:dyDescent="0.3">
      <c r="A527" s="5"/>
      <c r="B527" s="5" t="s">
        <v>123</v>
      </c>
      <c r="C527" s="5"/>
      <c r="D527" s="5" t="s">
        <v>8</v>
      </c>
      <c r="E527" s="15">
        <f>457.2</f>
        <v>457.2</v>
      </c>
      <c r="F527" s="15"/>
      <c r="G527" s="15"/>
    </row>
    <row r="528" spans="1:7" x14ac:dyDescent="0.3">
      <c r="A528" s="5"/>
      <c r="B528" s="5" t="s">
        <v>124</v>
      </c>
      <c r="C528" s="5"/>
      <c r="D528" s="5" t="s">
        <v>8</v>
      </c>
      <c r="E528" s="15">
        <f>62.4</f>
        <v>62.4</v>
      </c>
      <c r="F528" s="15"/>
      <c r="G528" s="15"/>
    </row>
    <row r="529" spans="1:7" ht="31.2" x14ac:dyDescent="0.3">
      <c r="A529" s="5"/>
      <c r="B529" s="11" t="s">
        <v>126</v>
      </c>
      <c r="C529" s="5"/>
      <c r="D529" s="5" t="s">
        <v>14</v>
      </c>
      <c r="E529" s="15">
        <f>108</f>
        <v>108</v>
      </c>
      <c r="F529" s="15"/>
      <c r="G529" s="15"/>
    </row>
    <row r="530" spans="1:7" x14ac:dyDescent="0.3">
      <c r="A530" s="5"/>
      <c r="B530" s="5" t="s">
        <v>125</v>
      </c>
      <c r="C530" s="5"/>
      <c r="D530" s="5" t="s">
        <v>8</v>
      </c>
      <c r="E530" s="15">
        <f>19.6</f>
        <v>19.600000000000001</v>
      </c>
      <c r="F530" s="15"/>
      <c r="G530" s="15"/>
    </row>
    <row r="531" spans="1:7" x14ac:dyDescent="0.3">
      <c r="A531" s="5"/>
      <c r="B531" s="5" t="s">
        <v>122</v>
      </c>
      <c r="C531" s="5"/>
      <c r="D531" s="5" t="s">
        <v>10</v>
      </c>
      <c r="E531" s="15">
        <f>31.6</f>
        <v>31.6</v>
      </c>
      <c r="F531" s="15"/>
      <c r="G531" s="15"/>
    </row>
    <row r="532" spans="1:7" x14ac:dyDescent="0.3">
      <c r="A532" s="5"/>
      <c r="B532" s="5" t="s">
        <v>123</v>
      </c>
      <c r="C532" s="5"/>
      <c r="D532" s="5" t="s">
        <v>8</v>
      </c>
      <c r="E532" s="15">
        <f>5.9</f>
        <v>5.9</v>
      </c>
      <c r="F532" s="15"/>
      <c r="G532" s="15"/>
    </row>
    <row r="533" spans="1:7" x14ac:dyDescent="0.3">
      <c r="A533" s="5"/>
      <c r="B533" s="5" t="s">
        <v>124</v>
      </c>
      <c r="C533" s="5"/>
      <c r="D533" s="5" t="s">
        <v>8</v>
      </c>
      <c r="E533" s="15">
        <f>0.9</f>
        <v>0.9</v>
      </c>
      <c r="F533" s="15"/>
      <c r="G533" s="15"/>
    </row>
    <row r="534" spans="1:7" ht="31.2" x14ac:dyDescent="0.3">
      <c r="A534" s="5"/>
      <c r="B534" s="11" t="s">
        <v>126</v>
      </c>
      <c r="C534" s="5"/>
      <c r="D534" s="5" t="s">
        <v>14</v>
      </c>
      <c r="E534" s="15">
        <f>36</f>
        <v>36</v>
      </c>
      <c r="F534" s="15"/>
      <c r="G534" s="15"/>
    </row>
    <row r="535" spans="1:7" x14ac:dyDescent="0.3">
      <c r="A535" s="5"/>
      <c r="B535" s="5" t="s">
        <v>122</v>
      </c>
      <c r="C535" s="5"/>
      <c r="D535" s="5" t="s">
        <v>10</v>
      </c>
      <c r="E535" s="15">
        <f>62.9</f>
        <v>62.9</v>
      </c>
      <c r="F535" s="15"/>
      <c r="G535" s="15"/>
    </row>
    <row r="536" spans="1:7" x14ac:dyDescent="0.3">
      <c r="A536" s="5"/>
      <c r="B536" s="5" t="s">
        <v>123</v>
      </c>
      <c r="C536" s="5"/>
      <c r="D536" s="5" t="s">
        <v>8</v>
      </c>
      <c r="E536" s="15">
        <f>12.1</f>
        <v>12.1</v>
      </c>
      <c r="F536" s="15"/>
      <c r="G536" s="15"/>
    </row>
    <row r="537" spans="1:7" x14ac:dyDescent="0.3">
      <c r="A537" s="5"/>
      <c r="B537" s="5" t="s">
        <v>124</v>
      </c>
      <c r="C537" s="5"/>
      <c r="D537" s="5" t="s">
        <v>8</v>
      </c>
      <c r="E537" s="15">
        <f>1.9</f>
        <v>1.9</v>
      </c>
      <c r="F537" s="15"/>
      <c r="G537" s="15"/>
    </row>
    <row r="538" spans="1:7" ht="31.2" x14ac:dyDescent="0.3">
      <c r="A538" s="5"/>
      <c r="B538" s="11" t="s">
        <v>126</v>
      </c>
      <c r="C538" s="5"/>
      <c r="D538" s="5" t="s">
        <v>14</v>
      </c>
      <c r="E538" s="15">
        <f>72</f>
        <v>72</v>
      </c>
      <c r="F538" s="15"/>
      <c r="G538" s="15"/>
    </row>
    <row r="539" spans="1:7" x14ac:dyDescent="0.3">
      <c r="A539" s="21"/>
      <c r="B539" s="21" t="s">
        <v>127</v>
      </c>
      <c r="C539" s="21"/>
      <c r="D539" s="21" t="s">
        <v>14</v>
      </c>
      <c r="E539" s="22">
        <f>1</f>
        <v>1</v>
      </c>
      <c r="F539" s="22"/>
      <c r="G539" s="22"/>
    </row>
    <row r="540" spans="1:7" x14ac:dyDescent="0.3">
      <c r="A540" s="5"/>
      <c r="B540" s="5" t="s">
        <v>128</v>
      </c>
      <c r="C540" s="5"/>
      <c r="D540" s="5" t="s">
        <v>10</v>
      </c>
      <c r="E540" s="15">
        <f>992.4</f>
        <v>992.4</v>
      </c>
      <c r="F540" s="15"/>
      <c r="G540" s="15"/>
    </row>
    <row r="541" spans="1:7" x14ac:dyDescent="0.3">
      <c r="A541" s="5"/>
      <c r="B541" s="5" t="s">
        <v>123</v>
      </c>
      <c r="C541" s="5"/>
      <c r="D541" s="5" t="s">
        <v>8</v>
      </c>
      <c r="E541" s="15">
        <v>32.700000000000003</v>
      </c>
      <c r="F541" s="15"/>
      <c r="G541" s="15"/>
    </row>
    <row r="542" spans="1:7" x14ac:dyDescent="0.3">
      <c r="A542" s="5"/>
      <c r="B542" s="5" t="s">
        <v>129</v>
      </c>
      <c r="C542" s="5"/>
      <c r="D542" s="5" t="s">
        <v>8</v>
      </c>
      <c r="E542" s="15">
        <f>33.5</f>
        <v>33.5</v>
      </c>
      <c r="F542" s="15"/>
      <c r="G542" s="15"/>
    </row>
    <row r="543" spans="1:7" x14ac:dyDescent="0.3">
      <c r="A543" s="5"/>
      <c r="B543" s="5" t="s">
        <v>130</v>
      </c>
      <c r="C543" s="5"/>
      <c r="D543" s="5" t="s">
        <v>8</v>
      </c>
      <c r="E543" s="15">
        <f>10.2</f>
        <v>10.199999999999999</v>
      </c>
      <c r="F543" s="15"/>
      <c r="G543" s="15"/>
    </row>
    <row r="544" spans="1:7" x14ac:dyDescent="0.3">
      <c r="A544" s="5"/>
      <c r="B544" s="5" t="s">
        <v>131</v>
      </c>
      <c r="C544" s="5"/>
      <c r="D544" s="5" t="s">
        <v>8</v>
      </c>
      <c r="E544" s="15">
        <f>13.1</f>
        <v>13.1</v>
      </c>
      <c r="F544" s="15"/>
      <c r="G544" s="15"/>
    </row>
    <row r="545" spans="1:7" x14ac:dyDescent="0.3">
      <c r="A545" s="5"/>
      <c r="B545" s="5" t="s">
        <v>124</v>
      </c>
      <c r="C545" s="5"/>
      <c r="D545" s="5" t="s">
        <v>8</v>
      </c>
      <c r="E545" s="15">
        <f>1.7</f>
        <v>1.7</v>
      </c>
      <c r="F545" s="15"/>
      <c r="G545" s="15"/>
    </row>
    <row r="546" spans="1:7" x14ac:dyDescent="0.3">
      <c r="A546" s="5"/>
      <c r="B546" s="5" t="s">
        <v>132</v>
      </c>
      <c r="C546" s="5"/>
      <c r="D546" s="5" t="s">
        <v>8</v>
      </c>
      <c r="E546" s="15">
        <f>0.8</f>
        <v>0.8</v>
      </c>
      <c r="F546" s="15"/>
      <c r="G546" s="15"/>
    </row>
    <row r="547" spans="1:7" ht="31.2" x14ac:dyDescent="0.3">
      <c r="A547" s="5"/>
      <c r="B547" s="11" t="s">
        <v>133</v>
      </c>
      <c r="C547" s="5"/>
      <c r="D547" s="5" t="s">
        <v>14</v>
      </c>
      <c r="E547" s="15">
        <f>138</f>
        <v>138</v>
      </c>
      <c r="F547" s="15"/>
      <c r="G547" s="15"/>
    </row>
    <row r="548" spans="1:7" ht="31.2" x14ac:dyDescent="0.3">
      <c r="A548" s="5"/>
      <c r="B548" s="11" t="s">
        <v>126</v>
      </c>
      <c r="C548" s="5"/>
      <c r="D548" s="5" t="s">
        <v>14</v>
      </c>
      <c r="E548" s="15">
        <f>198</f>
        <v>198</v>
      </c>
      <c r="F548" s="15"/>
      <c r="G548" s="15"/>
    </row>
    <row r="549" spans="1:7" x14ac:dyDescent="0.3">
      <c r="A549" s="21"/>
      <c r="B549" s="21" t="s">
        <v>134</v>
      </c>
      <c r="C549" s="21"/>
      <c r="D549" s="21" t="s">
        <v>14</v>
      </c>
      <c r="E549" s="22">
        <f>72</f>
        <v>72</v>
      </c>
      <c r="F549" s="22"/>
      <c r="G549" s="22"/>
    </row>
    <row r="550" spans="1:7" x14ac:dyDescent="0.3">
      <c r="A550" s="5"/>
      <c r="B550" s="5" t="s">
        <v>135</v>
      </c>
      <c r="C550" s="5"/>
      <c r="D550" s="5" t="s">
        <v>10</v>
      </c>
      <c r="E550" s="15">
        <f>76.5</f>
        <v>76.5</v>
      </c>
      <c r="F550" s="15"/>
      <c r="G550" s="15"/>
    </row>
    <row r="551" spans="1:7" x14ac:dyDescent="0.3">
      <c r="A551" s="5"/>
      <c r="B551" s="5" t="s">
        <v>136</v>
      </c>
      <c r="C551" s="5"/>
      <c r="D551" s="5" t="s">
        <v>8</v>
      </c>
      <c r="E551" s="15">
        <f>2.1</f>
        <v>2.1</v>
      </c>
      <c r="F551" s="15"/>
      <c r="G551" s="15"/>
    </row>
    <row r="552" spans="1:7" x14ac:dyDescent="0.3">
      <c r="A552" s="5"/>
      <c r="B552" s="5" t="s">
        <v>137</v>
      </c>
      <c r="C552" s="5"/>
      <c r="D552" s="5" t="s">
        <v>8</v>
      </c>
      <c r="E552" s="15">
        <f>1.5</f>
        <v>1.5</v>
      </c>
      <c r="F552" s="15"/>
      <c r="G552" s="15"/>
    </row>
    <row r="553" spans="1:7" x14ac:dyDescent="0.3">
      <c r="A553" s="5"/>
      <c r="B553" s="5" t="s">
        <v>138</v>
      </c>
      <c r="C553" s="5"/>
      <c r="D553" s="5" t="s">
        <v>8</v>
      </c>
      <c r="E553" s="15">
        <f>0.9</f>
        <v>0.9</v>
      </c>
      <c r="F553" s="15"/>
      <c r="G553" s="15"/>
    </row>
    <row r="554" spans="1:7" x14ac:dyDescent="0.3">
      <c r="A554" s="5"/>
      <c r="B554" s="5" t="s">
        <v>139</v>
      </c>
      <c r="C554" s="5"/>
      <c r="D554" s="5" t="s">
        <v>8</v>
      </c>
      <c r="E554" s="15">
        <f>0.4</f>
        <v>0.4</v>
      </c>
      <c r="F554" s="15"/>
      <c r="G554" s="15"/>
    </row>
    <row r="555" spans="1:7" x14ac:dyDescent="0.3">
      <c r="A555" s="21"/>
      <c r="B555" s="21" t="s">
        <v>140</v>
      </c>
      <c r="C555" s="21"/>
      <c r="D555" s="21" t="s">
        <v>10</v>
      </c>
      <c r="E555" s="22">
        <f>145.9</f>
        <v>145.9</v>
      </c>
      <c r="F555" s="22"/>
      <c r="G555" s="22"/>
    </row>
    <row r="556" spans="1:7" x14ac:dyDescent="0.3">
      <c r="A556" s="5"/>
      <c r="B556" s="5" t="s">
        <v>141</v>
      </c>
      <c r="C556" s="5"/>
      <c r="D556" s="5" t="s">
        <v>10</v>
      </c>
      <c r="E556" s="15">
        <f>145.9</f>
        <v>145.9</v>
      </c>
      <c r="F556" s="15"/>
      <c r="G556" s="15"/>
    </row>
    <row r="557" spans="1:7" x14ac:dyDescent="0.3">
      <c r="A557" s="5"/>
      <c r="B557" s="5" t="s">
        <v>123</v>
      </c>
      <c r="C557" s="5"/>
      <c r="D557" s="5" t="s">
        <v>8</v>
      </c>
      <c r="E557" s="15">
        <f>40.5</f>
        <v>40.5</v>
      </c>
      <c r="F557" s="15"/>
      <c r="G557" s="15"/>
    </row>
    <row r="558" spans="1:7" x14ac:dyDescent="0.3">
      <c r="A558" s="5"/>
      <c r="B558" s="5" t="s">
        <v>124</v>
      </c>
      <c r="C558" s="5"/>
      <c r="D558" s="5" t="s">
        <v>8</v>
      </c>
      <c r="E558" s="15">
        <f>6.6</f>
        <v>6.6</v>
      </c>
      <c r="F558" s="15"/>
      <c r="G558" s="15"/>
    </row>
    <row r="559" spans="1:7" x14ac:dyDescent="0.3">
      <c r="A559" s="5"/>
      <c r="B559" s="5" t="s">
        <v>142</v>
      </c>
      <c r="C559" s="5"/>
      <c r="D559" s="5" t="s">
        <v>8</v>
      </c>
      <c r="E559" s="15">
        <f>1.5</f>
        <v>1.5</v>
      </c>
      <c r="F559" s="15"/>
      <c r="G559" s="15"/>
    </row>
    <row r="560" spans="1:7" ht="31.2" x14ac:dyDescent="0.3">
      <c r="A560" s="5"/>
      <c r="B560" s="11" t="s">
        <v>143</v>
      </c>
      <c r="C560" s="5"/>
      <c r="D560" s="5" t="s">
        <v>14</v>
      </c>
      <c r="E560" s="15">
        <f>204</f>
        <v>204</v>
      </c>
      <c r="F560" s="15"/>
      <c r="G560" s="15"/>
    </row>
    <row r="561" spans="1:7" x14ac:dyDescent="0.3">
      <c r="A561" s="21"/>
      <c r="B561" s="21" t="s">
        <v>144</v>
      </c>
      <c r="C561" s="21"/>
      <c r="D561" s="21" t="s">
        <v>14</v>
      </c>
      <c r="E561" s="22">
        <f>1</f>
        <v>1</v>
      </c>
      <c r="F561" s="22"/>
      <c r="G561" s="22"/>
    </row>
    <row r="562" spans="1:7" x14ac:dyDescent="0.3">
      <c r="A562" s="5"/>
      <c r="B562" s="5" t="s">
        <v>145</v>
      </c>
      <c r="C562" s="5"/>
      <c r="D562" s="5" t="s">
        <v>10</v>
      </c>
      <c r="E562" s="15">
        <f>108.4</f>
        <v>108.4</v>
      </c>
      <c r="F562" s="15"/>
      <c r="G562" s="15"/>
    </row>
    <row r="563" spans="1:7" x14ac:dyDescent="0.3">
      <c r="A563" s="5"/>
      <c r="B563" s="5" t="s">
        <v>129</v>
      </c>
      <c r="C563" s="5"/>
      <c r="D563" s="5" t="s">
        <v>8</v>
      </c>
      <c r="E563" s="15">
        <f>2.1</f>
        <v>2.1</v>
      </c>
      <c r="F563" s="15"/>
      <c r="G563" s="15"/>
    </row>
    <row r="564" spans="1:7" x14ac:dyDescent="0.3">
      <c r="A564" s="5"/>
      <c r="B564" s="5" t="s">
        <v>130</v>
      </c>
      <c r="C564" s="5"/>
      <c r="D564" s="5" t="s">
        <v>8</v>
      </c>
      <c r="E564" s="15">
        <f>1.3</f>
        <v>1.3</v>
      </c>
      <c r="F564" s="15"/>
      <c r="G564" s="15"/>
    </row>
    <row r="565" spans="1:7" x14ac:dyDescent="0.3">
      <c r="A565" s="5"/>
      <c r="B565" s="5" t="s">
        <v>131</v>
      </c>
      <c r="C565" s="5"/>
      <c r="D565" s="5" t="s">
        <v>8</v>
      </c>
      <c r="E565" s="15">
        <f>2.3</f>
        <v>2.2999999999999998</v>
      </c>
      <c r="F565" s="15"/>
      <c r="G565" s="15"/>
    </row>
    <row r="566" spans="1:7" ht="31.2" x14ac:dyDescent="0.3">
      <c r="A566" s="5"/>
      <c r="B566" s="11" t="s">
        <v>133</v>
      </c>
      <c r="C566" s="5"/>
      <c r="D566" s="5" t="s">
        <v>14</v>
      </c>
      <c r="E566" s="15">
        <f>27</f>
        <v>27</v>
      </c>
      <c r="F566" s="15"/>
      <c r="G566" s="15"/>
    </row>
    <row r="567" spans="1:7" x14ac:dyDescent="0.3">
      <c r="A567" s="21"/>
      <c r="B567" s="21" t="s">
        <v>171</v>
      </c>
      <c r="C567" s="21"/>
      <c r="D567" s="21" t="s">
        <v>14</v>
      </c>
      <c r="E567" s="22">
        <f>2</f>
        <v>2</v>
      </c>
      <c r="F567" s="22"/>
      <c r="G567" s="22"/>
    </row>
    <row r="568" spans="1:7" x14ac:dyDescent="0.3">
      <c r="A568" s="5"/>
      <c r="B568" s="5" t="s">
        <v>145</v>
      </c>
      <c r="C568" s="5"/>
      <c r="D568" s="5" t="s">
        <v>10</v>
      </c>
      <c r="E568" s="15">
        <f>4.2</f>
        <v>4.2</v>
      </c>
      <c r="F568" s="15"/>
      <c r="G568" s="15"/>
    </row>
    <row r="569" spans="1:7" x14ac:dyDescent="0.3">
      <c r="A569" s="5"/>
      <c r="B569" s="5" t="s">
        <v>124</v>
      </c>
      <c r="C569" s="5"/>
      <c r="D569" s="5" t="s">
        <v>8</v>
      </c>
      <c r="E569" s="15">
        <f>0.2</f>
        <v>0.2</v>
      </c>
      <c r="F569" s="15"/>
      <c r="G569" s="15"/>
    </row>
    <row r="570" spans="1:7" x14ac:dyDescent="0.3">
      <c r="A570" s="5"/>
      <c r="B570" s="5" t="s">
        <v>138</v>
      </c>
      <c r="C570" s="5"/>
      <c r="D570" s="5" t="s">
        <v>8</v>
      </c>
      <c r="E570" s="15">
        <f>0.3</f>
        <v>0.3</v>
      </c>
      <c r="F570" s="15"/>
      <c r="G570" s="15"/>
    </row>
    <row r="571" spans="1:7" x14ac:dyDescent="0.3">
      <c r="A571" s="21"/>
      <c r="B571" s="21" t="s">
        <v>164</v>
      </c>
      <c r="C571" s="21"/>
      <c r="D571" s="21" t="s">
        <v>158</v>
      </c>
      <c r="E571" s="22">
        <f>1</f>
        <v>1</v>
      </c>
      <c r="F571" s="22"/>
      <c r="G571" s="22"/>
    </row>
    <row r="572" spans="1:7" x14ac:dyDescent="0.3">
      <c r="A572" s="5"/>
      <c r="B572" s="5" t="s">
        <v>152</v>
      </c>
      <c r="C572" s="5"/>
      <c r="D572" s="5" t="s">
        <v>8</v>
      </c>
      <c r="E572" s="15">
        <f>0.5</f>
        <v>0.5</v>
      </c>
      <c r="F572" s="15"/>
      <c r="G572" s="15"/>
    </row>
    <row r="573" spans="1:7" x14ac:dyDescent="0.3">
      <c r="A573" s="21"/>
      <c r="B573" s="21" t="s">
        <v>163</v>
      </c>
      <c r="C573" s="21"/>
      <c r="D573" s="21" t="s">
        <v>69</v>
      </c>
      <c r="E573" s="22">
        <f>22</f>
        <v>22</v>
      </c>
      <c r="F573" s="22"/>
      <c r="G573" s="22"/>
    </row>
    <row r="574" spans="1:7" x14ac:dyDescent="0.3">
      <c r="A574" s="5"/>
      <c r="B574" s="5" t="s">
        <v>153</v>
      </c>
      <c r="C574" s="5"/>
      <c r="D574" s="5" t="s">
        <v>72</v>
      </c>
      <c r="E574" s="15">
        <v>17.340399999999999</v>
      </c>
      <c r="F574" s="15"/>
      <c r="G574" s="15"/>
    </row>
    <row r="575" spans="1:7" x14ac:dyDescent="0.3">
      <c r="A575" s="5"/>
      <c r="B575" s="5" t="s">
        <v>154</v>
      </c>
      <c r="C575" s="5"/>
      <c r="D575" s="5" t="s">
        <v>72</v>
      </c>
      <c r="E575" s="15">
        <v>9.2091999999999992</v>
      </c>
      <c r="F575" s="15"/>
      <c r="G575" s="15"/>
    </row>
    <row r="576" spans="1:7" x14ac:dyDescent="0.3">
      <c r="A576" s="5"/>
      <c r="B576" s="5" t="s">
        <v>155</v>
      </c>
      <c r="C576" s="5"/>
      <c r="D576" s="5" t="s">
        <v>72</v>
      </c>
      <c r="E576" s="15">
        <v>2.65496</v>
      </c>
      <c r="F576" s="15"/>
      <c r="G576" s="15"/>
    </row>
    <row r="577" spans="1:126" s="25" customFormat="1" x14ac:dyDescent="0.3">
      <c r="A577" s="23"/>
      <c r="B577" s="23" t="s">
        <v>199</v>
      </c>
      <c r="C577" s="23"/>
      <c r="D577" s="23"/>
      <c r="E577" s="24"/>
      <c r="F577" s="24"/>
      <c r="G577" s="24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59"/>
      <c r="AU577" s="59"/>
      <c r="AV577" s="59"/>
      <c r="AW577" s="59"/>
      <c r="AX577" s="59"/>
      <c r="AY577" s="59"/>
      <c r="AZ577" s="59"/>
      <c r="BA577" s="59"/>
      <c r="BB577" s="59"/>
      <c r="BC577" s="59"/>
      <c r="BD577" s="59"/>
      <c r="BE577" s="59"/>
      <c r="BF577" s="59"/>
      <c r="BG577" s="59"/>
      <c r="BH577" s="59"/>
      <c r="BI577" s="59"/>
      <c r="BJ577" s="59"/>
      <c r="BK577" s="59"/>
      <c r="BL577" s="59"/>
      <c r="BM577" s="59"/>
      <c r="BN577" s="59"/>
      <c r="BO577" s="59"/>
      <c r="BP577" s="59"/>
      <c r="BQ577" s="59"/>
      <c r="BR577" s="59"/>
      <c r="BS577" s="59"/>
      <c r="BT577" s="59"/>
      <c r="BU577" s="59"/>
      <c r="BV577" s="59"/>
      <c r="BW577" s="59"/>
      <c r="BX577" s="59"/>
      <c r="BY577" s="59"/>
      <c r="BZ577" s="59"/>
      <c r="CA577" s="59"/>
      <c r="CB577" s="59"/>
      <c r="CC577" s="59"/>
      <c r="CD577" s="59"/>
      <c r="CE577" s="59"/>
      <c r="CF577" s="59"/>
      <c r="CG577" s="59"/>
      <c r="CH577" s="59"/>
      <c r="CI577" s="59"/>
      <c r="CJ577" s="59"/>
      <c r="CK577" s="59"/>
      <c r="CL577" s="59"/>
      <c r="CM577" s="59"/>
      <c r="CN577" s="59"/>
      <c r="CO577" s="59"/>
      <c r="CP577" s="59"/>
      <c r="CQ577" s="59"/>
      <c r="CR577" s="59"/>
      <c r="CS577" s="59"/>
      <c r="CT577" s="59"/>
      <c r="CU577" s="59"/>
      <c r="CV577" s="59"/>
      <c r="CW577" s="59"/>
      <c r="CX577" s="59"/>
      <c r="CY577" s="59"/>
      <c r="CZ577" s="59"/>
      <c r="DA577" s="59"/>
      <c r="DB577" s="59"/>
      <c r="DC577" s="59"/>
      <c r="DD577" s="59"/>
      <c r="DE577" s="59"/>
      <c r="DF577" s="59"/>
      <c r="DG577" s="59"/>
      <c r="DH577" s="59"/>
      <c r="DI577" s="59"/>
      <c r="DJ577" s="59"/>
      <c r="DK577" s="59"/>
      <c r="DL577" s="59"/>
      <c r="DM577" s="59"/>
      <c r="DN577" s="59"/>
      <c r="DO577" s="59"/>
      <c r="DP577" s="59"/>
      <c r="DQ577" s="59"/>
      <c r="DR577" s="59"/>
      <c r="DS577" s="59"/>
      <c r="DT577" s="59"/>
      <c r="DU577" s="59"/>
      <c r="DV577" s="59"/>
    </row>
    <row r="578" spans="1:126" s="3" customFormat="1" x14ac:dyDescent="0.3">
      <c r="A578" s="21"/>
      <c r="B578" s="21" t="s">
        <v>200</v>
      </c>
      <c r="C578" s="21"/>
      <c r="D578" s="21" t="s">
        <v>14</v>
      </c>
      <c r="E578" s="22">
        <f>32</f>
        <v>32</v>
      </c>
      <c r="F578" s="22"/>
      <c r="G578" s="22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  <c r="CF578" s="59"/>
      <c r="CG578" s="59"/>
      <c r="CH578" s="59"/>
      <c r="CI578" s="59"/>
      <c r="CJ578" s="59"/>
      <c r="CK578" s="59"/>
      <c r="CL578" s="59"/>
      <c r="CM578" s="59"/>
      <c r="CN578" s="59"/>
      <c r="CO578" s="59"/>
      <c r="CP578" s="59"/>
      <c r="CQ578" s="59"/>
      <c r="CR578" s="59"/>
      <c r="CS578" s="59"/>
      <c r="CT578" s="59"/>
      <c r="CU578" s="59"/>
      <c r="CV578" s="59"/>
      <c r="CW578" s="59"/>
      <c r="CX578" s="59"/>
      <c r="CY578" s="59"/>
      <c r="CZ578" s="59"/>
      <c r="DA578" s="59"/>
      <c r="DB578" s="59"/>
      <c r="DC578" s="59"/>
      <c r="DD578" s="59"/>
      <c r="DE578" s="59"/>
      <c r="DF578" s="59"/>
      <c r="DG578" s="59"/>
      <c r="DH578" s="59"/>
      <c r="DI578" s="59"/>
      <c r="DJ578" s="59"/>
      <c r="DK578" s="59"/>
      <c r="DL578" s="59"/>
      <c r="DM578" s="59"/>
      <c r="DN578" s="59"/>
      <c r="DO578" s="59"/>
      <c r="DP578" s="59"/>
      <c r="DQ578" s="59"/>
      <c r="DR578" s="59"/>
      <c r="DS578" s="59"/>
      <c r="DT578" s="59"/>
      <c r="DU578" s="59"/>
      <c r="DV578" s="59"/>
    </row>
    <row r="579" spans="1:126" x14ac:dyDescent="0.3">
      <c r="A579" s="5"/>
      <c r="B579" s="5" t="s">
        <v>122</v>
      </c>
      <c r="C579" s="5"/>
      <c r="D579" s="5" t="s">
        <v>10</v>
      </c>
      <c r="E579" s="15">
        <f>1532.5</f>
        <v>1532.5</v>
      </c>
      <c r="F579" s="15"/>
      <c r="G579" s="15"/>
    </row>
    <row r="580" spans="1:126" x14ac:dyDescent="0.3">
      <c r="A580" s="5"/>
      <c r="B580" s="5" t="s">
        <v>123</v>
      </c>
      <c r="C580" s="5"/>
      <c r="D580" s="5" t="s">
        <v>8</v>
      </c>
      <c r="E580" s="15">
        <f>332.1</f>
        <v>332.1</v>
      </c>
      <c r="F580" s="15"/>
      <c r="G580" s="15"/>
    </row>
    <row r="581" spans="1:126" x14ac:dyDescent="0.3">
      <c r="A581" s="5"/>
      <c r="B581" s="5" t="s">
        <v>124</v>
      </c>
      <c r="C581" s="5"/>
      <c r="D581" s="5" t="s">
        <v>8</v>
      </c>
      <c r="E581" s="15">
        <f>43.9</f>
        <v>43.9</v>
      </c>
      <c r="F581" s="15"/>
      <c r="G581" s="15"/>
    </row>
    <row r="582" spans="1:126" ht="31.2" x14ac:dyDescent="0.3">
      <c r="A582" s="5"/>
      <c r="B582" s="11" t="s">
        <v>126</v>
      </c>
      <c r="C582" s="5"/>
      <c r="D582" s="5" t="s">
        <v>14</v>
      </c>
      <c r="E582" s="15">
        <f>72</f>
        <v>72</v>
      </c>
      <c r="F582" s="15"/>
      <c r="G582" s="15"/>
    </row>
    <row r="583" spans="1:126" x14ac:dyDescent="0.3">
      <c r="A583" s="5"/>
      <c r="B583" s="5" t="s">
        <v>125</v>
      </c>
      <c r="C583" s="5"/>
      <c r="D583" s="5" t="s">
        <v>8</v>
      </c>
      <c r="E583" s="15">
        <f>14</f>
        <v>14</v>
      </c>
      <c r="F583" s="15"/>
      <c r="G583" s="15"/>
    </row>
    <row r="584" spans="1:126" x14ac:dyDescent="0.3">
      <c r="A584" s="5"/>
      <c r="B584" s="5" t="s">
        <v>122</v>
      </c>
      <c r="C584" s="5"/>
      <c r="D584" s="5" t="s">
        <v>10</v>
      </c>
      <c r="E584" s="15">
        <f>26</f>
        <v>26</v>
      </c>
      <c r="F584" s="15"/>
      <c r="G584" s="15"/>
    </row>
    <row r="585" spans="1:126" x14ac:dyDescent="0.3">
      <c r="A585" s="5"/>
      <c r="B585" s="5" t="s">
        <v>123</v>
      </c>
      <c r="C585" s="5"/>
      <c r="D585" s="5" t="s">
        <v>8</v>
      </c>
      <c r="E585" s="15">
        <f>4.8</f>
        <v>4.8</v>
      </c>
      <c r="F585" s="15"/>
      <c r="G585" s="15"/>
    </row>
    <row r="586" spans="1:126" x14ac:dyDescent="0.3">
      <c r="A586" s="5"/>
      <c r="B586" s="5" t="s">
        <v>124</v>
      </c>
      <c r="C586" s="5"/>
      <c r="D586" s="5" t="s">
        <v>8</v>
      </c>
      <c r="E586" s="15">
        <f>0.8</f>
        <v>0.8</v>
      </c>
      <c r="F586" s="15"/>
      <c r="G586" s="15"/>
    </row>
    <row r="587" spans="1:126" ht="31.2" x14ac:dyDescent="0.3">
      <c r="A587" s="5"/>
      <c r="B587" s="11" t="s">
        <v>126</v>
      </c>
      <c r="C587" s="5"/>
      <c r="D587" s="5" t="s">
        <v>14</v>
      </c>
      <c r="E587" s="15">
        <f>36</f>
        <v>36</v>
      </c>
      <c r="F587" s="15"/>
      <c r="G587" s="15"/>
    </row>
    <row r="588" spans="1:126" x14ac:dyDescent="0.3">
      <c r="A588" s="5"/>
      <c r="B588" s="5" t="s">
        <v>122</v>
      </c>
      <c r="C588" s="5"/>
      <c r="D588" s="5" t="s">
        <v>10</v>
      </c>
      <c r="E588" s="15">
        <f>51.7</f>
        <v>51.7</v>
      </c>
      <c r="F588" s="15"/>
      <c r="G588" s="15"/>
    </row>
    <row r="589" spans="1:126" x14ac:dyDescent="0.3">
      <c r="A589" s="5"/>
      <c r="B589" s="5" t="s">
        <v>123</v>
      </c>
      <c r="C589" s="5"/>
      <c r="D589" s="5" t="s">
        <v>8</v>
      </c>
      <c r="E589" s="15">
        <f>9.9</f>
        <v>9.9</v>
      </c>
      <c r="F589" s="15"/>
      <c r="G589" s="15"/>
    </row>
    <row r="590" spans="1:126" x14ac:dyDescent="0.3">
      <c r="A590" s="5"/>
      <c r="B590" s="5" t="s">
        <v>124</v>
      </c>
      <c r="C590" s="5"/>
      <c r="D590" s="5" t="s">
        <v>8</v>
      </c>
      <c r="E590" s="15">
        <f>1.5</f>
        <v>1.5</v>
      </c>
      <c r="F590" s="15"/>
      <c r="G590" s="15"/>
    </row>
    <row r="591" spans="1:126" ht="31.2" x14ac:dyDescent="0.3">
      <c r="A591" s="5"/>
      <c r="B591" s="11" t="s">
        <v>126</v>
      </c>
      <c r="C591" s="5"/>
      <c r="D591" s="5" t="s">
        <v>14</v>
      </c>
      <c r="E591" s="15">
        <f>72</f>
        <v>72</v>
      </c>
      <c r="F591" s="15"/>
      <c r="G591" s="15"/>
    </row>
    <row r="592" spans="1:126" s="3" customFormat="1" x14ac:dyDescent="0.3">
      <c r="A592" s="21"/>
      <c r="B592" s="21" t="s">
        <v>127</v>
      </c>
      <c r="C592" s="21"/>
      <c r="D592" s="21" t="s">
        <v>14</v>
      </c>
      <c r="E592" s="22">
        <f>1</f>
        <v>1</v>
      </c>
      <c r="F592" s="22"/>
      <c r="G592" s="22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  <c r="AX592" s="59"/>
      <c r="AY592" s="59"/>
      <c r="AZ592" s="59"/>
      <c r="BA592" s="59"/>
      <c r="BB592" s="59"/>
      <c r="BC592" s="59"/>
      <c r="BD592" s="59"/>
      <c r="BE592" s="59"/>
      <c r="BF592" s="59"/>
      <c r="BG592" s="59"/>
      <c r="BH592" s="59"/>
      <c r="BI592" s="59"/>
      <c r="BJ592" s="59"/>
      <c r="BK592" s="59"/>
      <c r="BL592" s="59"/>
      <c r="BM592" s="59"/>
      <c r="BN592" s="59"/>
      <c r="BO592" s="59"/>
      <c r="BP592" s="59"/>
      <c r="BQ592" s="59"/>
      <c r="BR592" s="59"/>
      <c r="BS592" s="59"/>
      <c r="BT592" s="59"/>
      <c r="BU592" s="59"/>
      <c r="BV592" s="59"/>
      <c r="BW592" s="59"/>
      <c r="BX592" s="59"/>
      <c r="BY592" s="59"/>
      <c r="BZ592" s="59"/>
      <c r="CA592" s="59"/>
      <c r="CB592" s="59"/>
      <c r="CC592" s="59"/>
      <c r="CD592" s="59"/>
      <c r="CE592" s="59"/>
      <c r="CF592" s="59"/>
      <c r="CG592" s="59"/>
      <c r="CH592" s="59"/>
      <c r="CI592" s="59"/>
      <c r="CJ592" s="59"/>
      <c r="CK592" s="59"/>
      <c r="CL592" s="59"/>
      <c r="CM592" s="59"/>
      <c r="CN592" s="59"/>
      <c r="CO592" s="59"/>
      <c r="CP592" s="59"/>
      <c r="CQ592" s="59"/>
      <c r="CR592" s="59"/>
      <c r="CS592" s="59"/>
      <c r="CT592" s="59"/>
      <c r="CU592" s="59"/>
      <c r="CV592" s="59"/>
      <c r="CW592" s="59"/>
      <c r="CX592" s="59"/>
      <c r="CY592" s="59"/>
      <c r="CZ592" s="59"/>
      <c r="DA592" s="59"/>
      <c r="DB592" s="59"/>
      <c r="DC592" s="59"/>
      <c r="DD592" s="59"/>
      <c r="DE592" s="59"/>
      <c r="DF592" s="59"/>
      <c r="DG592" s="59"/>
      <c r="DH592" s="59"/>
      <c r="DI592" s="59"/>
      <c r="DJ592" s="59"/>
      <c r="DK592" s="59"/>
      <c r="DL592" s="59"/>
      <c r="DM592" s="59"/>
      <c r="DN592" s="59"/>
      <c r="DO592" s="59"/>
      <c r="DP592" s="59"/>
      <c r="DQ592" s="59"/>
      <c r="DR592" s="59"/>
      <c r="DS592" s="59"/>
      <c r="DT592" s="59"/>
      <c r="DU592" s="59"/>
      <c r="DV592" s="59"/>
    </row>
    <row r="593" spans="1:7" x14ac:dyDescent="0.3">
      <c r="A593" s="5"/>
      <c r="B593" s="5" t="s">
        <v>128</v>
      </c>
      <c r="C593" s="5"/>
      <c r="D593" s="5" t="s">
        <v>10</v>
      </c>
      <c r="E593" s="15">
        <f>992.4</f>
        <v>992.4</v>
      </c>
      <c r="F593" s="15"/>
      <c r="G593" s="15"/>
    </row>
    <row r="594" spans="1:7" x14ac:dyDescent="0.3">
      <c r="A594" s="5"/>
      <c r="B594" s="5" t="s">
        <v>123</v>
      </c>
      <c r="C594" s="5"/>
      <c r="D594" s="5" t="s">
        <v>8</v>
      </c>
      <c r="E594" s="15">
        <v>32.700000000000003</v>
      </c>
      <c r="F594" s="15"/>
      <c r="G594" s="15"/>
    </row>
    <row r="595" spans="1:7" x14ac:dyDescent="0.3">
      <c r="A595" s="5"/>
      <c r="B595" s="5" t="s">
        <v>129</v>
      </c>
      <c r="C595" s="5"/>
      <c r="D595" s="5" t="s">
        <v>8</v>
      </c>
      <c r="E595" s="15">
        <f>33.5</f>
        <v>33.5</v>
      </c>
      <c r="F595" s="15"/>
      <c r="G595" s="15"/>
    </row>
    <row r="596" spans="1:7" x14ac:dyDescent="0.3">
      <c r="A596" s="5"/>
      <c r="B596" s="5" t="s">
        <v>130</v>
      </c>
      <c r="C596" s="5"/>
      <c r="D596" s="5" t="s">
        <v>8</v>
      </c>
      <c r="E596" s="15">
        <f>10.2</f>
        <v>10.199999999999999</v>
      </c>
      <c r="F596" s="15"/>
      <c r="G596" s="15"/>
    </row>
    <row r="597" spans="1:7" x14ac:dyDescent="0.3">
      <c r="A597" s="5"/>
      <c r="B597" s="5" t="s">
        <v>131</v>
      </c>
      <c r="C597" s="5"/>
      <c r="D597" s="5" t="s">
        <v>8</v>
      </c>
      <c r="E597" s="15">
        <f>13.1</f>
        <v>13.1</v>
      </c>
      <c r="F597" s="15"/>
      <c r="G597" s="15"/>
    </row>
    <row r="598" spans="1:7" x14ac:dyDescent="0.3">
      <c r="A598" s="5"/>
      <c r="B598" s="5" t="s">
        <v>124</v>
      </c>
      <c r="C598" s="5"/>
      <c r="D598" s="5" t="s">
        <v>8</v>
      </c>
      <c r="E598" s="15">
        <f>4.2</f>
        <v>4.2</v>
      </c>
      <c r="F598" s="15"/>
      <c r="G598" s="15"/>
    </row>
    <row r="599" spans="1:7" x14ac:dyDescent="0.3">
      <c r="A599" s="5"/>
      <c r="B599" s="5" t="s">
        <v>132</v>
      </c>
      <c r="C599" s="5"/>
      <c r="D599" s="5" t="s">
        <v>8</v>
      </c>
      <c r="E599" s="15">
        <f>0.8</f>
        <v>0.8</v>
      </c>
      <c r="F599" s="15"/>
      <c r="G599" s="15"/>
    </row>
    <row r="600" spans="1:7" ht="31.2" x14ac:dyDescent="0.3">
      <c r="A600" s="5"/>
      <c r="B600" s="11" t="s">
        <v>133</v>
      </c>
      <c r="C600" s="5"/>
      <c r="D600" s="5" t="s">
        <v>14</v>
      </c>
      <c r="E600" s="15">
        <f>138</f>
        <v>138</v>
      </c>
      <c r="F600" s="15"/>
      <c r="G600" s="15"/>
    </row>
    <row r="601" spans="1:7" ht="31.2" x14ac:dyDescent="0.3">
      <c r="A601" s="5"/>
      <c r="B601" s="11" t="s">
        <v>126</v>
      </c>
      <c r="C601" s="5"/>
      <c r="D601" s="5" t="s">
        <v>14</v>
      </c>
      <c r="E601" s="15">
        <f>198</f>
        <v>198</v>
      </c>
      <c r="F601" s="15"/>
      <c r="G601" s="15"/>
    </row>
    <row r="602" spans="1:7" x14ac:dyDescent="0.3">
      <c r="A602" s="21"/>
      <c r="B602" s="21" t="s">
        <v>134</v>
      </c>
      <c r="C602" s="21"/>
      <c r="D602" s="21" t="s">
        <v>14</v>
      </c>
      <c r="E602" s="22">
        <f>66</f>
        <v>66</v>
      </c>
      <c r="F602" s="22"/>
      <c r="G602" s="22"/>
    </row>
    <row r="603" spans="1:7" x14ac:dyDescent="0.3">
      <c r="A603" s="5"/>
      <c r="B603" s="5" t="s">
        <v>135</v>
      </c>
      <c r="C603" s="5"/>
      <c r="D603" s="5" t="s">
        <v>10</v>
      </c>
      <c r="E603" s="15">
        <f>70.2</f>
        <v>70.2</v>
      </c>
      <c r="F603" s="15"/>
      <c r="G603" s="15"/>
    </row>
    <row r="604" spans="1:7" x14ac:dyDescent="0.3">
      <c r="A604" s="5"/>
      <c r="B604" s="5" t="s">
        <v>136</v>
      </c>
      <c r="C604" s="5"/>
      <c r="D604" s="5" t="s">
        <v>8</v>
      </c>
      <c r="E604" s="15">
        <f>1.9</f>
        <v>1.9</v>
      </c>
      <c r="F604" s="15"/>
      <c r="G604" s="15"/>
    </row>
    <row r="605" spans="1:7" x14ac:dyDescent="0.3">
      <c r="A605" s="5"/>
      <c r="B605" s="5" t="s">
        <v>137</v>
      </c>
      <c r="C605" s="5"/>
      <c r="D605" s="5" t="s">
        <v>8</v>
      </c>
      <c r="E605" s="15">
        <f>1.4</f>
        <v>1.4</v>
      </c>
      <c r="F605" s="15"/>
      <c r="G605" s="15"/>
    </row>
    <row r="606" spans="1:7" x14ac:dyDescent="0.3">
      <c r="A606" s="5"/>
      <c r="B606" s="5" t="s">
        <v>138</v>
      </c>
      <c r="C606" s="5"/>
      <c r="D606" s="5" t="s">
        <v>8</v>
      </c>
      <c r="E606" s="15">
        <f>0.8</f>
        <v>0.8</v>
      </c>
      <c r="F606" s="15"/>
      <c r="G606" s="15"/>
    </row>
    <row r="607" spans="1:7" x14ac:dyDescent="0.3">
      <c r="A607" s="5"/>
      <c r="B607" s="5" t="s">
        <v>139</v>
      </c>
      <c r="C607" s="5"/>
      <c r="D607" s="5" t="s">
        <v>8</v>
      </c>
      <c r="E607" s="15">
        <f>0.3</f>
        <v>0.3</v>
      </c>
      <c r="F607" s="15"/>
      <c r="G607" s="15"/>
    </row>
    <row r="608" spans="1:7" x14ac:dyDescent="0.3">
      <c r="A608" s="21"/>
      <c r="B608" s="21" t="s">
        <v>140</v>
      </c>
      <c r="C608" s="21"/>
      <c r="D608" s="21" t="s">
        <v>10</v>
      </c>
      <c r="E608" s="22">
        <f>133.6</f>
        <v>133.6</v>
      </c>
      <c r="F608" s="22"/>
      <c r="G608" s="22"/>
    </row>
    <row r="609" spans="1:7" x14ac:dyDescent="0.3">
      <c r="A609" s="5"/>
      <c r="B609" s="5" t="s">
        <v>141</v>
      </c>
      <c r="C609" s="5"/>
      <c r="D609" s="5" t="s">
        <v>10</v>
      </c>
      <c r="E609" s="15">
        <f>133.6</f>
        <v>133.6</v>
      </c>
      <c r="F609" s="15"/>
      <c r="G609" s="15"/>
    </row>
    <row r="610" spans="1:7" x14ac:dyDescent="0.3">
      <c r="A610" s="5"/>
      <c r="B610" s="5" t="s">
        <v>123</v>
      </c>
      <c r="C610" s="5"/>
      <c r="D610" s="5" t="s">
        <v>8</v>
      </c>
      <c r="E610" s="15">
        <f>37.5</f>
        <v>37.5</v>
      </c>
      <c r="F610" s="15"/>
      <c r="G610" s="15"/>
    </row>
    <row r="611" spans="1:7" x14ac:dyDescent="0.3">
      <c r="A611" s="5"/>
      <c r="B611" s="5" t="s">
        <v>124</v>
      </c>
      <c r="C611" s="5"/>
      <c r="D611" s="5" t="s">
        <v>8</v>
      </c>
      <c r="E611" s="15">
        <f>6.1</f>
        <v>6.1</v>
      </c>
      <c r="F611" s="15"/>
      <c r="G611" s="15"/>
    </row>
    <row r="612" spans="1:7" x14ac:dyDescent="0.3">
      <c r="A612" s="5"/>
      <c r="B612" s="5" t="s">
        <v>142</v>
      </c>
      <c r="C612" s="5"/>
      <c r="D612" s="5" t="s">
        <v>8</v>
      </c>
      <c r="E612" s="15">
        <f>1.4</f>
        <v>1.4</v>
      </c>
      <c r="F612" s="15"/>
      <c r="G612" s="15"/>
    </row>
    <row r="613" spans="1:7" ht="31.2" x14ac:dyDescent="0.3">
      <c r="A613" s="5"/>
      <c r="B613" s="11" t="s">
        <v>143</v>
      </c>
      <c r="C613" s="5"/>
      <c r="D613" s="5" t="s">
        <v>14</v>
      </c>
      <c r="E613" s="15">
        <f>204</f>
        <v>204</v>
      </c>
      <c r="F613" s="15"/>
      <c r="G613" s="15"/>
    </row>
    <row r="614" spans="1:7" x14ac:dyDescent="0.3">
      <c r="A614" s="21"/>
      <c r="B614" s="21" t="s">
        <v>144</v>
      </c>
      <c r="C614" s="21"/>
      <c r="D614" s="21" t="s">
        <v>14</v>
      </c>
      <c r="E614" s="22">
        <f>1</f>
        <v>1</v>
      </c>
      <c r="F614" s="22"/>
      <c r="G614" s="22"/>
    </row>
    <row r="615" spans="1:7" x14ac:dyDescent="0.3">
      <c r="A615" s="5"/>
      <c r="B615" s="5" t="s">
        <v>145</v>
      </c>
      <c r="C615" s="5"/>
      <c r="D615" s="5" t="s">
        <v>10</v>
      </c>
      <c r="E615" s="15">
        <f>441.3</f>
        <v>441.3</v>
      </c>
      <c r="F615" s="15"/>
      <c r="G615" s="15"/>
    </row>
    <row r="616" spans="1:7" x14ac:dyDescent="0.3">
      <c r="A616" s="5"/>
      <c r="B616" s="5" t="s">
        <v>129</v>
      </c>
      <c r="C616" s="5"/>
      <c r="D616" s="5" t="s">
        <v>8</v>
      </c>
      <c r="E616" s="15">
        <f>13.7</f>
        <v>13.7</v>
      </c>
      <c r="F616" s="15"/>
      <c r="G616" s="15"/>
    </row>
    <row r="617" spans="1:7" x14ac:dyDescent="0.3">
      <c r="A617" s="5"/>
      <c r="B617" s="5" t="s">
        <v>130</v>
      </c>
      <c r="C617" s="5"/>
      <c r="D617" s="5" t="s">
        <v>8</v>
      </c>
      <c r="E617" s="15">
        <f>4.5</f>
        <v>4.5</v>
      </c>
      <c r="F617" s="15"/>
      <c r="G617" s="15"/>
    </row>
    <row r="618" spans="1:7" x14ac:dyDescent="0.3">
      <c r="A618" s="5"/>
      <c r="B618" s="5" t="s">
        <v>131</v>
      </c>
      <c r="C618" s="5"/>
      <c r="D618" s="5" t="s">
        <v>8</v>
      </c>
      <c r="E618" s="15">
        <f>5.8</f>
        <v>5.8</v>
      </c>
      <c r="F618" s="15"/>
      <c r="G618" s="15"/>
    </row>
    <row r="619" spans="1:7" x14ac:dyDescent="0.3">
      <c r="A619" s="5"/>
      <c r="B619" s="5" t="s">
        <v>124</v>
      </c>
      <c r="C619" s="5"/>
      <c r="D619" s="5" t="s">
        <v>8</v>
      </c>
      <c r="E619" s="15">
        <f>6.3</f>
        <v>6.3</v>
      </c>
      <c r="F619" s="15"/>
      <c r="G619" s="15"/>
    </row>
    <row r="620" spans="1:7" ht="31.2" x14ac:dyDescent="0.3">
      <c r="A620" s="5"/>
      <c r="B620" s="11" t="s">
        <v>146</v>
      </c>
      <c r="C620" s="5"/>
      <c r="D620" s="5" t="s">
        <v>14</v>
      </c>
      <c r="E620" s="15">
        <f>35</f>
        <v>35</v>
      </c>
      <c r="F620" s="15"/>
      <c r="G620" s="15"/>
    </row>
    <row r="621" spans="1:7" ht="31.2" x14ac:dyDescent="0.3">
      <c r="A621" s="5"/>
      <c r="B621" s="11" t="s">
        <v>133</v>
      </c>
      <c r="C621" s="5"/>
      <c r="D621" s="5" t="s">
        <v>14</v>
      </c>
      <c r="E621" s="15">
        <f>65</f>
        <v>65</v>
      </c>
      <c r="F621" s="15"/>
      <c r="G621" s="15"/>
    </row>
    <row r="622" spans="1:7" x14ac:dyDescent="0.3">
      <c r="A622" s="21"/>
      <c r="B622" s="21" t="s">
        <v>171</v>
      </c>
      <c r="C622" s="21"/>
      <c r="D622" s="21" t="s">
        <v>14</v>
      </c>
      <c r="E622" s="22">
        <f>2</f>
        <v>2</v>
      </c>
      <c r="F622" s="22"/>
      <c r="G622" s="22"/>
    </row>
    <row r="623" spans="1:7" x14ac:dyDescent="0.3">
      <c r="A623" s="5"/>
      <c r="B623" s="5" t="s">
        <v>145</v>
      </c>
      <c r="C623" s="5"/>
      <c r="D623" s="5" t="s">
        <v>10</v>
      </c>
      <c r="E623" s="15">
        <f>5.9</f>
        <v>5.9</v>
      </c>
      <c r="F623" s="15"/>
      <c r="G623" s="15"/>
    </row>
    <row r="624" spans="1:7" x14ac:dyDescent="0.3">
      <c r="A624" s="5"/>
      <c r="B624" s="5" t="s">
        <v>124</v>
      </c>
      <c r="C624" s="5"/>
      <c r="D624" s="5" t="s">
        <v>8</v>
      </c>
      <c r="E624" s="15">
        <f>0.5</f>
        <v>0.5</v>
      </c>
      <c r="F624" s="15"/>
      <c r="G624" s="15"/>
    </row>
    <row r="625" spans="1:126" x14ac:dyDescent="0.3">
      <c r="A625" s="5"/>
      <c r="B625" s="5" t="s">
        <v>138</v>
      </c>
      <c r="C625" s="5"/>
      <c r="D625" s="5" t="s">
        <v>8</v>
      </c>
      <c r="E625" s="15">
        <f>0.4</f>
        <v>0.4</v>
      </c>
      <c r="F625" s="15"/>
      <c r="G625" s="15"/>
    </row>
    <row r="626" spans="1:126" x14ac:dyDescent="0.3">
      <c r="A626" s="21"/>
      <c r="B626" s="21" t="s">
        <v>147</v>
      </c>
      <c r="C626" s="21"/>
      <c r="D626" s="21"/>
      <c r="E626" s="22"/>
      <c r="F626" s="22"/>
      <c r="G626" s="22"/>
    </row>
    <row r="627" spans="1:126" s="3" customFormat="1" x14ac:dyDescent="0.3">
      <c r="A627" s="21"/>
      <c r="B627" s="21" t="s">
        <v>148</v>
      </c>
      <c r="C627" s="21"/>
      <c r="D627" s="21" t="s">
        <v>69</v>
      </c>
      <c r="E627" s="22">
        <f>45</f>
        <v>45</v>
      </c>
      <c r="F627" s="22"/>
      <c r="G627" s="22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59"/>
      <c r="AU627" s="59"/>
      <c r="AV627" s="59"/>
      <c r="AW627" s="59"/>
      <c r="AX627" s="59"/>
      <c r="AY627" s="59"/>
      <c r="AZ627" s="59"/>
      <c r="BA627" s="59"/>
      <c r="BB627" s="59"/>
      <c r="BC627" s="59"/>
      <c r="BD627" s="59"/>
      <c r="BE627" s="59"/>
      <c r="BF627" s="59"/>
      <c r="BG627" s="59"/>
      <c r="BH627" s="59"/>
      <c r="BI627" s="59"/>
      <c r="BJ627" s="59"/>
      <c r="BK627" s="59"/>
      <c r="BL627" s="59"/>
      <c r="BM627" s="59"/>
      <c r="BN627" s="59"/>
      <c r="BO627" s="59"/>
      <c r="BP627" s="59"/>
      <c r="BQ627" s="59"/>
      <c r="BR627" s="59"/>
      <c r="BS627" s="59"/>
      <c r="BT627" s="59"/>
      <c r="BU627" s="59"/>
      <c r="BV627" s="59"/>
      <c r="BW627" s="59"/>
      <c r="BX627" s="59"/>
      <c r="BY627" s="59"/>
      <c r="BZ627" s="59"/>
      <c r="CA627" s="59"/>
      <c r="CB627" s="59"/>
      <c r="CC627" s="59"/>
      <c r="CD627" s="59"/>
      <c r="CE627" s="59"/>
      <c r="CF627" s="59"/>
      <c r="CG627" s="59"/>
      <c r="CH627" s="59"/>
      <c r="CI627" s="59"/>
      <c r="CJ627" s="59"/>
      <c r="CK627" s="59"/>
      <c r="CL627" s="59"/>
      <c r="CM627" s="59"/>
      <c r="CN627" s="59"/>
      <c r="CO627" s="59"/>
      <c r="CP627" s="59"/>
      <c r="CQ627" s="59"/>
      <c r="CR627" s="59"/>
      <c r="CS627" s="59"/>
      <c r="CT627" s="59"/>
      <c r="CU627" s="59"/>
      <c r="CV627" s="59"/>
      <c r="CW627" s="59"/>
      <c r="CX627" s="59"/>
      <c r="CY627" s="59"/>
      <c r="CZ627" s="59"/>
      <c r="DA627" s="59"/>
      <c r="DB627" s="59"/>
      <c r="DC627" s="59"/>
      <c r="DD627" s="59"/>
      <c r="DE627" s="59"/>
      <c r="DF627" s="59"/>
      <c r="DG627" s="59"/>
      <c r="DH627" s="59"/>
      <c r="DI627" s="59"/>
      <c r="DJ627" s="59"/>
      <c r="DK627" s="59"/>
      <c r="DL627" s="59"/>
      <c r="DM627" s="59"/>
      <c r="DN627" s="59"/>
      <c r="DO627" s="59"/>
      <c r="DP627" s="59"/>
      <c r="DQ627" s="59"/>
      <c r="DR627" s="59"/>
      <c r="DS627" s="59"/>
      <c r="DT627" s="59"/>
      <c r="DU627" s="59"/>
      <c r="DV627" s="59"/>
    </row>
    <row r="628" spans="1:126" x14ac:dyDescent="0.3">
      <c r="A628" s="5"/>
      <c r="B628" s="5" t="s">
        <v>567</v>
      </c>
      <c r="C628" s="5"/>
      <c r="D628" s="5" t="s">
        <v>72</v>
      </c>
      <c r="E628" s="15">
        <v>14.850000000000001</v>
      </c>
      <c r="F628" s="15"/>
      <c r="G628" s="15"/>
    </row>
    <row r="629" spans="1:126" x14ac:dyDescent="0.3">
      <c r="A629" s="5"/>
      <c r="B629" s="5" t="s">
        <v>568</v>
      </c>
      <c r="C629" s="5"/>
      <c r="D629" s="5" t="s">
        <v>72</v>
      </c>
      <c r="E629" s="15">
        <v>121.50000000000001</v>
      </c>
      <c r="F629" s="15"/>
      <c r="G629" s="15"/>
    </row>
    <row r="630" spans="1:126" x14ac:dyDescent="0.3">
      <c r="A630" s="5"/>
      <c r="B630" s="5" t="s">
        <v>569</v>
      </c>
      <c r="C630" s="5"/>
      <c r="D630" s="5" t="s">
        <v>72</v>
      </c>
      <c r="E630" s="15">
        <v>13.5</v>
      </c>
      <c r="F630" s="15"/>
      <c r="G630" s="15"/>
    </row>
    <row r="631" spans="1:126" x14ac:dyDescent="0.3">
      <c r="A631" s="5"/>
      <c r="B631" s="5" t="s">
        <v>566</v>
      </c>
      <c r="C631" s="5"/>
      <c r="D631" s="5" t="s">
        <v>72</v>
      </c>
      <c r="E631" s="15">
        <v>45</v>
      </c>
      <c r="F631" s="15"/>
      <c r="G631" s="15"/>
    </row>
    <row r="632" spans="1:126" x14ac:dyDescent="0.3">
      <c r="A632" s="5"/>
      <c r="B632" s="5" t="s">
        <v>70</v>
      </c>
      <c r="C632" s="5"/>
      <c r="D632" s="5" t="s">
        <v>72</v>
      </c>
      <c r="E632" s="15">
        <v>45</v>
      </c>
      <c r="F632" s="15"/>
      <c r="G632" s="15"/>
    </row>
    <row r="633" spans="1:126" x14ac:dyDescent="0.3">
      <c r="A633" s="5"/>
      <c r="B633" s="5" t="s">
        <v>81</v>
      </c>
      <c r="C633" s="5"/>
      <c r="D633" s="5" t="s">
        <v>10</v>
      </c>
      <c r="E633" s="15">
        <f>0.7</f>
        <v>0.7</v>
      </c>
      <c r="F633" s="15"/>
      <c r="G633" s="15"/>
    </row>
    <row r="634" spans="1:126" x14ac:dyDescent="0.3">
      <c r="A634" s="5"/>
      <c r="B634" s="5" t="s">
        <v>80</v>
      </c>
      <c r="C634" s="5"/>
      <c r="D634" s="5" t="s">
        <v>10</v>
      </c>
      <c r="E634" s="15">
        <f>9.8/8170.8*6.3</f>
        <v>7.556175649875165E-3</v>
      </c>
      <c r="F634" s="15"/>
      <c r="G634" s="15"/>
    </row>
    <row r="635" spans="1:126" x14ac:dyDescent="0.3">
      <c r="A635" s="5"/>
      <c r="B635" s="11" t="s">
        <v>149</v>
      </c>
      <c r="C635" s="5"/>
      <c r="D635" s="5" t="s">
        <v>74</v>
      </c>
      <c r="E635" s="15">
        <f>7.7</f>
        <v>7.7</v>
      </c>
      <c r="F635" s="15"/>
      <c r="G635" s="15"/>
    </row>
    <row r="636" spans="1:126" ht="31.2" x14ac:dyDescent="0.3">
      <c r="A636" s="5"/>
      <c r="B636" s="11" t="s">
        <v>66</v>
      </c>
      <c r="C636" s="5"/>
      <c r="D636" s="5" t="s">
        <v>8</v>
      </c>
      <c r="E636" s="15">
        <f>0.2</f>
        <v>0.2</v>
      </c>
      <c r="F636" s="15"/>
      <c r="G636" s="15"/>
    </row>
    <row r="637" spans="1:126" x14ac:dyDescent="0.3">
      <c r="A637" s="5"/>
      <c r="B637" s="5" t="s">
        <v>150</v>
      </c>
      <c r="C637" s="5"/>
      <c r="D637" s="5" t="s">
        <v>14</v>
      </c>
      <c r="E637" s="15">
        <f>16</f>
        <v>16</v>
      </c>
      <c r="F637" s="15"/>
      <c r="G637" s="15"/>
    </row>
    <row r="638" spans="1:126" x14ac:dyDescent="0.3">
      <c r="A638" s="5"/>
      <c r="B638" s="5" t="s">
        <v>151</v>
      </c>
      <c r="C638" s="5"/>
      <c r="D638" s="5" t="s">
        <v>14</v>
      </c>
      <c r="E638" s="15">
        <f>16</f>
        <v>16</v>
      </c>
      <c r="F638" s="15"/>
      <c r="G638" s="15"/>
    </row>
    <row r="639" spans="1:126" x14ac:dyDescent="0.3">
      <c r="A639" s="21"/>
      <c r="B639" s="21" t="s">
        <v>164</v>
      </c>
      <c r="C639" s="21"/>
      <c r="D639" s="21" t="s">
        <v>158</v>
      </c>
      <c r="E639" s="22">
        <f>1</f>
        <v>1</v>
      </c>
      <c r="F639" s="22"/>
      <c r="G639" s="22"/>
    </row>
    <row r="640" spans="1:126" x14ac:dyDescent="0.3">
      <c r="A640" s="5"/>
      <c r="B640" s="5" t="s">
        <v>152</v>
      </c>
      <c r="C640" s="5"/>
      <c r="D640" s="5" t="s">
        <v>8</v>
      </c>
      <c r="E640" s="15">
        <f>0.8</f>
        <v>0.8</v>
      </c>
      <c r="F640" s="15"/>
      <c r="G640" s="15"/>
    </row>
    <row r="641" spans="1:126" x14ac:dyDescent="0.3">
      <c r="A641" s="21"/>
      <c r="B641" s="21" t="s">
        <v>163</v>
      </c>
      <c r="C641" s="21"/>
      <c r="D641" s="21" t="s">
        <v>69</v>
      </c>
      <c r="E641" s="22">
        <f>33</f>
        <v>33</v>
      </c>
      <c r="F641" s="22"/>
      <c r="G641" s="22"/>
    </row>
    <row r="642" spans="1:126" x14ac:dyDescent="0.3">
      <c r="A642" s="5"/>
      <c r="B642" s="5" t="s">
        <v>153</v>
      </c>
      <c r="C642" s="5"/>
      <c r="D642" s="5" t="s">
        <v>72</v>
      </c>
      <c r="E642" s="15">
        <f>$E$267*0.563*1.4</f>
        <v>17.340399999999999</v>
      </c>
      <c r="F642" s="15"/>
      <c r="G642" s="15"/>
    </row>
    <row r="643" spans="1:126" x14ac:dyDescent="0.3">
      <c r="A643" s="5"/>
      <c r="B643" s="5" t="s">
        <v>154</v>
      </c>
      <c r="C643" s="5"/>
      <c r="D643" s="5" t="s">
        <v>72</v>
      </c>
      <c r="E643" s="15">
        <f>$E$267*0.299*1.4</f>
        <v>9.2091999999999992</v>
      </c>
      <c r="F643" s="15"/>
      <c r="G643" s="15"/>
    </row>
    <row r="644" spans="1:126" x14ac:dyDescent="0.3">
      <c r="A644" s="5"/>
      <c r="B644" s="5" t="s">
        <v>155</v>
      </c>
      <c r="C644" s="5"/>
      <c r="D644" s="5" t="s">
        <v>72</v>
      </c>
      <c r="E644" s="15">
        <f>(E642+E643)*0.1</f>
        <v>2.65496</v>
      </c>
      <c r="F644" s="15"/>
      <c r="G644" s="15"/>
    </row>
    <row r="645" spans="1:126" s="7" customFormat="1" x14ac:dyDescent="0.3">
      <c r="A645" s="6"/>
      <c r="B645" s="6" t="s">
        <v>202</v>
      </c>
      <c r="C645" s="6"/>
      <c r="D645" s="6"/>
      <c r="E645" s="13"/>
      <c r="F645" s="13"/>
      <c r="G645" s="13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59"/>
      <c r="AU645" s="59"/>
      <c r="AV645" s="59"/>
      <c r="AW645" s="59"/>
      <c r="AX645" s="59"/>
      <c r="AY645" s="59"/>
      <c r="AZ645" s="59"/>
      <c r="BA645" s="59"/>
      <c r="BB645" s="59"/>
      <c r="BC645" s="59"/>
      <c r="BD645" s="59"/>
      <c r="BE645" s="59"/>
      <c r="BF645" s="59"/>
      <c r="BG645" s="59"/>
      <c r="BH645" s="59"/>
      <c r="BI645" s="59"/>
      <c r="BJ645" s="59"/>
      <c r="BK645" s="59"/>
      <c r="BL645" s="59"/>
      <c r="BM645" s="59"/>
      <c r="BN645" s="59"/>
      <c r="BO645" s="59"/>
      <c r="BP645" s="59"/>
      <c r="BQ645" s="59"/>
      <c r="BR645" s="59"/>
      <c r="BS645" s="59"/>
      <c r="BT645" s="59"/>
      <c r="BU645" s="59"/>
      <c r="BV645" s="59"/>
      <c r="BW645" s="59"/>
      <c r="BX645" s="59"/>
      <c r="BY645" s="59"/>
      <c r="BZ645" s="59"/>
      <c r="CA645" s="59"/>
      <c r="CB645" s="59"/>
      <c r="CC645" s="59"/>
      <c r="CD645" s="59"/>
      <c r="CE645" s="59"/>
      <c r="CF645" s="59"/>
      <c r="CG645" s="59"/>
      <c r="CH645" s="59"/>
      <c r="CI645" s="59"/>
      <c r="CJ645" s="59"/>
      <c r="CK645" s="59"/>
      <c r="CL645" s="59"/>
      <c r="CM645" s="59"/>
      <c r="CN645" s="59"/>
      <c r="CO645" s="59"/>
      <c r="CP645" s="59"/>
      <c r="CQ645" s="59"/>
      <c r="CR645" s="59"/>
      <c r="CS645" s="59"/>
      <c r="CT645" s="59"/>
      <c r="CU645" s="59"/>
      <c r="CV645" s="59"/>
      <c r="CW645" s="59"/>
      <c r="CX645" s="59"/>
      <c r="CY645" s="59"/>
      <c r="CZ645" s="59"/>
      <c r="DA645" s="59"/>
      <c r="DB645" s="59"/>
      <c r="DC645" s="59"/>
      <c r="DD645" s="59"/>
      <c r="DE645" s="59"/>
      <c r="DF645" s="59"/>
      <c r="DG645" s="59"/>
      <c r="DH645" s="59"/>
      <c r="DI645" s="59"/>
      <c r="DJ645" s="59"/>
      <c r="DK645" s="59"/>
      <c r="DL645" s="59"/>
      <c r="DM645" s="59"/>
      <c r="DN645" s="59"/>
      <c r="DO645" s="59"/>
      <c r="DP645" s="59"/>
      <c r="DQ645" s="59"/>
      <c r="DR645" s="59"/>
      <c r="DS645" s="59"/>
      <c r="DT645" s="59"/>
      <c r="DU645" s="59"/>
      <c r="DV645" s="59"/>
    </row>
    <row r="646" spans="1:126" s="25" customFormat="1" x14ac:dyDescent="0.3">
      <c r="A646" s="23"/>
      <c r="B646" s="23" t="s">
        <v>203</v>
      </c>
      <c r="C646" s="23"/>
      <c r="D646" s="23"/>
      <c r="E646" s="24"/>
      <c r="F646" s="24"/>
      <c r="G646" s="24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59"/>
      <c r="AU646" s="59"/>
      <c r="AV646" s="59"/>
      <c r="AW646" s="59"/>
      <c r="AX646" s="59"/>
      <c r="AY646" s="59"/>
      <c r="AZ646" s="59"/>
      <c r="BA646" s="59"/>
      <c r="BB646" s="59"/>
      <c r="BC646" s="59"/>
      <c r="BD646" s="59"/>
      <c r="BE646" s="59"/>
      <c r="BF646" s="59"/>
      <c r="BG646" s="59"/>
      <c r="BH646" s="59"/>
      <c r="BI646" s="59"/>
      <c r="BJ646" s="59"/>
      <c r="BK646" s="59"/>
      <c r="BL646" s="59"/>
      <c r="BM646" s="59"/>
      <c r="BN646" s="59"/>
      <c r="BO646" s="59"/>
      <c r="BP646" s="59"/>
      <c r="BQ646" s="59"/>
      <c r="BR646" s="59"/>
      <c r="BS646" s="59"/>
      <c r="BT646" s="59"/>
      <c r="BU646" s="59"/>
      <c r="BV646" s="59"/>
      <c r="BW646" s="59"/>
      <c r="BX646" s="59"/>
      <c r="BY646" s="59"/>
      <c r="BZ646" s="59"/>
      <c r="CA646" s="59"/>
      <c r="CB646" s="59"/>
      <c r="CC646" s="59"/>
      <c r="CD646" s="59"/>
      <c r="CE646" s="59"/>
      <c r="CF646" s="59"/>
      <c r="CG646" s="59"/>
      <c r="CH646" s="59"/>
      <c r="CI646" s="59"/>
      <c r="CJ646" s="59"/>
      <c r="CK646" s="59"/>
      <c r="CL646" s="59"/>
      <c r="CM646" s="59"/>
      <c r="CN646" s="59"/>
      <c r="CO646" s="59"/>
      <c r="CP646" s="59"/>
      <c r="CQ646" s="59"/>
      <c r="CR646" s="59"/>
      <c r="CS646" s="59"/>
      <c r="CT646" s="59"/>
      <c r="CU646" s="59"/>
      <c r="CV646" s="59"/>
      <c r="CW646" s="59"/>
      <c r="CX646" s="59"/>
      <c r="CY646" s="59"/>
      <c r="CZ646" s="59"/>
      <c r="DA646" s="59"/>
      <c r="DB646" s="59"/>
      <c r="DC646" s="59"/>
      <c r="DD646" s="59"/>
      <c r="DE646" s="59"/>
      <c r="DF646" s="59"/>
      <c r="DG646" s="59"/>
      <c r="DH646" s="59"/>
      <c r="DI646" s="59"/>
      <c r="DJ646" s="59"/>
      <c r="DK646" s="59"/>
      <c r="DL646" s="59"/>
      <c r="DM646" s="59"/>
      <c r="DN646" s="59"/>
      <c r="DO646" s="59"/>
      <c r="DP646" s="59"/>
      <c r="DQ646" s="59"/>
      <c r="DR646" s="59"/>
      <c r="DS646" s="59"/>
      <c r="DT646" s="59"/>
      <c r="DU646" s="59"/>
      <c r="DV646" s="59"/>
    </row>
    <row r="647" spans="1:126" s="3" customFormat="1" x14ac:dyDescent="0.3">
      <c r="A647" s="21"/>
      <c r="B647" s="21" t="s">
        <v>204</v>
      </c>
      <c r="C647" s="21"/>
      <c r="D647" s="21" t="s">
        <v>14</v>
      </c>
      <c r="E647" s="22">
        <v>18</v>
      </c>
      <c r="F647" s="22"/>
      <c r="G647" s="22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59"/>
      <c r="AU647" s="59"/>
      <c r="AV647" s="59"/>
      <c r="AW647" s="59"/>
      <c r="AX647" s="59"/>
      <c r="AY647" s="59"/>
      <c r="AZ647" s="59"/>
      <c r="BA647" s="59"/>
      <c r="BB647" s="59"/>
      <c r="BC647" s="59"/>
      <c r="BD647" s="59"/>
      <c r="BE647" s="59"/>
      <c r="BF647" s="59"/>
      <c r="BG647" s="59"/>
      <c r="BH647" s="59"/>
      <c r="BI647" s="59"/>
      <c r="BJ647" s="59"/>
      <c r="BK647" s="59"/>
      <c r="BL647" s="59"/>
      <c r="BM647" s="59"/>
      <c r="BN647" s="59"/>
      <c r="BO647" s="59"/>
      <c r="BP647" s="59"/>
      <c r="BQ647" s="59"/>
      <c r="BR647" s="59"/>
      <c r="BS647" s="59"/>
      <c r="BT647" s="59"/>
      <c r="BU647" s="59"/>
      <c r="BV647" s="59"/>
      <c r="BW647" s="59"/>
      <c r="BX647" s="59"/>
      <c r="BY647" s="59"/>
      <c r="BZ647" s="59"/>
      <c r="CA647" s="59"/>
      <c r="CB647" s="59"/>
      <c r="CC647" s="59"/>
      <c r="CD647" s="59"/>
      <c r="CE647" s="59"/>
      <c r="CF647" s="59"/>
      <c r="CG647" s="59"/>
      <c r="CH647" s="59"/>
      <c r="CI647" s="59"/>
      <c r="CJ647" s="59"/>
      <c r="CK647" s="59"/>
      <c r="CL647" s="59"/>
      <c r="CM647" s="59"/>
      <c r="CN647" s="59"/>
      <c r="CO647" s="59"/>
      <c r="CP647" s="59"/>
      <c r="CQ647" s="59"/>
      <c r="CR647" s="59"/>
      <c r="CS647" s="59"/>
      <c r="CT647" s="59"/>
      <c r="CU647" s="59"/>
      <c r="CV647" s="59"/>
      <c r="CW647" s="59"/>
      <c r="CX647" s="59"/>
      <c r="CY647" s="59"/>
      <c r="CZ647" s="59"/>
      <c r="DA647" s="59"/>
      <c r="DB647" s="59"/>
      <c r="DC647" s="59"/>
      <c r="DD647" s="59"/>
      <c r="DE647" s="59"/>
      <c r="DF647" s="59"/>
      <c r="DG647" s="59"/>
      <c r="DH647" s="59"/>
      <c r="DI647" s="59"/>
      <c r="DJ647" s="59"/>
      <c r="DK647" s="59"/>
      <c r="DL647" s="59"/>
      <c r="DM647" s="59"/>
      <c r="DN647" s="59"/>
      <c r="DO647" s="59"/>
      <c r="DP647" s="59"/>
      <c r="DQ647" s="59"/>
      <c r="DR647" s="59"/>
      <c r="DS647" s="59"/>
      <c r="DT647" s="59"/>
      <c r="DU647" s="59"/>
      <c r="DV647" s="59"/>
    </row>
    <row r="648" spans="1:126" x14ac:dyDescent="0.3">
      <c r="A648" s="5"/>
      <c r="B648" s="5" t="s">
        <v>122</v>
      </c>
      <c r="C648" s="5"/>
      <c r="D648" s="5" t="s">
        <v>10</v>
      </c>
      <c r="E648" s="15">
        <f>846.04</f>
        <v>846.04</v>
      </c>
      <c r="F648" s="15"/>
      <c r="G648" s="15"/>
    </row>
    <row r="649" spans="1:126" x14ac:dyDescent="0.3">
      <c r="A649" s="5"/>
      <c r="B649" s="5" t="s">
        <v>129</v>
      </c>
      <c r="C649" s="5"/>
      <c r="D649" s="5" t="s">
        <v>8</v>
      </c>
      <c r="E649" s="15">
        <f>70.876</f>
        <v>70.876000000000005</v>
      </c>
      <c r="F649" s="15"/>
      <c r="G649" s="15"/>
    </row>
    <row r="650" spans="1:126" x14ac:dyDescent="0.3">
      <c r="A650" s="5"/>
      <c r="B650" s="5" t="s">
        <v>124</v>
      </c>
      <c r="C650" s="5"/>
      <c r="D650" s="5" t="s">
        <v>8</v>
      </c>
      <c r="E650" s="15">
        <f>1.313</f>
        <v>1.3129999999999999</v>
      </c>
      <c r="F650" s="15"/>
      <c r="G650" s="15"/>
    </row>
    <row r="651" spans="1:126" x14ac:dyDescent="0.3">
      <c r="A651" s="5"/>
      <c r="B651" s="5" t="s">
        <v>205</v>
      </c>
      <c r="C651" s="5"/>
      <c r="D651" s="5" t="s">
        <v>8</v>
      </c>
      <c r="E651" s="15">
        <f>11.631</f>
        <v>11.631</v>
      </c>
      <c r="F651" s="15"/>
      <c r="G651" s="15"/>
    </row>
    <row r="652" spans="1:126" x14ac:dyDescent="0.3">
      <c r="A652" s="5"/>
      <c r="B652" s="5" t="s">
        <v>206</v>
      </c>
      <c r="C652" s="5"/>
      <c r="D652" s="5" t="s">
        <v>8</v>
      </c>
      <c r="E652" s="15">
        <f>0.366</f>
        <v>0.36599999999999999</v>
      </c>
      <c r="F652" s="15"/>
      <c r="G652" s="15"/>
    </row>
    <row r="653" spans="1:126" x14ac:dyDescent="0.3">
      <c r="A653" s="5"/>
      <c r="B653" s="5" t="s">
        <v>187</v>
      </c>
      <c r="C653" s="5"/>
      <c r="D653" s="5" t="s">
        <v>8</v>
      </c>
      <c r="E653" s="15">
        <f>9.193</f>
        <v>9.1929999999999996</v>
      </c>
      <c r="F653" s="15"/>
      <c r="G653" s="15"/>
    </row>
    <row r="654" spans="1:126" x14ac:dyDescent="0.3">
      <c r="A654" s="5"/>
      <c r="B654" s="5" t="s">
        <v>207</v>
      </c>
      <c r="C654" s="5"/>
      <c r="D654" s="5" t="s">
        <v>8</v>
      </c>
      <c r="E654" s="15">
        <f>0.01</f>
        <v>0.01</v>
      </c>
      <c r="F654" s="15"/>
      <c r="G654" s="15"/>
    </row>
    <row r="655" spans="1:126" x14ac:dyDescent="0.3">
      <c r="A655" s="5"/>
      <c r="B655" s="5" t="s">
        <v>223</v>
      </c>
      <c r="C655" s="5"/>
      <c r="D655" s="5" t="s">
        <v>8</v>
      </c>
      <c r="E655" s="15">
        <f>2.949</f>
        <v>2.9489999999999998</v>
      </c>
      <c r="F655" s="15"/>
      <c r="G655" s="15"/>
    </row>
    <row r="656" spans="1:126" x14ac:dyDescent="0.3">
      <c r="A656" s="5"/>
      <c r="B656" s="5" t="s">
        <v>209</v>
      </c>
      <c r="C656" s="5"/>
      <c r="D656" s="5" t="s">
        <v>8</v>
      </c>
      <c r="E656" s="15">
        <f>1.18*0.4</f>
        <v>0.47199999999999998</v>
      </c>
      <c r="F656" s="15"/>
      <c r="G656" s="15"/>
    </row>
    <row r="657" spans="1:126" s="3" customFormat="1" x14ac:dyDescent="0.3">
      <c r="A657" s="21"/>
      <c r="B657" s="21" t="s">
        <v>127</v>
      </c>
      <c r="C657" s="21"/>
      <c r="D657" s="21" t="s">
        <v>14</v>
      </c>
      <c r="E657" s="22">
        <f>1</f>
        <v>1</v>
      </c>
      <c r="F657" s="22"/>
      <c r="G657" s="22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  <c r="AW657" s="59"/>
      <c r="AX657" s="59"/>
      <c r="AY657" s="59"/>
      <c r="AZ657" s="59"/>
      <c r="BA657" s="59"/>
      <c r="BB657" s="59"/>
      <c r="BC657" s="59"/>
      <c r="BD657" s="59"/>
      <c r="BE657" s="59"/>
      <c r="BF657" s="59"/>
      <c r="BG657" s="59"/>
      <c r="BH657" s="59"/>
      <c r="BI657" s="59"/>
      <c r="BJ657" s="59"/>
      <c r="BK657" s="59"/>
      <c r="BL657" s="59"/>
      <c r="BM657" s="59"/>
      <c r="BN657" s="59"/>
      <c r="BO657" s="59"/>
      <c r="BP657" s="59"/>
      <c r="BQ657" s="59"/>
      <c r="BR657" s="59"/>
      <c r="BS657" s="59"/>
      <c r="BT657" s="59"/>
      <c r="BU657" s="59"/>
      <c r="BV657" s="59"/>
      <c r="BW657" s="59"/>
      <c r="BX657" s="59"/>
      <c r="BY657" s="59"/>
      <c r="BZ657" s="59"/>
      <c r="CA657" s="59"/>
      <c r="CB657" s="59"/>
      <c r="CC657" s="59"/>
      <c r="CD657" s="59"/>
      <c r="CE657" s="59"/>
      <c r="CF657" s="59"/>
      <c r="CG657" s="59"/>
      <c r="CH657" s="59"/>
      <c r="CI657" s="59"/>
      <c r="CJ657" s="59"/>
      <c r="CK657" s="59"/>
      <c r="CL657" s="59"/>
      <c r="CM657" s="59"/>
      <c r="CN657" s="59"/>
      <c r="CO657" s="59"/>
      <c r="CP657" s="59"/>
      <c r="CQ657" s="59"/>
      <c r="CR657" s="59"/>
      <c r="CS657" s="59"/>
      <c r="CT657" s="59"/>
      <c r="CU657" s="59"/>
      <c r="CV657" s="59"/>
      <c r="CW657" s="59"/>
      <c r="CX657" s="59"/>
      <c r="CY657" s="59"/>
      <c r="CZ657" s="59"/>
      <c r="DA657" s="59"/>
      <c r="DB657" s="59"/>
      <c r="DC657" s="59"/>
      <c r="DD657" s="59"/>
      <c r="DE657" s="59"/>
      <c r="DF657" s="59"/>
      <c r="DG657" s="59"/>
      <c r="DH657" s="59"/>
      <c r="DI657" s="59"/>
      <c r="DJ657" s="59"/>
      <c r="DK657" s="59"/>
      <c r="DL657" s="59"/>
      <c r="DM657" s="59"/>
      <c r="DN657" s="59"/>
      <c r="DO657" s="59"/>
      <c r="DP657" s="59"/>
      <c r="DQ657" s="59"/>
      <c r="DR657" s="59"/>
      <c r="DS657" s="59"/>
      <c r="DT657" s="59"/>
      <c r="DU657" s="59"/>
      <c r="DV657" s="59"/>
    </row>
    <row r="658" spans="1:126" x14ac:dyDescent="0.3">
      <c r="A658" s="5"/>
      <c r="B658" s="5" t="s">
        <v>208</v>
      </c>
      <c r="C658" s="5"/>
      <c r="D658" s="5" t="s">
        <v>10</v>
      </c>
      <c r="E658" s="15">
        <f>26.73</f>
        <v>26.73</v>
      </c>
      <c r="F658" s="15"/>
      <c r="G658" s="15"/>
    </row>
    <row r="659" spans="1:126" x14ac:dyDescent="0.3">
      <c r="A659" s="5"/>
      <c r="B659" s="5" t="s">
        <v>209</v>
      </c>
      <c r="C659" s="5"/>
      <c r="D659" s="5" t="s">
        <v>8</v>
      </c>
      <c r="E659" s="15">
        <f>13.37*0.4</f>
        <v>5.3479999999999999</v>
      </c>
      <c r="F659" s="15"/>
      <c r="G659" s="15"/>
    </row>
    <row r="660" spans="1:126" x14ac:dyDescent="0.3">
      <c r="A660" s="5"/>
      <c r="B660" s="5" t="s">
        <v>210</v>
      </c>
      <c r="C660" s="5"/>
      <c r="D660" s="5" t="s">
        <v>10</v>
      </c>
      <c r="E660" s="15">
        <f>320.91</f>
        <v>320.91000000000003</v>
      </c>
      <c r="F660" s="15"/>
      <c r="G660" s="15"/>
    </row>
    <row r="661" spans="1:126" x14ac:dyDescent="0.3">
      <c r="A661" s="5"/>
      <c r="B661" s="5" t="s">
        <v>129</v>
      </c>
      <c r="C661" s="5"/>
      <c r="D661" s="5" t="s">
        <v>8</v>
      </c>
      <c r="E661" s="15">
        <f>3.692</f>
        <v>3.6920000000000002</v>
      </c>
      <c r="F661" s="15"/>
      <c r="G661" s="15"/>
    </row>
    <row r="662" spans="1:126" x14ac:dyDescent="0.3">
      <c r="A662" s="5"/>
      <c r="B662" s="5" t="s">
        <v>130</v>
      </c>
      <c r="C662" s="5"/>
      <c r="D662" s="5" t="s">
        <v>8</v>
      </c>
      <c r="E662" s="15">
        <f>7.037</f>
        <v>7.0369999999999999</v>
      </c>
      <c r="F662" s="15"/>
      <c r="G662" s="15"/>
    </row>
    <row r="663" spans="1:126" x14ac:dyDescent="0.3">
      <c r="A663" s="5"/>
      <c r="B663" s="5" t="s">
        <v>124</v>
      </c>
      <c r="C663" s="5"/>
      <c r="D663" s="5" t="s">
        <v>8</v>
      </c>
      <c r="E663" s="15">
        <f>2.01</f>
        <v>2.0099999999999998</v>
      </c>
      <c r="F663" s="15"/>
      <c r="G663" s="15"/>
    </row>
    <row r="664" spans="1:126" x14ac:dyDescent="0.3">
      <c r="A664" s="5"/>
      <c r="B664" s="5" t="s">
        <v>205</v>
      </c>
      <c r="C664" s="5"/>
      <c r="D664" s="5" t="s">
        <v>8</v>
      </c>
      <c r="E664" s="15">
        <f>2.485</f>
        <v>2.4849999999999999</v>
      </c>
      <c r="F664" s="15"/>
      <c r="G664" s="15"/>
    </row>
    <row r="665" spans="1:126" x14ac:dyDescent="0.3">
      <c r="A665" s="5"/>
      <c r="B665" s="5" t="s">
        <v>211</v>
      </c>
      <c r="C665" s="5"/>
      <c r="D665" s="5" t="s">
        <v>8</v>
      </c>
      <c r="E665" s="15">
        <f>0.344</f>
        <v>0.34399999999999997</v>
      </c>
      <c r="F665" s="15"/>
      <c r="G665" s="15"/>
    </row>
    <row r="666" spans="1:126" s="3" customFormat="1" x14ac:dyDescent="0.3">
      <c r="A666" s="21"/>
      <c r="B666" s="21" t="s">
        <v>212</v>
      </c>
      <c r="C666" s="21"/>
      <c r="D666" s="21" t="s">
        <v>14</v>
      </c>
      <c r="E666" s="22">
        <f>2</f>
        <v>2</v>
      </c>
      <c r="F666" s="22"/>
      <c r="G666" s="22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59"/>
      <c r="AR666" s="59"/>
      <c r="AS666" s="59"/>
      <c r="AT666" s="59"/>
      <c r="AU666" s="59"/>
      <c r="AV666" s="59"/>
      <c r="AW666" s="59"/>
      <c r="AX666" s="59"/>
      <c r="AY666" s="59"/>
      <c r="AZ666" s="59"/>
      <c r="BA666" s="59"/>
      <c r="BB666" s="59"/>
      <c r="BC666" s="59"/>
      <c r="BD666" s="59"/>
      <c r="BE666" s="59"/>
      <c r="BF666" s="59"/>
      <c r="BG666" s="59"/>
      <c r="BH666" s="59"/>
      <c r="BI666" s="59"/>
      <c r="BJ666" s="59"/>
      <c r="BK666" s="59"/>
      <c r="BL666" s="59"/>
      <c r="BM666" s="59"/>
      <c r="BN666" s="59"/>
      <c r="BO666" s="59"/>
      <c r="BP666" s="59"/>
      <c r="BQ666" s="59"/>
      <c r="BR666" s="59"/>
      <c r="BS666" s="59"/>
      <c r="BT666" s="59"/>
      <c r="BU666" s="59"/>
      <c r="BV666" s="59"/>
      <c r="BW666" s="59"/>
      <c r="BX666" s="59"/>
      <c r="BY666" s="59"/>
      <c r="BZ666" s="59"/>
      <c r="CA666" s="59"/>
      <c r="CB666" s="59"/>
      <c r="CC666" s="59"/>
      <c r="CD666" s="59"/>
      <c r="CE666" s="59"/>
      <c r="CF666" s="59"/>
      <c r="CG666" s="59"/>
      <c r="CH666" s="59"/>
      <c r="CI666" s="59"/>
      <c r="CJ666" s="59"/>
      <c r="CK666" s="59"/>
      <c r="CL666" s="59"/>
      <c r="CM666" s="59"/>
      <c r="CN666" s="59"/>
      <c r="CO666" s="59"/>
      <c r="CP666" s="59"/>
      <c r="CQ666" s="59"/>
      <c r="CR666" s="59"/>
      <c r="CS666" s="59"/>
      <c r="CT666" s="59"/>
      <c r="CU666" s="59"/>
      <c r="CV666" s="59"/>
      <c r="CW666" s="59"/>
      <c r="CX666" s="59"/>
      <c r="CY666" s="59"/>
      <c r="CZ666" s="59"/>
      <c r="DA666" s="59"/>
      <c r="DB666" s="59"/>
      <c r="DC666" s="59"/>
      <c r="DD666" s="59"/>
      <c r="DE666" s="59"/>
      <c r="DF666" s="59"/>
      <c r="DG666" s="59"/>
      <c r="DH666" s="59"/>
      <c r="DI666" s="59"/>
      <c r="DJ666" s="59"/>
      <c r="DK666" s="59"/>
      <c r="DL666" s="59"/>
      <c r="DM666" s="59"/>
      <c r="DN666" s="59"/>
      <c r="DO666" s="59"/>
      <c r="DP666" s="59"/>
      <c r="DQ666" s="59"/>
      <c r="DR666" s="59"/>
      <c r="DS666" s="59"/>
      <c r="DT666" s="59"/>
      <c r="DU666" s="59"/>
      <c r="DV666" s="59"/>
    </row>
    <row r="667" spans="1:126" x14ac:dyDescent="0.3">
      <c r="A667" s="5"/>
      <c r="B667" s="5" t="s">
        <v>213</v>
      </c>
      <c r="C667" s="5"/>
      <c r="D667" s="5" t="s">
        <v>10</v>
      </c>
      <c r="E667" s="15">
        <f>58.14</f>
        <v>58.14</v>
      </c>
      <c r="F667" s="15"/>
      <c r="G667" s="15"/>
    </row>
    <row r="668" spans="1:126" x14ac:dyDescent="0.3">
      <c r="A668" s="5"/>
      <c r="B668" s="5" t="s">
        <v>130</v>
      </c>
      <c r="C668" s="5"/>
      <c r="D668" s="5" t="s">
        <v>8</v>
      </c>
      <c r="E668" s="15">
        <f>5.831</f>
        <v>5.8310000000000004</v>
      </c>
      <c r="F668" s="15"/>
      <c r="G668" s="15"/>
    </row>
    <row r="669" spans="1:126" x14ac:dyDescent="0.3">
      <c r="A669" s="5"/>
      <c r="B669" s="5" t="s">
        <v>124</v>
      </c>
      <c r="C669" s="5"/>
      <c r="D669" s="5" t="s">
        <v>8</v>
      </c>
      <c r="E669" s="15">
        <f>0.161</f>
        <v>0.161</v>
      </c>
      <c r="F669" s="15"/>
      <c r="G669" s="15"/>
    </row>
    <row r="670" spans="1:126" x14ac:dyDescent="0.3">
      <c r="A670" s="5"/>
      <c r="B670" s="5" t="s">
        <v>136</v>
      </c>
      <c r="C670" s="5"/>
      <c r="D670" s="5" t="s">
        <v>8</v>
      </c>
      <c r="E670" s="15">
        <f>0.562</f>
        <v>0.56200000000000006</v>
      </c>
      <c r="F670" s="15"/>
      <c r="G670" s="15"/>
    </row>
    <row r="671" spans="1:126" x14ac:dyDescent="0.3">
      <c r="A671" s="5"/>
      <c r="B671" s="5" t="s">
        <v>205</v>
      </c>
      <c r="C671" s="5"/>
      <c r="D671" s="5" t="s">
        <v>8</v>
      </c>
      <c r="E671" s="15">
        <f>0.59</f>
        <v>0.59</v>
      </c>
      <c r="F671" s="15"/>
      <c r="G671" s="15"/>
    </row>
    <row r="672" spans="1:126" s="3" customFormat="1" x14ac:dyDescent="0.3">
      <c r="A672" s="21"/>
      <c r="B672" s="21" t="s">
        <v>214</v>
      </c>
      <c r="C672" s="21"/>
      <c r="D672" s="21" t="s">
        <v>14</v>
      </c>
      <c r="E672" s="22">
        <f>1</f>
        <v>1</v>
      </c>
      <c r="F672" s="22"/>
      <c r="G672" s="22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59"/>
      <c r="AR672" s="59"/>
      <c r="AS672" s="59"/>
      <c r="AT672" s="59"/>
      <c r="AU672" s="59"/>
      <c r="AV672" s="59"/>
      <c r="AW672" s="59"/>
      <c r="AX672" s="59"/>
      <c r="AY672" s="59"/>
      <c r="AZ672" s="59"/>
      <c r="BA672" s="59"/>
      <c r="BB672" s="59"/>
      <c r="BC672" s="59"/>
      <c r="BD672" s="59"/>
      <c r="BE672" s="59"/>
      <c r="BF672" s="59"/>
      <c r="BG672" s="59"/>
      <c r="BH672" s="59"/>
      <c r="BI672" s="59"/>
      <c r="BJ672" s="59"/>
      <c r="BK672" s="59"/>
      <c r="BL672" s="59"/>
      <c r="BM672" s="59"/>
      <c r="BN672" s="59"/>
      <c r="BO672" s="59"/>
      <c r="BP672" s="59"/>
      <c r="BQ672" s="59"/>
      <c r="BR672" s="59"/>
      <c r="BS672" s="59"/>
      <c r="BT672" s="59"/>
      <c r="BU672" s="59"/>
      <c r="BV672" s="59"/>
      <c r="BW672" s="59"/>
      <c r="BX672" s="59"/>
      <c r="BY672" s="59"/>
      <c r="BZ672" s="59"/>
      <c r="CA672" s="59"/>
      <c r="CB672" s="59"/>
      <c r="CC672" s="59"/>
      <c r="CD672" s="59"/>
      <c r="CE672" s="59"/>
      <c r="CF672" s="59"/>
      <c r="CG672" s="59"/>
      <c r="CH672" s="59"/>
      <c r="CI672" s="59"/>
      <c r="CJ672" s="59"/>
      <c r="CK672" s="59"/>
      <c r="CL672" s="59"/>
      <c r="CM672" s="59"/>
      <c r="CN672" s="59"/>
      <c r="CO672" s="59"/>
      <c r="CP672" s="59"/>
      <c r="CQ672" s="59"/>
      <c r="CR672" s="59"/>
      <c r="CS672" s="59"/>
      <c r="CT672" s="59"/>
      <c r="CU672" s="59"/>
      <c r="CV672" s="59"/>
      <c r="CW672" s="59"/>
      <c r="CX672" s="59"/>
      <c r="CY672" s="59"/>
      <c r="CZ672" s="59"/>
      <c r="DA672" s="59"/>
      <c r="DB672" s="59"/>
      <c r="DC672" s="59"/>
      <c r="DD672" s="59"/>
      <c r="DE672" s="59"/>
      <c r="DF672" s="59"/>
      <c r="DG672" s="59"/>
      <c r="DH672" s="59"/>
      <c r="DI672" s="59"/>
      <c r="DJ672" s="59"/>
      <c r="DK672" s="59"/>
      <c r="DL672" s="59"/>
      <c r="DM672" s="59"/>
      <c r="DN672" s="59"/>
      <c r="DO672" s="59"/>
      <c r="DP672" s="59"/>
      <c r="DQ672" s="59"/>
      <c r="DR672" s="59"/>
      <c r="DS672" s="59"/>
      <c r="DT672" s="59"/>
      <c r="DU672" s="59"/>
      <c r="DV672" s="59"/>
    </row>
    <row r="673" spans="1:126" x14ac:dyDescent="0.3">
      <c r="A673" s="5"/>
      <c r="B673" s="5" t="s">
        <v>215</v>
      </c>
      <c r="C673" s="5"/>
      <c r="D673" s="5" t="s">
        <v>10</v>
      </c>
      <c r="E673" s="15">
        <f>60.69</f>
        <v>60.69</v>
      </c>
      <c r="F673" s="15"/>
      <c r="G673" s="15"/>
    </row>
    <row r="674" spans="1:126" x14ac:dyDescent="0.3">
      <c r="A674" s="5"/>
      <c r="B674" s="5" t="s">
        <v>129</v>
      </c>
      <c r="C674" s="5"/>
      <c r="D674" s="5" t="s">
        <v>8</v>
      </c>
      <c r="E674" s="15">
        <f>3.973</f>
        <v>3.9729999999999999</v>
      </c>
      <c r="F674" s="15"/>
      <c r="G674" s="15"/>
    </row>
    <row r="675" spans="1:126" x14ac:dyDescent="0.3">
      <c r="A675" s="5"/>
      <c r="B675" s="5" t="s">
        <v>136</v>
      </c>
      <c r="C675" s="5"/>
      <c r="D675" s="5" t="s">
        <v>8</v>
      </c>
      <c r="E675" s="15">
        <f>0.329</f>
        <v>0.32900000000000001</v>
      </c>
      <c r="F675" s="15"/>
      <c r="G675" s="15"/>
    </row>
    <row r="676" spans="1:126" x14ac:dyDescent="0.3">
      <c r="A676" s="5"/>
      <c r="B676" s="5" t="s">
        <v>205</v>
      </c>
      <c r="C676" s="5"/>
      <c r="D676" s="5" t="s">
        <v>8</v>
      </c>
      <c r="E676" s="15">
        <f>0.919</f>
        <v>0.91900000000000004</v>
      </c>
      <c r="F676" s="15"/>
      <c r="G676" s="15"/>
    </row>
    <row r="677" spans="1:126" s="3" customFormat="1" x14ac:dyDescent="0.3">
      <c r="A677" s="21"/>
      <c r="B677" s="21" t="s">
        <v>216</v>
      </c>
      <c r="C677" s="21"/>
      <c r="D677" s="21" t="s">
        <v>14</v>
      </c>
      <c r="E677" s="22">
        <f>1</f>
        <v>1</v>
      </c>
      <c r="F677" s="22"/>
      <c r="G677" s="22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59"/>
      <c r="AR677" s="59"/>
      <c r="AS677" s="59"/>
      <c r="AT677" s="59"/>
      <c r="AU677" s="59"/>
      <c r="AV677" s="59"/>
      <c r="AW677" s="59"/>
      <c r="AX677" s="59"/>
      <c r="AY677" s="59"/>
      <c r="AZ677" s="59"/>
      <c r="BA677" s="59"/>
      <c r="BB677" s="59"/>
      <c r="BC677" s="59"/>
      <c r="BD677" s="59"/>
      <c r="BE677" s="59"/>
      <c r="BF677" s="59"/>
      <c r="BG677" s="59"/>
      <c r="BH677" s="59"/>
      <c r="BI677" s="59"/>
      <c r="BJ677" s="59"/>
      <c r="BK677" s="59"/>
      <c r="BL677" s="59"/>
      <c r="BM677" s="59"/>
      <c r="BN677" s="59"/>
      <c r="BO677" s="59"/>
      <c r="BP677" s="59"/>
      <c r="BQ677" s="59"/>
      <c r="BR677" s="59"/>
      <c r="BS677" s="59"/>
      <c r="BT677" s="59"/>
      <c r="BU677" s="59"/>
      <c r="BV677" s="59"/>
      <c r="BW677" s="59"/>
      <c r="BX677" s="59"/>
      <c r="BY677" s="59"/>
      <c r="BZ677" s="59"/>
      <c r="CA677" s="59"/>
      <c r="CB677" s="59"/>
      <c r="CC677" s="59"/>
      <c r="CD677" s="59"/>
      <c r="CE677" s="59"/>
      <c r="CF677" s="59"/>
      <c r="CG677" s="59"/>
      <c r="CH677" s="59"/>
      <c r="CI677" s="59"/>
      <c r="CJ677" s="59"/>
      <c r="CK677" s="59"/>
      <c r="CL677" s="59"/>
      <c r="CM677" s="59"/>
      <c r="CN677" s="59"/>
      <c r="CO677" s="59"/>
      <c r="CP677" s="59"/>
      <c r="CQ677" s="59"/>
      <c r="CR677" s="59"/>
      <c r="CS677" s="59"/>
      <c r="CT677" s="59"/>
      <c r="CU677" s="59"/>
      <c r="CV677" s="59"/>
      <c r="CW677" s="59"/>
      <c r="CX677" s="59"/>
      <c r="CY677" s="59"/>
      <c r="CZ677" s="59"/>
      <c r="DA677" s="59"/>
      <c r="DB677" s="59"/>
      <c r="DC677" s="59"/>
      <c r="DD677" s="59"/>
      <c r="DE677" s="59"/>
      <c r="DF677" s="59"/>
      <c r="DG677" s="59"/>
      <c r="DH677" s="59"/>
      <c r="DI677" s="59"/>
      <c r="DJ677" s="59"/>
      <c r="DK677" s="59"/>
      <c r="DL677" s="59"/>
      <c r="DM677" s="59"/>
      <c r="DN677" s="59"/>
      <c r="DO677" s="59"/>
      <c r="DP677" s="59"/>
      <c r="DQ677" s="59"/>
      <c r="DR677" s="59"/>
      <c r="DS677" s="59"/>
      <c r="DT677" s="59"/>
      <c r="DU677" s="59"/>
      <c r="DV677" s="59"/>
    </row>
    <row r="678" spans="1:126" x14ac:dyDescent="0.3">
      <c r="A678" s="5"/>
      <c r="B678" s="5" t="s">
        <v>215</v>
      </c>
      <c r="C678" s="5"/>
      <c r="D678" s="5" t="s">
        <v>10</v>
      </c>
      <c r="E678" s="15">
        <f>52.38</f>
        <v>52.38</v>
      </c>
      <c r="F678" s="15"/>
      <c r="G678" s="15"/>
    </row>
    <row r="679" spans="1:126" x14ac:dyDescent="0.3">
      <c r="A679" s="5"/>
      <c r="B679" s="5" t="s">
        <v>129</v>
      </c>
      <c r="C679" s="5"/>
      <c r="D679" s="5" t="s">
        <v>8</v>
      </c>
      <c r="E679" s="15">
        <f>0.041</f>
        <v>4.1000000000000002E-2</v>
      </c>
      <c r="F679" s="15"/>
      <c r="G679" s="15"/>
    </row>
    <row r="680" spans="1:126" x14ac:dyDescent="0.3">
      <c r="A680" s="5"/>
      <c r="B680" s="5" t="s">
        <v>124</v>
      </c>
      <c r="C680" s="5"/>
      <c r="D680" s="5" t="s">
        <v>8</v>
      </c>
      <c r="E680" s="15">
        <f>4.712</f>
        <v>4.7119999999999997</v>
      </c>
      <c r="F680" s="15"/>
      <c r="G680" s="15"/>
    </row>
    <row r="681" spans="1:126" x14ac:dyDescent="0.3">
      <c r="A681" s="5"/>
      <c r="B681" s="5" t="s">
        <v>142</v>
      </c>
      <c r="C681" s="5"/>
      <c r="D681" s="5" t="s">
        <v>8</v>
      </c>
      <c r="E681" s="15">
        <f>0.085</f>
        <v>8.5000000000000006E-2</v>
      </c>
      <c r="F681" s="15"/>
      <c r="G681" s="15"/>
    </row>
    <row r="682" spans="1:126" x14ac:dyDescent="0.3">
      <c r="A682" s="5"/>
      <c r="B682" s="5" t="s">
        <v>205</v>
      </c>
      <c r="C682" s="5"/>
      <c r="D682" s="5" t="s">
        <v>8</v>
      </c>
      <c r="E682" s="15">
        <f>0.494</f>
        <v>0.49399999999999999</v>
      </c>
      <c r="F682" s="15"/>
      <c r="G682" s="15"/>
    </row>
    <row r="683" spans="1:126" x14ac:dyDescent="0.3">
      <c r="A683" s="5"/>
      <c r="B683" s="5" t="s">
        <v>217</v>
      </c>
      <c r="C683" s="5"/>
      <c r="D683" s="5" t="s">
        <v>8</v>
      </c>
      <c r="E683" s="15">
        <f>0.107</f>
        <v>0.107</v>
      </c>
      <c r="F683" s="15"/>
      <c r="G683" s="15"/>
    </row>
    <row r="684" spans="1:126" x14ac:dyDescent="0.3">
      <c r="A684" s="5"/>
      <c r="B684" s="5" t="s">
        <v>218</v>
      </c>
      <c r="C684" s="5"/>
      <c r="D684" s="5" t="s">
        <v>8</v>
      </c>
      <c r="E684" s="15">
        <f>0.039</f>
        <v>3.9E-2</v>
      </c>
      <c r="F684" s="15"/>
      <c r="G684" s="15"/>
    </row>
    <row r="685" spans="1:126" x14ac:dyDescent="0.3">
      <c r="A685" s="21"/>
      <c r="B685" s="21" t="s">
        <v>171</v>
      </c>
      <c r="C685" s="21"/>
      <c r="D685" s="21" t="s">
        <v>14</v>
      </c>
      <c r="E685" s="22">
        <f>2</f>
        <v>2</v>
      </c>
      <c r="F685" s="22"/>
      <c r="G685" s="22"/>
    </row>
    <row r="686" spans="1:126" x14ac:dyDescent="0.3">
      <c r="A686" s="5"/>
      <c r="B686" s="5" t="s">
        <v>145</v>
      </c>
      <c r="C686" s="5"/>
      <c r="D686" s="5" t="s">
        <v>10</v>
      </c>
      <c r="E686" s="15">
        <f>3.58</f>
        <v>3.58</v>
      </c>
      <c r="F686" s="15"/>
      <c r="G686" s="15"/>
    </row>
    <row r="687" spans="1:126" x14ac:dyDescent="0.3">
      <c r="A687" s="5"/>
      <c r="B687" s="5" t="s">
        <v>124</v>
      </c>
      <c r="C687" s="5"/>
      <c r="D687" s="5" t="s">
        <v>8</v>
      </c>
      <c r="E687" s="15">
        <f>0.5</f>
        <v>0.5</v>
      </c>
      <c r="F687" s="15"/>
      <c r="G687" s="15"/>
    </row>
    <row r="688" spans="1:126" x14ac:dyDescent="0.3">
      <c r="A688" s="5"/>
      <c r="B688" s="5" t="s">
        <v>138</v>
      </c>
      <c r="C688" s="5"/>
      <c r="D688" s="5" t="s">
        <v>8</v>
      </c>
      <c r="E688" s="15">
        <f>0.4</f>
        <v>0.4</v>
      </c>
      <c r="F688" s="15"/>
      <c r="G688" s="15"/>
    </row>
    <row r="689" spans="1:126" x14ac:dyDescent="0.3">
      <c r="A689" s="21"/>
      <c r="B689" s="21" t="s">
        <v>219</v>
      </c>
      <c r="C689" s="21"/>
      <c r="D689" s="21" t="s">
        <v>69</v>
      </c>
      <c r="E689" s="22">
        <f>556.02</f>
        <v>556.02</v>
      </c>
      <c r="F689" s="22"/>
      <c r="G689" s="22"/>
    </row>
    <row r="690" spans="1:126" x14ac:dyDescent="0.3">
      <c r="A690" s="5"/>
      <c r="B690" s="5" t="s">
        <v>220</v>
      </c>
      <c r="C690" s="5"/>
      <c r="D690" s="5" t="s">
        <v>72</v>
      </c>
      <c r="E690" s="15">
        <v>2502.09</v>
      </c>
      <c r="F690" s="15"/>
      <c r="G690" s="15"/>
    </row>
    <row r="691" spans="1:126" s="25" customFormat="1" x14ac:dyDescent="0.3">
      <c r="A691" s="23"/>
      <c r="B691" s="23" t="s">
        <v>221</v>
      </c>
      <c r="C691" s="23"/>
      <c r="D691" s="23"/>
      <c r="E691" s="24"/>
      <c r="F691" s="24"/>
      <c r="G691" s="24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59"/>
      <c r="AR691" s="59"/>
      <c r="AS691" s="59"/>
      <c r="AT691" s="59"/>
      <c r="AU691" s="59"/>
      <c r="AV691" s="59"/>
      <c r="AW691" s="59"/>
      <c r="AX691" s="59"/>
      <c r="AY691" s="59"/>
      <c r="AZ691" s="59"/>
      <c r="BA691" s="59"/>
      <c r="BB691" s="59"/>
      <c r="BC691" s="59"/>
      <c r="BD691" s="59"/>
      <c r="BE691" s="59"/>
      <c r="BF691" s="59"/>
      <c r="BG691" s="59"/>
      <c r="BH691" s="59"/>
      <c r="BI691" s="59"/>
      <c r="BJ691" s="59"/>
      <c r="BK691" s="59"/>
      <c r="BL691" s="59"/>
      <c r="BM691" s="59"/>
      <c r="BN691" s="59"/>
      <c r="BO691" s="59"/>
      <c r="BP691" s="59"/>
      <c r="BQ691" s="59"/>
      <c r="BR691" s="59"/>
      <c r="BS691" s="59"/>
      <c r="BT691" s="59"/>
      <c r="BU691" s="59"/>
      <c r="BV691" s="59"/>
      <c r="BW691" s="59"/>
      <c r="BX691" s="59"/>
      <c r="BY691" s="59"/>
      <c r="BZ691" s="59"/>
      <c r="CA691" s="59"/>
      <c r="CB691" s="59"/>
      <c r="CC691" s="59"/>
      <c r="CD691" s="59"/>
      <c r="CE691" s="59"/>
      <c r="CF691" s="59"/>
      <c r="CG691" s="59"/>
      <c r="CH691" s="59"/>
      <c r="CI691" s="59"/>
      <c r="CJ691" s="59"/>
      <c r="CK691" s="59"/>
      <c r="CL691" s="59"/>
      <c r="CM691" s="59"/>
      <c r="CN691" s="59"/>
      <c r="CO691" s="59"/>
      <c r="CP691" s="59"/>
      <c r="CQ691" s="59"/>
      <c r="CR691" s="59"/>
      <c r="CS691" s="59"/>
      <c r="CT691" s="59"/>
      <c r="CU691" s="59"/>
      <c r="CV691" s="59"/>
      <c r="CW691" s="59"/>
      <c r="CX691" s="59"/>
      <c r="CY691" s="59"/>
      <c r="CZ691" s="59"/>
      <c r="DA691" s="59"/>
      <c r="DB691" s="59"/>
      <c r="DC691" s="59"/>
      <c r="DD691" s="59"/>
      <c r="DE691" s="59"/>
      <c r="DF691" s="59"/>
      <c r="DG691" s="59"/>
      <c r="DH691" s="59"/>
      <c r="DI691" s="59"/>
      <c r="DJ691" s="59"/>
      <c r="DK691" s="59"/>
      <c r="DL691" s="59"/>
      <c r="DM691" s="59"/>
      <c r="DN691" s="59"/>
      <c r="DO691" s="59"/>
      <c r="DP691" s="59"/>
      <c r="DQ691" s="59"/>
      <c r="DR691" s="59"/>
      <c r="DS691" s="59"/>
      <c r="DT691" s="59"/>
      <c r="DU691" s="59"/>
      <c r="DV691" s="59"/>
    </row>
    <row r="692" spans="1:126" s="3" customFormat="1" x14ac:dyDescent="0.3">
      <c r="A692" s="21"/>
      <c r="B692" s="21" t="s">
        <v>121</v>
      </c>
      <c r="C692" s="21"/>
      <c r="D692" s="21" t="s">
        <v>14</v>
      </c>
      <c r="E692" s="22">
        <v>21</v>
      </c>
      <c r="F692" s="22"/>
      <c r="G692" s="22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59"/>
      <c r="AR692" s="59"/>
      <c r="AS692" s="59"/>
      <c r="AT692" s="59"/>
      <c r="AU692" s="59"/>
      <c r="AV692" s="59"/>
      <c r="AW692" s="59"/>
      <c r="AX692" s="59"/>
      <c r="AY692" s="59"/>
      <c r="AZ692" s="59"/>
      <c r="BA692" s="59"/>
      <c r="BB692" s="59"/>
      <c r="BC692" s="59"/>
      <c r="BD692" s="59"/>
      <c r="BE692" s="59"/>
      <c r="BF692" s="59"/>
      <c r="BG692" s="59"/>
      <c r="BH692" s="59"/>
      <c r="BI692" s="59"/>
      <c r="BJ692" s="59"/>
      <c r="BK692" s="59"/>
      <c r="BL692" s="59"/>
      <c r="BM692" s="59"/>
      <c r="BN692" s="59"/>
      <c r="BO692" s="59"/>
      <c r="BP692" s="59"/>
      <c r="BQ692" s="59"/>
      <c r="BR692" s="59"/>
      <c r="BS692" s="59"/>
      <c r="BT692" s="59"/>
      <c r="BU692" s="59"/>
      <c r="BV692" s="59"/>
      <c r="BW692" s="59"/>
      <c r="BX692" s="59"/>
      <c r="BY692" s="59"/>
      <c r="BZ692" s="59"/>
      <c r="CA692" s="59"/>
      <c r="CB692" s="59"/>
      <c r="CC692" s="59"/>
      <c r="CD692" s="59"/>
      <c r="CE692" s="59"/>
      <c r="CF692" s="59"/>
      <c r="CG692" s="59"/>
      <c r="CH692" s="59"/>
      <c r="CI692" s="59"/>
      <c r="CJ692" s="59"/>
      <c r="CK692" s="59"/>
      <c r="CL692" s="59"/>
      <c r="CM692" s="59"/>
      <c r="CN692" s="59"/>
      <c r="CO692" s="59"/>
      <c r="CP692" s="59"/>
      <c r="CQ692" s="59"/>
      <c r="CR692" s="59"/>
      <c r="CS692" s="59"/>
      <c r="CT692" s="59"/>
      <c r="CU692" s="59"/>
      <c r="CV692" s="59"/>
      <c r="CW692" s="59"/>
      <c r="CX692" s="59"/>
      <c r="CY692" s="59"/>
      <c r="CZ692" s="59"/>
      <c r="DA692" s="59"/>
      <c r="DB692" s="59"/>
      <c r="DC692" s="59"/>
      <c r="DD692" s="59"/>
      <c r="DE692" s="59"/>
      <c r="DF692" s="59"/>
      <c r="DG692" s="59"/>
      <c r="DH692" s="59"/>
      <c r="DI692" s="59"/>
      <c r="DJ692" s="59"/>
      <c r="DK692" s="59"/>
      <c r="DL692" s="59"/>
      <c r="DM692" s="59"/>
      <c r="DN692" s="59"/>
      <c r="DO692" s="59"/>
      <c r="DP692" s="59"/>
      <c r="DQ692" s="59"/>
      <c r="DR692" s="59"/>
      <c r="DS692" s="59"/>
      <c r="DT692" s="59"/>
      <c r="DU692" s="59"/>
      <c r="DV692" s="59"/>
    </row>
    <row r="693" spans="1:126" x14ac:dyDescent="0.3">
      <c r="A693" s="5"/>
      <c r="B693" s="5" t="s">
        <v>122</v>
      </c>
      <c r="C693" s="5"/>
      <c r="D693" s="5" t="s">
        <v>10</v>
      </c>
      <c r="E693" s="15">
        <f>430.44</f>
        <v>430.44</v>
      </c>
      <c r="F693" s="15"/>
      <c r="G693" s="15"/>
    </row>
    <row r="694" spans="1:126" x14ac:dyDescent="0.3">
      <c r="A694" s="5"/>
      <c r="B694" s="5" t="s">
        <v>222</v>
      </c>
      <c r="C694" s="5"/>
      <c r="D694" s="5" t="s">
        <v>8</v>
      </c>
      <c r="E694" s="15">
        <f>22.13</f>
        <v>22.13</v>
      </c>
      <c r="F694" s="15"/>
      <c r="G694" s="15"/>
    </row>
    <row r="695" spans="1:126" x14ac:dyDescent="0.3">
      <c r="A695" s="5"/>
      <c r="B695" s="5" t="s">
        <v>124</v>
      </c>
      <c r="C695" s="5"/>
      <c r="D695" s="5" t="s">
        <v>8</v>
      </c>
      <c r="E695" s="15">
        <f>0.755</f>
        <v>0.755</v>
      </c>
      <c r="F695" s="15"/>
      <c r="G695" s="15"/>
    </row>
    <row r="696" spans="1:126" x14ac:dyDescent="0.3">
      <c r="A696" s="5"/>
      <c r="B696" s="5" t="s">
        <v>205</v>
      </c>
      <c r="C696" s="5"/>
      <c r="D696" s="5" t="s">
        <v>8</v>
      </c>
      <c r="E696" s="15">
        <f>5.225</f>
        <v>5.2249999999999996</v>
      </c>
      <c r="F696" s="15"/>
      <c r="G696" s="15"/>
    </row>
    <row r="697" spans="1:126" x14ac:dyDescent="0.3">
      <c r="A697" s="5"/>
      <c r="B697" s="5" t="s">
        <v>187</v>
      </c>
      <c r="C697" s="5"/>
      <c r="D697" s="5" t="s">
        <v>8</v>
      </c>
      <c r="E697" s="15">
        <f>4.278</f>
        <v>4.2779999999999996</v>
      </c>
      <c r="F697" s="15"/>
      <c r="G697" s="15"/>
    </row>
    <row r="698" spans="1:126" x14ac:dyDescent="0.3">
      <c r="A698" s="5"/>
      <c r="B698" s="5" t="s">
        <v>207</v>
      </c>
      <c r="C698" s="5"/>
      <c r="D698" s="5" t="s">
        <v>8</v>
      </c>
      <c r="E698" s="15">
        <f>0.011</f>
        <v>1.0999999999999999E-2</v>
      </c>
      <c r="F698" s="15"/>
      <c r="G698" s="15"/>
    </row>
    <row r="699" spans="1:126" x14ac:dyDescent="0.3">
      <c r="A699" s="5"/>
      <c r="B699" s="5" t="s">
        <v>206</v>
      </c>
      <c r="C699" s="5"/>
      <c r="D699" s="5" t="s">
        <v>8</v>
      </c>
      <c r="E699" s="15">
        <f>0.264</f>
        <v>0.26400000000000001</v>
      </c>
      <c r="F699" s="15"/>
      <c r="G699" s="15"/>
    </row>
    <row r="700" spans="1:126" x14ac:dyDescent="0.3">
      <c r="A700" s="5"/>
      <c r="B700" s="5" t="s">
        <v>223</v>
      </c>
      <c r="C700" s="5"/>
      <c r="D700" s="5" t="s">
        <v>8</v>
      </c>
      <c r="E700" s="15">
        <f>1.625</f>
        <v>1.625</v>
      </c>
      <c r="F700" s="15"/>
      <c r="G700" s="15"/>
    </row>
    <row r="701" spans="1:126" x14ac:dyDescent="0.3">
      <c r="A701" s="5"/>
      <c r="B701" s="5" t="s">
        <v>209</v>
      </c>
      <c r="C701" s="5"/>
      <c r="D701" s="5" t="s">
        <v>8</v>
      </c>
      <c r="E701" s="15">
        <f>0.56*0.4</f>
        <v>0.22400000000000003</v>
      </c>
      <c r="F701" s="15"/>
      <c r="G701" s="15"/>
    </row>
    <row r="702" spans="1:126" s="3" customFormat="1" x14ac:dyDescent="0.3">
      <c r="A702" s="21"/>
      <c r="B702" s="21" t="s">
        <v>127</v>
      </c>
      <c r="C702" s="21"/>
      <c r="D702" s="21" t="s">
        <v>14</v>
      </c>
      <c r="E702" s="22">
        <f>1</f>
        <v>1</v>
      </c>
      <c r="F702" s="22"/>
      <c r="G702" s="22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59"/>
      <c r="AR702" s="59"/>
      <c r="AS702" s="59"/>
      <c r="AT702" s="59"/>
      <c r="AU702" s="59"/>
      <c r="AV702" s="59"/>
      <c r="AW702" s="59"/>
      <c r="AX702" s="59"/>
      <c r="AY702" s="59"/>
      <c r="AZ702" s="59"/>
      <c r="BA702" s="59"/>
      <c r="BB702" s="59"/>
      <c r="BC702" s="59"/>
      <c r="BD702" s="59"/>
      <c r="BE702" s="59"/>
      <c r="BF702" s="59"/>
      <c r="BG702" s="59"/>
      <c r="BH702" s="59"/>
      <c r="BI702" s="59"/>
      <c r="BJ702" s="59"/>
      <c r="BK702" s="59"/>
      <c r="BL702" s="59"/>
      <c r="BM702" s="59"/>
      <c r="BN702" s="59"/>
      <c r="BO702" s="59"/>
      <c r="BP702" s="59"/>
      <c r="BQ702" s="59"/>
      <c r="BR702" s="59"/>
      <c r="BS702" s="59"/>
      <c r="BT702" s="59"/>
      <c r="BU702" s="59"/>
      <c r="BV702" s="59"/>
      <c r="BW702" s="59"/>
      <c r="BX702" s="59"/>
      <c r="BY702" s="59"/>
      <c r="BZ702" s="59"/>
      <c r="CA702" s="59"/>
      <c r="CB702" s="59"/>
      <c r="CC702" s="59"/>
      <c r="CD702" s="59"/>
      <c r="CE702" s="59"/>
      <c r="CF702" s="59"/>
      <c r="CG702" s="59"/>
      <c r="CH702" s="59"/>
      <c r="CI702" s="59"/>
      <c r="CJ702" s="59"/>
      <c r="CK702" s="59"/>
      <c r="CL702" s="59"/>
      <c r="CM702" s="59"/>
      <c r="CN702" s="59"/>
      <c r="CO702" s="59"/>
      <c r="CP702" s="59"/>
      <c r="CQ702" s="59"/>
      <c r="CR702" s="59"/>
      <c r="CS702" s="59"/>
      <c r="CT702" s="59"/>
      <c r="CU702" s="59"/>
      <c r="CV702" s="59"/>
      <c r="CW702" s="59"/>
      <c r="CX702" s="59"/>
      <c r="CY702" s="59"/>
      <c r="CZ702" s="59"/>
      <c r="DA702" s="59"/>
      <c r="DB702" s="59"/>
      <c r="DC702" s="59"/>
      <c r="DD702" s="59"/>
      <c r="DE702" s="59"/>
      <c r="DF702" s="59"/>
      <c r="DG702" s="59"/>
      <c r="DH702" s="59"/>
      <c r="DI702" s="59"/>
      <c r="DJ702" s="59"/>
      <c r="DK702" s="59"/>
      <c r="DL702" s="59"/>
      <c r="DM702" s="59"/>
      <c r="DN702" s="59"/>
      <c r="DO702" s="59"/>
      <c r="DP702" s="59"/>
      <c r="DQ702" s="59"/>
      <c r="DR702" s="59"/>
      <c r="DS702" s="59"/>
      <c r="DT702" s="59"/>
      <c r="DU702" s="59"/>
      <c r="DV702" s="59"/>
    </row>
    <row r="703" spans="1:126" x14ac:dyDescent="0.3">
      <c r="A703" s="5"/>
      <c r="B703" s="5" t="s">
        <v>224</v>
      </c>
      <c r="C703" s="5"/>
      <c r="D703" s="5" t="s">
        <v>10</v>
      </c>
      <c r="E703" s="15">
        <f>18.65</f>
        <v>18.649999999999999</v>
      </c>
      <c r="F703" s="15"/>
      <c r="G703" s="15"/>
    </row>
    <row r="704" spans="1:126" x14ac:dyDescent="0.3">
      <c r="A704" s="5"/>
      <c r="B704" s="5" t="s">
        <v>213</v>
      </c>
      <c r="C704" s="5"/>
      <c r="D704" s="5" t="s">
        <v>10</v>
      </c>
      <c r="E704" s="15">
        <f>457.7</f>
        <v>457.7</v>
      </c>
      <c r="F704" s="15"/>
      <c r="G704" s="15"/>
    </row>
    <row r="705" spans="1:7" x14ac:dyDescent="0.3">
      <c r="A705" s="5"/>
      <c r="B705" s="5" t="s">
        <v>129</v>
      </c>
      <c r="C705" s="5"/>
      <c r="D705" s="5" t="s">
        <v>8</v>
      </c>
      <c r="E705" s="15">
        <f>36.099</f>
        <v>36.098999999999997</v>
      </c>
      <c r="F705" s="15"/>
      <c r="G705" s="15"/>
    </row>
    <row r="706" spans="1:7" x14ac:dyDescent="0.3">
      <c r="A706" s="5"/>
      <c r="B706" s="5" t="s">
        <v>131</v>
      </c>
      <c r="C706" s="5"/>
      <c r="D706" s="5" t="s">
        <v>8</v>
      </c>
      <c r="E706" s="15">
        <f>14.693</f>
        <v>14.693</v>
      </c>
      <c r="F706" s="15"/>
      <c r="G706" s="15"/>
    </row>
    <row r="707" spans="1:7" x14ac:dyDescent="0.3">
      <c r="A707" s="5"/>
      <c r="B707" s="5" t="s">
        <v>124</v>
      </c>
      <c r="C707" s="5"/>
      <c r="D707" s="5" t="s">
        <v>8</v>
      </c>
      <c r="E707" s="15">
        <f>10.172</f>
        <v>10.172000000000001</v>
      </c>
      <c r="F707" s="15"/>
      <c r="G707" s="15"/>
    </row>
    <row r="708" spans="1:7" x14ac:dyDescent="0.3">
      <c r="A708" s="5"/>
      <c r="B708" s="5" t="s">
        <v>205</v>
      </c>
      <c r="C708" s="5"/>
      <c r="D708" s="5" t="s">
        <v>8</v>
      </c>
      <c r="E708" s="15">
        <f>0.975</f>
        <v>0.97499999999999998</v>
      </c>
      <c r="F708" s="15"/>
      <c r="G708" s="15"/>
    </row>
    <row r="709" spans="1:7" x14ac:dyDescent="0.3">
      <c r="A709" s="5"/>
      <c r="B709" s="5" t="s">
        <v>211</v>
      </c>
      <c r="C709" s="5"/>
      <c r="D709" s="5" t="s">
        <v>8</v>
      </c>
      <c r="E709" s="15">
        <f>0.422</f>
        <v>0.42199999999999999</v>
      </c>
      <c r="F709" s="15"/>
      <c r="G709" s="15"/>
    </row>
    <row r="710" spans="1:7" x14ac:dyDescent="0.3">
      <c r="A710" s="21"/>
      <c r="B710" s="21" t="s">
        <v>134</v>
      </c>
      <c r="C710" s="21"/>
      <c r="D710" s="21" t="s">
        <v>14</v>
      </c>
      <c r="E710" s="22">
        <f>66</f>
        <v>66</v>
      </c>
      <c r="F710" s="22"/>
      <c r="G710" s="22"/>
    </row>
    <row r="711" spans="1:7" x14ac:dyDescent="0.3">
      <c r="A711" s="5"/>
      <c r="B711" s="5" t="s">
        <v>135</v>
      </c>
      <c r="C711" s="5"/>
      <c r="D711" s="5" t="s">
        <v>10</v>
      </c>
      <c r="E711" s="15">
        <f>70.2</f>
        <v>70.2</v>
      </c>
      <c r="F711" s="15"/>
      <c r="G711" s="15"/>
    </row>
    <row r="712" spans="1:7" x14ac:dyDescent="0.3">
      <c r="A712" s="5"/>
      <c r="B712" s="5" t="s">
        <v>136</v>
      </c>
      <c r="C712" s="5"/>
      <c r="D712" s="5" t="s">
        <v>8</v>
      </c>
      <c r="E712" s="15">
        <f>1.9</f>
        <v>1.9</v>
      </c>
      <c r="F712" s="15"/>
      <c r="G712" s="15"/>
    </row>
    <row r="713" spans="1:7" x14ac:dyDescent="0.3">
      <c r="A713" s="5"/>
      <c r="B713" s="5" t="s">
        <v>137</v>
      </c>
      <c r="C713" s="5"/>
      <c r="D713" s="5" t="s">
        <v>8</v>
      </c>
      <c r="E713" s="15">
        <f>1.4</f>
        <v>1.4</v>
      </c>
      <c r="F713" s="15"/>
      <c r="G713" s="15"/>
    </row>
    <row r="714" spans="1:7" x14ac:dyDescent="0.3">
      <c r="A714" s="5"/>
      <c r="B714" s="5" t="s">
        <v>138</v>
      </c>
      <c r="C714" s="5"/>
      <c r="D714" s="5" t="s">
        <v>8</v>
      </c>
      <c r="E714" s="15">
        <f>0.8</f>
        <v>0.8</v>
      </c>
      <c r="F714" s="15"/>
      <c r="G714" s="15"/>
    </row>
    <row r="715" spans="1:7" x14ac:dyDescent="0.3">
      <c r="A715" s="5"/>
      <c r="B715" s="5" t="s">
        <v>139</v>
      </c>
      <c r="C715" s="5"/>
      <c r="D715" s="5" t="s">
        <v>8</v>
      </c>
      <c r="E715" s="15">
        <f>1.4</f>
        <v>1.4</v>
      </c>
      <c r="F715" s="15"/>
      <c r="G715" s="15"/>
    </row>
    <row r="716" spans="1:7" x14ac:dyDescent="0.3">
      <c r="A716" s="21"/>
      <c r="B716" s="21" t="s">
        <v>140</v>
      </c>
      <c r="C716" s="21"/>
      <c r="D716" s="21" t="s">
        <v>10</v>
      </c>
      <c r="E716" s="22">
        <f>133.6</f>
        <v>133.6</v>
      </c>
      <c r="F716" s="22"/>
      <c r="G716" s="22"/>
    </row>
    <row r="717" spans="1:7" x14ac:dyDescent="0.3">
      <c r="A717" s="5"/>
      <c r="B717" s="5" t="s">
        <v>141</v>
      </c>
      <c r="C717" s="5"/>
      <c r="D717" s="5" t="s">
        <v>10</v>
      </c>
      <c r="E717" s="15">
        <f>137.39</f>
        <v>137.38999999999999</v>
      </c>
      <c r="F717" s="15"/>
      <c r="G717" s="15"/>
    </row>
    <row r="718" spans="1:7" x14ac:dyDescent="0.3">
      <c r="A718" s="5"/>
      <c r="B718" s="5" t="s">
        <v>123</v>
      </c>
      <c r="C718" s="5"/>
      <c r="D718" s="5" t="s">
        <v>8</v>
      </c>
      <c r="E718" s="15">
        <f>40.211</f>
        <v>40.210999999999999</v>
      </c>
      <c r="F718" s="15"/>
      <c r="G718" s="15"/>
    </row>
    <row r="719" spans="1:7" x14ac:dyDescent="0.3">
      <c r="A719" s="5"/>
      <c r="B719" s="5" t="s">
        <v>131</v>
      </c>
      <c r="C719" s="5"/>
      <c r="D719" s="5" t="s">
        <v>8</v>
      </c>
      <c r="E719" s="15">
        <f>3.021</f>
        <v>3.0209999999999999</v>
      </c>
      <c r="F719" s="15"/>
      <c r="G719" s="15"/>
    </row>
    <row r="720" spans="1:7" x14ac:dyDescent="0.3">
      <c r="A720" s="5"/>
      <c r="B720" s="5" t="s">
        <v>124</v>
      </c>
      <c r="C720" s="5"/>
      <c r="D720" s="5" t="s">
        <v>8</v>
      </c>
      <c r="E720" s="15">
        <f>0.521</f>
        <v>0.52100000000000002</v>
      </c>
      <c r="F720" s="15"/>
      <c r="G720" s="15"/>
    </row>
    <row r="721" spans="1:126" x14ac:dyDescent="0.3">
      <c r="A721" s="5"/>
      <c r="B721" s="5" t="s">
        <v>142</v>
      </c>
      <c r="C721" s="5"/>
      <c r="D721" s="5" t="s">
        <v>8</v>
      </c>
      <c r="E721" s="15">
        <f>1.323</f>
        <v>1.323</v>
      </c>
      <c r="F721" s="15"/>
      <c r="G721" s="15"/>
    </row>
    <row r="722" spans="1:126" ht="31.2" x14ac:dyDescent="0.3">
      <c r="A722" s="5"/>
      <c r="B722" s="11" t="s">
        <v>143</v>
      </c>
      <c r="C722" s="5"/>
      <c r="D722" s="5" t="s">
        <v>14</v>
      </c>
      <c r="E722" s="15">
        <f>192</f>
        <v>192</v>
      </c>
      <c r="F722" s="15"/>
      <c r="G722" s="15"/>
    </row>
    <row r="723" spans="1:126" x14ac:dyDescent="0.3">
      <c r="A723" s="21"/>
      <c r="B723" s="21" t="s">
        <v>144</v>
      </c>
      <c r="C723" s="21"/>
      <c r="D723" s="21" t="s">
        <v>14</v>
      </c>
      <c r="E723" s="22">
        <f>1</f>
        <v>1</v>
      </c>
      <c r="F723" s="22"/>
      <c r="G723" s="22"/>
    </row>
    <row r="724" spans="1:126" x14ac:dyDescent="0.3">
      <c r="A724" s="5"/>
      <c r="B724" s="5" t="s">
        <v>145</v>
      </c>
      <c r="C724" s="5"/>
      <c r="D724" s="5" t="s">
        <v>10</v>
      </c>
      <c r="E724" s="15">
        <f>90.08</f>
        <v>90.08</v>
      </c>
      <c r="F724" s="15"/>
      <c r="G724" s="15"/>
    </row>
    <row r="725" spans="1:126" x14ac:dyDescent="0.3">
      <c r="A725" s="5"/>
      <c r="B725" s="5" t="s">
        <v>129</v>
      </c>
      <c r="C725" s="5"/>
      <c r="D725" s="5" t="s">
        <v>8</v>
      </c>
      <c r="E725" s="15">
        <f>2.879</f>
        <v>2.879</v>
      </c>
      <c r="F725" s="15"/>
      <c r="G725" s="15"/>
    </row>
    <row r="726" spans="1:126" x14ac:dyDescent="0.3">
      <c r="A726" s="5"/>
      <c r="B726" s="5" t="s">
        <v>131</v>
      </c>
      <c r="C726" s="5"/>
      <c r="D726" s="5" t="s">
        <v>8</v>
      </c>
      <c r="E726" s="15">
        <f>2.025</f>
        <v>2.0249999999999999</v>
      </c>
      <c r="F726" s="15"/>
      <c r="G726" s="15"/>
    </row>
    <row r="727" spans="1:126" x14ac:dyDescent="0.3">
      <c r="A727" s="5"/>
      <c r="B727" s="5" t="s">
        <v>142</v>
      </c>
      <c r="C727" s="5"/>
      <c r="D727" s="5" t="s">
        <v>8</v>
      </c>
      <c r="E727" s="15">
        <f>2.68</f>
        <v>2.68</v>
      </c>
      <c r="F727" s="15"/>
      <c r="G727" s="15"/>
    </row>
    <row r="728" spans="1:126" x14ac:dyDescent="0.3">
      <c r="A728" s="21"/>
      <c r="B728" s="21" t="s">
        <v>171</v>
      </c>
      <c r="C728" s="21"/>
      <c r="D728" s="21" t="s">
        <v>14</v>
      </c>
      <c r="E728" s="22">
        <f>2</f>
        <v>2</v>
      </c>
      <c r="F728" s="22"/>
      <c r="G728" s="22"/>
    </row>
    <row r="729" spans="1:126" x14ac:dyDescent="0.3">
      <c r="A729" s="5"/>
      <c r="B729" s="5" t="s">
        <v>145</v>
      </c>
      <c r="C729" s="5"/>
      <c r="D729" s="5" t="s">
        <v>10</v>
      </c>
      <c r="E729" s="15">
        <f>5.12</f>
        <v>5.12</v>
      </c>
      <c r="F729" s="15"/>
      <c r="G729" s="15"/>
    </row>
    <row r="730" spans="1:126" x14ac:dyDescent="0.3">
      <c r="A730" s="5"/>
      <c r="B730" s="5" t="s">
        <v>225</v>
      </c>
      <c r="C730" s="5"/>
      <c r="D730" s="5" t="s">
        <v>8</v>
      </c>
      <c r="E730" s="15">
        <f>0.688</f>
        <v>0.68799999999999994</v>
      </c>
      <c r="F730" s="15"/>
      <c r="G730" s="15"/>
    </row>
    <row r="731" spans="1:126" x14ac:dyDescent="0.3">
      <c r="A731" s="5"/>
      <c r="B731" s="5" t="s">
        <v>142</v>
      </c>
      <c r="C731" s="5"/>
      <c r="D731" s="5" t="s">
        <v>8</v>
      </c>
      <c r="E731" s="15">
        <f>0.047</f>
        <v>4.7E-2</v>
      </c>
      <c r="F731" s="15"/>
      <c r="G731" s="15"/>
    </row>
    <row r="732" spans="1:126" x14ac:dyDescent="0.3">
      <c r="A732" s="21"/>
      <c r="B732" s="21" t="s">
        <v>219</v>
      </c>
      <c r="C732" s="21"/>
      <c r="D732" s="21" t="s">
        <v>69</v>
      </c>
      <c r="E732" s="22">
        <f>357.79</f>
        <v>357.79</v>
      </c>
      <c r="F732" s="22"/>
      <c r="G732" s="22"/>
    </row>
    <row r="733" spans="1:126" x14ac:dyDescent="0.3">
      <c r="A733" s="5"/>
      <c r="B733" s="5" t="s">
        <v>220</v>
      </c>
      <c r="C733" s="5"/>
      <c r="D733" s="5" t="s">
        <v>72</v>
      </c>
      <c r="E733" s="15">
        <v>1610.0550000000001</v>
      </c>
      <c r="F733" s="15"/>
      <c r="G733" s="15"/>
    </row>
    <row r="734" spans="1:126" s="25" customFormat="1" x14ac:dyDescent="0.3">
      <c r="A734" s="23"/>
      <c r="B734" s="23" t="s">
        <v>226</v>
      </c>
      <c r="C734" s="23"/>
      <c r="D734" s="23"/>
      <c r="E734" s="24"/>
      <c r="F734" s="24"/>
      <c r="G734" s="24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N734" s="59"/>
      <c r="AO734" s="59"/>
      <c r="AP734" s="59"/>
      <c r="AQ734" s="59"/>
      <c r="AR734" s="59"/>
      <c r="AS734" s="59"/>
      <c r="AT734" s="59"/>
      <c r="AU734" s="59"/>
      <c r="AV734" s="59"/>
      <c r="AW734" s="59"/>
      <c r="AX734" s="59"/>
      <c r="AY734" s="59"/>
      <c r="AZ734" s="59"/>
      <c r="BA734" s="59"/>
      <c r="BB734" s="59"/>
      <c r="BC734" s="59"/>
      <c r="BD734" s="59"/>
      <c r="BE734" s="59"/>
      <c r="BF734" s="59"/>
      <c r="BG734" s="59"/>
      <c r="BH734" s="59"/>
      <c r="BI734" s="59"/>
      <c r="BJ734" s="59"/>
      <c r="BK734" s="59"/>
      <c r="BL734" s="59"/>
      <c r="BM734" s="59"/>
      <c r="BN734" s="59"/>
      <c r="BO734" s="59"/>
      <c r="BP734" s="59"/>
      <c r="BQ734" s="59"/>
      <c r="BR734" s="59"/>
      <c r="BS734" s="59"/>
      <c r="BT734" s="59"/>
      <c r="BU734" s="59"/>
      <c r="BV734" s="59"/>
      <c r="BW734" s="59"/>
      <c r="BX734" s="59"/>
      <c r="BY734" s="59"/>
      <c r="BZ734" s="59"/>
      <c r="CA734" s="59"/>
      <c r="CB734" s="59"/>
      <c r="CC734" s="59"/>
      <c r="CD734" s="59"/>
      <c r="CE734" s="59"/>
      <c r="CF734" s="59"/>
      <c r="CG734" s="59"/>
      <c r="CH734" s="59"/>
      <c r="CI734" s="59"/>
      <c r="CJ734" s="59"/>
      <c r="CK734" s="59"/>
      <c r="CL734" s="59"/>
      <c r="CM734" s="59"/>
      <c r="CN734" s="59"/>
      <c r="CO734" s="59"/>
      <c r="CP734" s="59"/>
      <c r="CQ734" s="59"/>
      <c r="CR734" s="59"/>
      <c r="CS734" s="59"/>
      <c r="CT734" s="59"/>
      <c r="CU734" s="59"/>
      <c r="CV734" s="59"/>
      <c r="CW734" s="59"/>
      <c r="CX734" s="59"/>
      <c r="CY734" s="59"/>
      <c r="CZ734" s="59"/>
      <c r="DA734" s="59"/>
      <c r="DB734" s="59"/>
      <c r="DC734" s="59"/>
      <c r="DD734" s="59"/>
      <c r="DE734" s="59"/>
      <c r="DF734" s="59"/>
      <c r="DG734" s="59"/>
      <c r="DH734" s="59"/>
      <c r="DI734" s="59"/>
      <c r="DJ734" s="59"/>
      <c r="DK734" s="59"/>
      <c r="DL734" s="59"/>
      <c r="DM734" s="59"/>
      <c r="DN734" s="59"/>
      <c r="DO734" s="59"/>
      <c r="DP734" s="59"/>
      <c r="DQ734" s="59"/>
      <c r="DR734" s="59"/>
      <c r="DS734" s="59"/>
      <c r="DT734" s="59"/>
      <c r="DU734" s="59"/>
      <c r="DV734" s="59"/>
    </row>
    <row r="735" spans="1:126" s="3" customFormat="1" x14ac:dyDescent="0.3">
      <c r="A735" s="21"/>
      <c r="B735" s="21" t="s">
        <v>31</v>
      </c>
      <c r="C735" s="21"/>
      <c r="D735" s="21"/>
      <c r="E735" s="22"/>
      <c r="F735" s="22"/>
      <c r="G735" s="22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59"/>
      <c r="AU735" s="59"/>
      <c r="AV735" s="59"/>
      <c r="AW735" s="59"/>
      <c r="AX735" s="59"/>
      <c r="AY735" s="59"/>
      <c r="AZ735" s="59"/>
      <c r="BA735" s="59"/>
      <c r="BB735" s="59"/>
      <c r="BC735" s="59"/>
      <c r="BD735" s="59"/>
      <c r="BE735" s="59"/>
      <c r="BF735" s="59"/>
      <c r="BG735" s="59"/>
      <c r="BH735" s="59"/>
      <c r="BI735" s="59"/>
      <c r="BJ735" s="59"/>
      <c r="BK735" s="59"/>
      <c r="BL735" s="59"/>
      <c r="BM735" s="59"/>
      <c r="BN735" s="59"/>
      <c r="BO735" s="59"/>
      <c r="BP735" s="59"/>
      <c r="BQ735" s="59"/>
      <c r="BR735" s="59"/>
      <c r="BS735" s="59"/>
      <c r="BT735" s="59"/>
      <c r="BU735" s="59"/>
      <c r="BV735" s="59"/>
      <c r="BW735" s="59"/>
      <c r="BX735" s="59"/>
      <c r="BY735" s="59"/>
      <c r="BZ735" s="59"/>
      <c r="CA735" s="59"/>
      <c r="CB735" s="59"/>
      <c r="CC735" s="59"/>
      <c r="CD735" s="59"/>
      <c r="CE735" s="59"/>
      <c r="CF735" s="59"/>
      <c r="CG735" s="59"/>
      <c r="CH735" s="59"/>
      <c r="CI735" s="59"/>
      <c r="CJ735" s="59"/>
      <c r="CK735" s="59"/>
      <c r="CL735" s="59"/>
      <c r="CM735" s="59"/>
      <c r="CN735" s="59"/>
      <c r="CO735" s="59"/>
      <c r="CP735" s="59"/>
      <c r="CQ735" s="59"/>
      <c r="CR735" s="59"/>
      <c r="CS735" s="59"/>
      <c r="CT735" s="59"/>
      <c r="CU735" s="59"/>
      <c r="CV735" s="59"/>
      <c r="CW735" s="59"/>
      <c r="CX735" s="59"/>
      <c r="CY735" s="59"/>
      <c r="CZ735" s="59"/>
      <c r="DA735" s="59"/>
      <c r="DB735" s="59"/>
      <c r="DC735" s="59"/>
      <c r="DD735" s="59"/>
      <c r="DE735" s="59"/>
      <c r="DF735" s="59"/>
      <c r="DG735" s="59"/>
      <c r="DH735" s="59"/>
      <c r="DI735" s="59"/>
      <c r="DJ735" s="59"/>
      <c r="DK735" s="59"/>
      <c r="DL735" s="59"/>
      <c r="DM735" s="59"/>
      <c r="DN735" s="59"/>
      <c r="DO735" s="59"/>
      <c r="DP735" s="59"/>
      <c r="DQ735" s="59"/>
      <c r="DR735" s="59"/>
      <c r="DS735" s="59"/>
      <c r="DT735" s="59"/>
      <c r="DU735" s="59"/>
      <c r="DV735" s="59"/>
    </row>
    <row r="736" spans="1:126" ht="31.2" x14ac:dyDescent="0.3">
      <c r="A736" s="5"/>
      <c r="B736" s="11" t="s">
        <v>234</v>
      </c>
      <c r="C736" s="5"/>
      <c r="D736" s="5" t="s">
        <v>8</v>
      </c>
      <c r="E736" s="15">
        <f>382.33+16.38+20.65+1.59</f>
        <v>420.94999999999993</v>
      </c>
      <c r="F736" s="15"/>
      <c r="G736" s="15"/>
    </row>
    <row r="737" spans="1:126" x14ac:dyDescent="0.3">
      <c r="A737" s="5"/>
      <c r="B737" s="5" t="s">
        <v>182</v>
      </c>
      <c r="C737" s="5"/>
      <c r="D737" s="5" t="s">
        <v>8</v>
      </c>
      <c r="E737" s="15">
        <f>5.09</f>
        <v>5.09</v>
      </c>
      <c r="F737" s="15"/>
      <c r="G737" s="15"/>
    </row>
    <row r="738" spans="1:126" s="3" customFormat="1" x14ac:dyDescent="0.3">
      <c r="A738" s="21"/>
      <c r="B738" s="21" t="s">
        <v>227</v>
      </c>
      <c r="C738" s="21"/>
      <c r="D738" s="21"/>
      <c r="E738" s="22"/>
      <c r="F738" s="22"/>
      <c r="G738" s="22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  <c r="AW738" s="59"/>
      <c r="AX738" s="59"/>
      <c r="AY738" s="59"/>
      <c r="AZ738" s="59"/>
      <c r="BA738" s="59"/>
      <c r="BB738" s="59"/>
      <c r="BC738" s="59"/>
      <c r="BD738" s="59"/>
      <c r="BE738" s="59"/>
      <c r="BF738" s="59"/>
      <c r="BG738" s="59"/>
      <c r="BH738" s="59"/>
      <c r="BI738" s="59"/>
      <c r="BJ738" s="59"/>
      <c r="BK738" s="59"/>
      <c r="BL738" s="59"/>
      <c r="BM738" s="59"/>
      <c r="BN738" s="59"/>
      <c r="BO738" s="59"/>
      <c r="BP738" s="59"/>
      <c r="BQ738" s="59"/>
      <c r="BR738" s="59"/>
      <c r="BS738" s="59"/>
      <c r="BT738" s="59"/>
      <c r="BU738" s="59"/>
      <c r="BV738" s="59"/>
      <c r="BW738" s="59"/>
      <c r="BX738" s="59"/>
      <c r="BY738" s="59"/>
      <c r="BZ738" s="59"/>
      <c r="CA738" s="59"/>
      <c r="CB738" s="59"/>
      <c r="CC738" s="59"/>
      <c r="CD738" s="59"/>
      <c r="CE738" s="59"/>
      <c r="CF738" s="59"/>
      <c r="CG738" s="59"/>
      <c r="CH738" s="59"/>
      <c r="CI738" s="59"/>
      <c r="CJ738" s="59"/>
      <c r="CK738" s="59"/>
      <c r="CL738" s="59"/>
      <c r="CM738" s="59"/>
      <c r="CN738" s="59"/>
      <c r="CO738" s="59"/>
      <c r="CP738" s="59"/>
      <c r="CQ738" s="59"/>
      <c r="CR738" s="59"/>
      <c r="CS738" s="59"/>
      <c r="CT738" s="59"/>
      <c r="CU738" s="59"/>
      <c r="CV738" s="59"/>
      <c r="CW738" s="59"/>
      <c r="CX738" s="59"/>
      <c r="CY738" s="59"/>
      <c r="CZ738" s="59"/>
      <c r="DA738" s="59"/>
      <c r="DB738" s="59"/>
      <c r="DC738" s="59"/>
      <c r="DD738" s="59"/>
      <c r="DE738" s="59"/>
      <c r="DF738" s="59"/>
      <c r="DG738" s="59"/>
      <c r="DH738" s="59"/>
      <c r="DI738" s="59"/>
      <c r="DJ738" s="59"/>
      <c r="DK738" s="59"/>
      <c r="DL738" s="59"/>
      <c r="DM738" s="59"/>
      <c r="DN738" s="59"/>
      <c r="DO738" s="59"/>
      <c r="DP738" s="59"/>
      <c r="DQ738" s="59"/>
      <c r="DR738" s="59"/>
      <c r="DS738" s="59"/>
      <c r="DT738" s="59"/>
      <c r="DU738" s="59"/>
      <c r="DV738" s="59"/>
    </row>
    <row r="739" spans="1:126" ht="31.2" x14ac:dyDescent="0.3">
      <c r="A739" s="5"/>
      <c r="B739" s="11" t="s">
        <v>228</v>
      </c>
      <c r="C739" s="5"/>
      <c r="D739" s="5" t="s">
        <v>8</v>
      </c>
      <c r="E739" s="15">
        <f>18.62</f>
        <v>18.62</v>
      </c>
      <c r="F739" s="15"/>
      <c r="G739" s="15"/>
    </row>
    <row r="740" spans="1:126" ht="31.2" x14ac:dyDescent="0.3">
      <c r="A740" s="5"/>
      <c r="B740" s="11" t="s">
        <v>229</v>
      </c>
      <c r="C740" s="5"/>
      <c r="D740" s="5" t="s">
        <v>8</v>
      </c>
      <c r="E740" s="15">
        <f>2.82</f>
        <v>2.82</v>
      </c>
      <c r="F740" s="15"/>
      <c r="G740" s="15"/>
    </row>
    <row r="741" spans="1:126" ht="31.2" x14ac:dyDescent="0.3">
      <c r="A741" s="5"/>
      <c r="B741" s="11" t="s">
        <v>230</v>
      </c>
      <c r="C741" s="5"/>
      <c r="D741" s="5" t="s">
        <v>8</v>
      </c>
      <c r="E741" s="15">
        <f>7.12</f>
        <v>7.12</v>
      </c>
      <c r="F741" s="15"/>
      <c r="G741" s="15"/>
    </row>
    <row r="742" spans="1:126" x14ac:dyDescent="0.3">
      <c r="A742" s="5"/>
      <c r="B742" s="5" t="s">
        <v>231</v>
      </c>
      <c r="C742" s="5"/>
      <c r="D742" s="5" t="s">
        <v>14</v>
      </c>
      <c r="E742" s="15">
        <f>1525</f>
        <v>1525</v>
      </c>
      <c r="F742" s="15"/>
      <c r="G742" s="15"/>
    </row>
    <row r="743" spans="1:126" x14ac:dyDescent="0.3">
      <c r="A743" s="5"/>
      <c r="B743" s="5" t="s">
        <v>232</v>
      </c>
      <c r="C743" s="5"/>
      <c r="D743" s="5" t="s">
        <v>8</v>
      </c>
      <c r="E743" s="15">
        <f>0.26</f>
        <v>0.26</v>
      </c>
      <c r="F743" s="15"/>
      <c r="G743" s="15"/>
    </row>
    <row r="744" spans="1:126" x14ac:dyDescent="0.3">
      <c r="A744" s="21"/>
      <c r="B744" s="21" t="s">
        <v>233</v>
      </c>
      <c r="C744" s="21"/>
      <c r="D744" s="21" t="s">
        <v>69</v>
      </c>
      <c r="E744" s="22">
        <f>709.6</f>
        <v>709.6</v>
      </c>
      <c r="F744" s="22"/>
      <c r="G744" s="22"/>
    </row>
    <row r="745" spans="1:126" x14ac:dyDescent="0.3">
      <c r="A745" s="5"/>
      <c r="B745" s="5" t="s">
        <v>153</v>
      </c>
      <c r="C745" s="5"/>
      <c r="D745" s="5" t="s">
        <v>72</v>
      </c>
      <c r="E745" s="15">
        <v>559.30671999999993</v>
      </c>
      <c r="F745" s="15"/>
      <c r="G745" s="15"/>
    </row>
    <row r="746" spans="1:126" x14ac:dyDescent="0.3">
      <c r="A746" s="5"/>
      <c r="B746" s="5" t="s">
        <v>155</v>
      </c>
      <c r="C746" s="5"/>
      <c r="D746" s="5" t="s">
        <v>72</v>
      </c>
      <c r="E746" s="15">
        <v>55.930671999999994</v>
      </c>
      <c r="F746" s="15"/>
      <c r="G746" s="15"/>
    </row>
    <row r="747" spans="1:126" x14ac:dyDescent="0.3">
      <c r="A747" s="21"/>
      <c r="B747" s="21" t="s">
        <v>238</v>
      </c>
      <c r="C747" s="21"/>
      <c r="D747" s="21" t="s">
        <v>69</v>
      </c>
      <c r="E747" s="22">
        <f>7096</f>
        <v>7096</v>
      </c>
      <c r="F747" s="22"/>
      <c r="G747" s="22"/>
    </row>
    <row r="748" spans="1:126" x14ac:dyDescent="0.3">
      <c r="A748" s="5"/>
      <c r="B748" s="5" t="s">
        <v>239</v>
      </c>
      <c r="C748" s="5"/>
      <c r="D748" s="5" t="s">
        <v>72</v>
      </c>
      <c r="E748" s="15">
        <v>2970.3855999999996</v>
      </c>
      <c r="F748" s="15"/>
      <c r="G748" s="15"/>
    </row>
    <row r="749" spans="1:126" x14ac:dyDescent="0.3">
      <c r="A749" s="5"/>
      <c r="B749" s="5" t="s">
        <v>155</v>
      </c>
      <c r="C749" s="5"/>
      <c r="D749" s="5" t="s">
        <v>72</v>
      </c>
      <c r="E749" s="15">
        <v>297.03855999999996</v>
      </c>
      <c r="F749" s="15"/>
      <c r="G749" s="15"/>
    </row>
    <row r="750" spans="1:126" x14ac:dyDescent="0.3">
      <c r="A750" s="21"/>
      <c r="B750" s="21" t="s">
        <v>240</v>
      </c>
      <c r="C750" s="21"/>
      <c r="D750" s="21" t="s">
        <v>69</v>
      </c>
      <c r="E750" s="22">
        <f>4.85</f>
        <v>4.8499999999999996</v>
      </c>
      <c r="F750" s="22"/>
      <c r="G750" s="22"/>
    </row>
    <row r="751" spans="1:126" x14ac:dyDescent="0.3">
      <c r="A751" s="5"/>
      <c r="B751" s="5" t="s">
        <v>153</v>
      </c>
      <c r="C751" s="5"/>
      <c r="D751" s="5" t="s">
        <v>72</v>
      </c>
      <c r="E751" s="15">
        <v>3.8227699999999993</v>
      </c>
      <c r="F751" s="15"/>
      <c r="G751" s="15"/>
    </row>
    <row r="752" spans="1:126" x14ac:dyDescent="0.3">
      <c r="A752" s="5"/>
      <c r="B752" s="5" t="s">
        <v>154</v>
      </c>
      <c r="C752" s="5"/>
      <c r="D752" s="5" t="s">
        <v>72</v>
      </c>
      <c r="E752" s="15">
        <v>2.0302099999999998</v>
      </c>
      <c r="F752" s="15"/>
      <c r="G752" s="15"/>
    </row>
    <row r="753" spans="1:126" x14ac:dyDescent="0.3">
      <c r="A753" s="5"/>
      <c r="B753" s="5" t="s">
        <v>155</v>
      </c>
      <c r="C753" s="5"/>
      <c r="D753" s="5" t="s">
        <v>72</v>
      </c>
      <c r="E753" s="15">
        <v>0.58529799999999987</v>
      </c>
      <c r="F753" s="15"/>
      <c r="G753" s="15"/>
    </row>
    <row r="754" spans="1:126" s="3" customFormat="1" x14ac:dyDescent="0.3">
      <c r="A754" s="21"/>
      <c r="B754" s="21" t="s">
        <v>30</v>
      </c>
      <c r="C754" s="21"/>
      <c r="D754" s="21"/>
      <c r="E754" s="22"/>
      <c r="F754" s="22"/>
      <c r="G754" s="22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  <c r="AN754" s="59"/>
      <c r="AO754" s="59"/>
      <c r="AP754" s="59"/>
      <c r="AQ754" s="59"/>
      <c r="AR754" s="59"/>
      <c r="AS754" s="59"/>
      <c r="AT754" s="59"/>
      <c r="AU754" s="59"/>
      <c r="AV754" s="59"/>
      <c r="AW754" s="59"/>
      <c r="AX754" s="59"/>
      <c r="AY754" s="59"/>
      <c r="AZ754" s="59"/>
      <c r="BA754" s="59"/>
      <c r="BB754" s="59"/>
      <c r="BC754" s="59"/>
      <c r="BD754" s="59"/>
      <c r="BE754" s="59"/>
      <c r="BF754" s="59"/>
      <c r="BG754" s="59"/>
      <c r="BH754" s="59"/>
      <c r="BI754" s="59"/>
      <c r="BJ754" s="59"/>
      <c r="BK754" s="59"/>
      <c r="BL754" s="59"/>
      <c r="BM754" s="59"/>
      <c r="BN754" s="59"/>
      <c r="BO754" s="59"/>
      <c r="BP754" s="59"/>
      <c r="BQ754" s="59"/>
      <c r="BR754" s="59"/>
      <c r="BS754" s="59"/>
      <c r="BT754" s="59"/>
      <c r="BU754" s="59"/>
      <c r="BV754" s="59"/>
      <c r="BW754" s="59"/>
      <c r="BX754" s="59"/>
      <c r="BY754" s="59"/>
      <c r="BZ754" s="59"/>
      <c r="CA754" s="59"/>
      <c r="CB754" s="59"/>
      <c r="CC754" s="59"/>
      <c r="CD754" s="59"/>
      <c r="CE754" s="59"/>
      <c r="CF754" s="59"/>
      <c r="CG754" s="59"/>
      <c r="CH754" s="59"/>
      <c r="CI754" s="59"/>
      <c r="CJ754" s="59"/>
      <c r="CK754" s="59"/>
      <c r="CL754" s="59"/>
      <c r="CM754" s="59"/>
      <c r="CN754" s="59"/>
      <c r="CO754" s="59"/>
      <c r="CP754" s="59"/>
      <c r="CQ754" s="59"/>
      <c r="CR754" s="59"/>
      <c r="CS754" s="59"/>
      <c r="CT754" s="59"/>
      <c r="CU754" s="59"/>
      <c r="CV754" s="59"/>
      <c r="CW754" s="59"/>
      <c r="CX754" s="59"/>
      <c r="CY754" s="59"/>
      <c r="CZ754" s="59"/>
      <c r="DA754" s="59"/>
      <c r="DB754" s="59"/>
      <c r="DC754" s="59"/>
      <c r="DD754" s="59"/>
      <c r="DE754" s="59"/>
      <c r="DF754" s="59"/>
      <c r="DG754" s="59"/>
      <c r="DH754" s="59"/>
      <c r="DI754" s="59"/>
      <c r="DJ754" s="59"/>
      <c r="DK754" s="59"/>
      <c r="DL754" s="59"/>
      <c r="DM754" s="59"/>
      <c r="DN754" s="59"/>
      <c r="DO754" s="59"/>
      <c r="DP754" s="59"/>
      <c r="DQ754" s="59"/>
      <c r="DR754" s="59"/>
      <c r="DS754" s="59"/>
      <c r="DT754" s="59"/>
      <c r="DU754" s="59"/>
      <c r="DV754" s="59"/>
    </row>
    <row r="755" spans="1:126" x14ac:dyDescent="0.3">
      <c r="A755" s="5"/>
      <c r="B755" s="5" t="s">
        <v>241</v>
      </c>
      <c r="C755" s="5"/>
      <c r="D755" s="5" t="s">
        <v>14</v>
      </c>
      <c r="E755" s="15">
        <f>2</f>
        <v>2</v>
      </c>
      <c r="F755" s="15"/>
      <c r="G755" s="15"/>
    </row>
    <row r="756" spans="1:126" x14ac:dyDescent="0.3">
      <c r="A756" s="5"/>
      <c r="B756" s="5" t="s">
        <v>242</v>
      </c>
      <c r="C756" s="5"/>
      <c r="D756" s="5" t="s">
        <v>14</v>
      </c>
      <c r="E756" s="15">
        <f>2</f>
        <v>2</v>
      </c>
      <c r="F756" s="15"/>
      <c r="G756" s="15"/>
    </row>
    <row r="757" spans="1:126" x14ac:dyDescent="0.3">
      <c r="A757" s="5"/>
      <c r="B757" s="5" t="s">
        <v>243</v>
      </c>
      <c r="C757" s="5"/>
      <c r="D757" s="5" t="s">
        <v>14</v>
      </c>
      <c r="E757" s="15">
        <f>1</f>
        <v>1</v>
      </c>
      <c r="F757" s="15"/>
      <c r="G757" s="15"/>
    </row>
    <row r="758" spans="1:126" x14ac:dyDescent="0.3">
      <c r="A758" s="5"/>
      <c r="B758" s="5" t="s">
        <v>244</v>
      </c>
      <c r="C758" s="5"/>
      <c r="D758" s="5" t="s">
        <v>14</v>
      </c>
      <c r="E758" s="15">
        <f>1</f>
        <v>1</v>
      </c>
      <c r="F758" s="15"/>
      <c r="G758" s="15"/>
    </row>
    <row r="759" spans="1:126" x14ac:dyDescent="0.3">
      <c r="A759" s="5"/>
      <c r="B759" s="5" t="s">
        <v>23</v>
      </c>
      <c r="C759" s="5"/>
      <c r="D759" s="5" t="s">
        <v>8</v>
      </c>
      <c r="E759" s="15">
        <f>0.04*0.2*2</f>
        <v>1.6E-2</v>
      </c>
      <c r="F759" s="15"/>
      <c r="G759" s="15"/>
    </row>
    <row r="760" spans="1:126" s="3" customFormat="1" x14ac:dyDescent="0.3">
      <c r="A760" s="21"/>
      <c r="B760" s="21" t="s">
        <v>245</v>
      </c>
      <c r="C760" s="21"/>
      <c r="D760" s="21"/>
      <c r="E760" s="22"/>
      <c r="F760" s="22"/>
      <c r="G760" s="22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  <c r="AN760" s="59"/>
      <c r="AO760" s="59"/>
      <c r="AP760" s="59"/>
      <c r="AQ760" s="59"/>
      <c r="AR760" s="59"/>
      <c r="AS760" s="59"/>
      <c r="AT760" s="59"/>
      <c r="AU760" s="59"/>
      <c r="AV760" s="59"/>
      <c r="AW760" s="59"/>
      <c r="AX760" s="59"/>
      <c r="AY760" s="59"/>
      <c r="AZ760" s="59"/>
      <c r="BA760" s="59"/>
      <c r="BB760" s="59"/>
      <c r="BC760" s="59"/>
      <c r="BD760" s="59"/>
      <c r="BE760" s="59"/>
      <c r="BF760" s="59"/>
      <c r="BG760" s="59"/>
      <c r="BH760" s="59"/>
      <c r="BI760" s="59"/>
      <c r="BJ760" s="59"/>
      <c r="BK760" s="59"/>
      <c r="BL760" s="59"/>
      <c r="BM760" s="59"/>
      <c r="BN760" s="59"/>
      <c r="BO760" s="59"/>
      <c r="BP760" s="59"/>
      <c r="BQ760" s="59"/>
      <c r="BR760" s="59"/>
      <c r="BS760" s="59"/>
      <c r="BT760" s="59"/>
      <c r="BU760" s="59"/>
      <c r="BV760" s="59"/>
      <c r="BW760" s="59"/>
      <c r="BX760" s="59"/>
      <c r="BY760" s="59"/>
      <c r="BZ760" s="59"/>
      <c r="CA760" s="59"/>
      <c r="CB760" s="59"/>
      <c r="CC760" s="59"/>
      <c r="CD760" s="59"/>
      <c r="CE760" s="59"/>
      <c r="CF760" s="59"/>
      <c r="CG760" s="59"/>
      <c r="CH760" s="59"/>
      <c r="CI760" s="59"/>
      <c r="CJ760" s="59"/>
      <c r="CK760" s="59"/>
      <c r="CL760" s="59"/>
      <c r="CM760" s="59"/>
      <c r="CN760" s="59"/>
      <c r="CO760" s="59"/>
      <c r="CP760" s="59"/>
      <c r="CQ760" s="59"/>
      <c r="CR760" s="59"/>
      <c r="CS760" s="59"/>
      <c r="CT760" s="59"/>
      <c r="CU760" s="59"/>
      <c r="CV760" s="59"/>
      <c r="CW760" s="59"/>
      <c r="CX760" s="59"/>
      <c r="CY760" s="59"/>
      <c r="CZ760" s="59"/>
      <c r="DA760" s="59"/>
      <c r="DB760" s="59"/>
      <c r="DC760" s="59"/>
      <c r="DD760" s="59"/>
      <c r="DE760" s="59"/>
      <c r="DF760" s="59"/>
      <c r="DG760" s="59"/>
      <c r="DH760" s="59"/>
      <c r="DI760" s="59"/>
      <c r="DJ760" s="59"/>
      <c r="DK760" s="59"/>
      <c r="DL760" s="59"/>
      <c r="DM760" s="59"/>
      <c r="DN760" s="59"/>
      <c r="DO760" s="59"/>
      <c r="DP760" s="59"/>
      <c r="DQ760" s="59"/>
      <c r="DR760" s="59"/>
      <c r="DS760" s="59"/>
      <c r="DT760" s="59"/>
      <c r="DU760" s="59"/>
      <c r="DV760" s="59"/>
    </row>
    <row r="761" spans="1:126" x14ac:dyDescent="0.3">
      <c r="A761" s="5"/>
      <c r="B761" s="5" t="s">
        <v>246</v>
      </c>
      <c r="C761" s="5"/>
      <c r="D761" s="5" t="s">
        <v>10</v>
      </c>
      <c r="E761" s="15">
        <f>436.88</f>
        <v>436.88</v>
      </c>
      <c r="F761" s="15"/>
      <c r="G761" s="15"/>
    </row>
    <row r="762" spans="1:126" x14ac:dyDescent="0.3">
      <c r="A762" s="5"/>
      <c r="B762" s="5" t="s">
        <v>131</v>
      </c>
      <c r="C762" s="5"/>
      <c r="D762" s="5" t="s">
        <v>8</v>
      </c>
      <c r="E762" s="15">
        <f>77.42</f>
        <v>77.42</v>
      </c>
      <c r="F762" s="15"/>
      <c r="G762" s="15"/>
    </row>
    <row r="763" spans="1:126" x14ac:dyDescent="0.3">
      <c r="A763" s="5"/>
      <c r="B763" s="5" t="s">
        <v>247</v>
      </c>
      <c r="C763" s="5"/>
      <c r="D763" s="5" t="s">
        <v>8</v>
      </c>
      <c r="E763" s="15">
        <f>52.56</f>
        <v>52.56</v>
      </c>
      <c r="F763" s="15"/>
      <c r="G763" s="15"/>
    </row>
    <row r="764" spans="1:126" x14ac:dyDescent="0.3">
      <c r="A764" s="5"/>
      <c r="B764" s="5" t="s">
        <v>124</v>
      </c>
      <c r="C764" s="5"/>
      <c r="D764" s="5" t="s">
        <v>8</v>
      </c>
      <c r="E764" s="15">
        <f>9.22</f>
        <v>9.2200000000000006</v>
      </c>
      <c r="F764" s="15"/>
      <c r="G764" s="15"/>
    </row>
    <row r="765" spans="1:126" x14ac:dyDescent="0.3">
      <c r="A765" s="5"/>
      <c r="B765" s="5" t="s">
        <v>136</v>
      </c>
      <c r="C765" s="5"/>
      <c r="D765" s="5" t="s">
        <v>8</v>
      </c>
      <c r="E765" s="15">
        <f>2.23</f>
        <v>2.23</v>
      </c>
      <c r="F765" s="15"/>
      <c r="G765" s="15"/>
    </row>
    <row r="766" spans="1:126" x14ac:dyDescent="0.3">
      <c r="A766" s="5"/>
      <c r="B766" s="5" t="s">
        <v>138</v>
      </c>
      <c r="C766" s="5"/>
      <c r="D766" s="5" t="s">
        <v>8</v>
      </c>
      <c r="E766" s="15">
        <f>2.53</f>
        <v>2.5299999999999998</v>
      </c>
      <c r="F766" s="15"/>
      <c r="G766" s="15"/>
    </row>
    <row r="767" spans="1:126" ht="31.2" x14ac:dyDescent="0.3">
      <c r="A767" s="5"/>
      <c r="B767" s="11" t="s">
        <v>248</v>
      </c>
      <c r="C767" s="5"/>
      <c r="D767" s="5" t="s">
        <v>14</v>
      </c>
      <c r="E767" s="15">
        <f>2186</f>
        <v>2186</v>
      </c>
      <c r="F767" s="15"/>
      <c r="G767" s="15"/>
    </row>
    <row r="768" spans="1:126" x14ac:dyDescent="0.3">
      <c r="A768" s="5"/>
      <c r="B768" s="5" t="s">
        <v>249</v>
      </c>
      <c r="C768" s="5"/>
      <c r="D768" s="5" t="s">
        <v>8</v>
      </c>
      <c r="E768" s="15">
        <f>0.26</f>
        <v>0.26</v>
      </c>
      <c r="F768" s="15"/>
      <c r="G768" s="15"/>
    </row>
    <row r="769" spans="1:126" ht="31.2" x14ac:dyDescent="0.3">
      <c r="A769" s="5"/>
      <c r="B769" s="11" t="s">
        <v>250</v>
      </c>
      <c r="C769" s="5"/>
      <c r="D769" s="5" t="s">
        <v>8</v>
      </c>
      <c r="E769" s="15">
        <f>4.44</f>
        <v>4.4400000000000004</v>
      </c>
      <c r="F769" s="15"/>
      <c r="G769" s="15"/>
    </row>
    <row r="770" spans="1:126" x14ac:dyDescent="0.3">
      <c r="A770" s="5"/>
      <c r="B770" s="5" t="s">
        <v>251</v>
      </c>
      <c r="C770" s="5"/>
      <c r="D770" s="5" t="s">
        <v>14</v>
      </c>
      <c r="E770" s="15">
        <f>21</f>
        <v>21</v>
      </c>
      <c r="F770" s="15"/>
      <c r="G770" s="15"/>
    </row>
    <row r="771" spans="1:126" x14ac:dyDescent="0.3">
      <c r="A771" s="5"/>
      <c r="B771" s="5" t="s">
        <v>252</v>
      </c>
      <c r="C771" s="5"/>
      <c r="D771" s="5" t="s">
        <v>14</v>
      </c>
      <c r="E771" s="15">
        <f>21</f>
        <v>21</v>
      </c>
      <c r="F771" s="15"/>
      <c r="G771" s="15"/>
    </row>
    <row r="772" spans="1:126" s="25" customFormat="1" x14ac:dyDescent="0.3">
      <c r="A772" s="23"/>
      <c r="B772" s="23" t="s">
        <v>253</v>
      </c>
      <c r="C772" s="23"/>
      <c r="D772" s="23"/>
      <c r="E772" s="24"/>
      <c r="F772" s="24"/>
      <c r="G772" s="24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  <c r="AN772" s="59"/>
      <c r="AO772" s="59"/>
      <c r="AP772" s="59"/>
      <c r="AQ772" s="59"/>
      <c r="AR772" s="59"/>
      <c r="AS772" s="59"/>
      <c r="AT772" s="59"/>
      <c r="AU772" s="59"/>
      <c r="AV772" s="59"/>
      <c r="AW772" s="59"/>
      <c r="AX772" s="59"/>
      <c r="AY772" s="59"/>
      <c r="AZ772" s="59"/>
      <c r="BA772" s="59"/>
      <c r="BB772" s="59"/>
      <c r="BC772" s="59"/>
      <c r="BD772" s="59"/>
      <c r="BE772" s="59"/>
      <c r="BF772" s="59"/>
      <c r="BG772" s="59"/>
      <c r="BH772" s="59"/>
      <c r="BI772" s="59"/>
      <c r="BJ772" s="59"/>
      <c r="BK772" s="59"/>
      <c r="BL772" s="59"/>
      <c r="BM772" s="59"/>
      <c r="BN772" s="59"/>
      <c r="BO772" s="59"/>
      <c r="BP772" s="59"/>
      <c r="BQ772" s="59"/>
      <c r="BR772" s="59"/>
      <c r="BS772" s="59"/>
      <c r="BT772" s="59"/>
      <c r="BU772" s="59"/>
      <c r="BV772" s="59"/>
      <c r="BW772" s="59"/>
      <c r="BX772" s="59"/>
      <c r="BY772" s="59"/>
      <c r="BZ772" s="59"/>
      <c r="CA772" s="59"/>
      <c r="CB772" s="59"/>
      <c r="CC772" s="59"/>
      <c r="CD772" s="59"/>
      <c r="CE772" s="59"/>
      <c r="CF772" s="59"/>
      <c r="CG772" s="59"/>
      <c r="CH772" s="59"/>
      <c r="CI772" s="59"/>
      <c r="CJ772" s="59"/>
      <c r="CK772" s="59"/>
      <c r="CL772" s="59"/>
      <c r="CM772" s="59"/>
      <c r="CN772" s="59"/>
      <c r="CO772" s="59"/>
      <c r="CP772" s="59"/>
      <c r="CQ772" s="59"/>
      <c r="CR772" s="59"/>
      <c r="CS772" s="59"/>
      <c r="CT772" s="59"/>
      <c r="CU772" s="59"/>
      <c r="CV772" s="59"/>
      <c r="CW772" s="59"/>
      <c r="CX772" s="59"/>
      <c r="CY772" s="59"/>
      <c r="CZ772" s="59"/>
      <c r="DA772" s="59"/>
      <c r="DB772" s="59"/>
      <c r="DC772" s="59"/>
      <c r="DD772" s="59"/>
      <c r="DE772" s="59"/>
      <c r="DF772" s="59"/>
      <c r="DG772" s="59"/>
      <c r="DH772" s="59"/>
      <c r="DI772" s="59"/>
      <c r="DJ772" s="59"/>
      <c r="DK772" s="59"/>
      <c r="DL772" s="59"/>
      <c r="DM772" s="59"/>
      <c r="DN772" s="59"/>
      <c r="DO772" s="59"/>
      <c r="DP772" s="59"/>
      <c r="DQ772" s="59"/>
      <c r="DR772" s="59"/>
      <c r="DS772" s="59"/>
      <c r="DT772" s="59"/>
      <c r="DU772" s="59"/>
      <c r="DV772" s="59"/>
    </row>
    <row r="773" spans="1:126" s="3" customFormat="1" x14ac:dyDescent="0.3">
      <c r="A773" s="21"/>
      <c r="B773" s="21" t="s">
        <v>68</v>
      </c>
      <c r="C773" s="21"/>
      <c r="D773" s="21" t="s">
        <v>69</v>
      </c>
      <c r="E773" s="22">
        <f>1535.76</f>
        <v>1535.76</v>
      </c>
      <c r="F773" s="22"/>
      <c r="G773" s="22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  <c r="AN773" s="59"/>
      <c r="AO773" s="59"/>
      <c r="AP773" s="59"/>
      <c r="AQ773" s="59"/>
      <c r="AR773" s="59"/>
      <c r="AS773" s="59"/>
      <c r="AT773" s="59"/>
      <c r="AU773" s="59"/>
      <c r="AV773" s="59"/>
      <c r="AW773" s="59"/>
      <c r="AX773" s="59"/>
      <c r="AY773" s="59"/>
      <c r="AZ773" s="59"/>
      <c r="BA773" s="59"/>
      <c r="BB773" s="59"/>
      <c r="BC773" s="59"/>
      <c r="BD773" s="59"/>
      <c r="BE773" s="59"/>
      <c r="BF773" s="59"/>
      <c r="BG773" s="59"/>
      <c r="BH773" s="59"/>
      <c r="BI773" s="59"/>
      <c r="BJ773" s="59"/>
      <c r="BK773" s="59"/>
      <c r="BL773" s="59"/>
      <c r="BM773" s="59"/>
      <c r="BN773" s="59"/>
      <c r="BO773" s="59"/>
      <c r="BP773" s="59"/>
      <c r="BQ773" s="59"/>
      <c r="BR773" s="59"/>
      <c r="BS773" s="59"/>
      <c r="BT773" s="59"/>
      <c r="BU773" s="59"/>
      <c r="BV773" s="59"/>
      <c r="BW773" s="59"/>
      <c r="BX773" s="59"/>
      <c r="BY773" s="59"/>
      <c r="BZ773" s="59"/>
      <c r="CA773" s="59"/>
      <c r="CB773" s="59"/>
      <c r="CC773" s="59"/>
      <c r="CD773" s="59"/>
      <c r="CE773" s="59"/>
      <c r="CF773" s="59"/>
      <c r="CG773" s="59"/>
      <c r="CH773" s="59"/>
      <c r="CI773" s="59"/>
      <c r="CJ773" s="59"/>
      <c r="CK773" s="59"/>
      <c r="CL773" s="59"/>
      <c r="CM773" s="59"/>
      <c r="CN773" s="59"/>
      <c r="CO773" s="59"/>
      <c r="CP773" s="59"/>
      <c r="CQ773" s="59"/>
      <c r="CR773" s="59"/>
      <c r="CS773" s="59"/>
      <c r="CT773" s="59"/>
      <c r="CU773" s="59"/>
      <c r="CV773" s="59"/>
      <c r="CW773" s="59"/>
      <c r="CX773" s="59"/>
      <c r="CY773" s="59"/>
      <c r="CZ773" s="59"/>
      <c r="DA773" s="59"/>
      <c r="DB773" s="59"/>
      <c r="DC773" s="59"/>
      <c r="DD773" s="59"/>
      <c r="DE773" s="59"/>
      <c r="DF773" s="59"/>
      <c r="DG773" s="59"/>
      <c r="DH773" s="59"/>
      <c r="DI773" s="59"/>
      <c r="DJ773" s="59"/>
      <c r="DK773" s="59"/>
      <c r="DL773" s="59"/>
      <c r="DM773" s="59"/>
      <c r="DN773" s="59"/>
      <c r="DO773" s="59"/>
      <c r="DP773" s="59"/>
      <c r="DQ773" s="59"/>
      <c r="DR773" s="59"/>
      <c r="DS773" s="59"/>
      <c r="DT773" s="59"/>
      <c r="DU773" s="59"/>
      <c r="DV773" s="59"/>
    </row>
    <row r="774" spans="1:126" x14ac:dyDescent="0.3">
      <c r="A774" s="5"/>
      <c r="B774" s="5" t="s">
        <v>567</v>
      </c>
      <c r="C774" s="5"/>
      <c r="D774" s="5" t="s">
        <v>72</v>
      </c>
      <c r="E774" s="15">
        <v>506.80080000000004</v>
      </c>
      <c r="F774" s="15"/>
      <c r="G774" s="15"/>
    </row>
    <row r="775" spans="1:126" x14ac:dyDescent="0.3">
      <c r="A775" s="5"/>
      <c r="B775" s="5" t="s">
        <v>568</v>
      </c>
      <c r="C775" s="5"/>
      <c r="D775" s="5" t="s">
        <v>72</v>
      </c>
      <c r="E775" s="15">
        <v>4146.5520000000006</v>
      </c>
      <c r="F775" s="15"/>
      <c r="G775" s="15"/>
    </row>
    <row r="776" spans="1:126" x14ac:dyDescent="0.3">
      <c r="A776" s="5"/>
      <c r="B776" s="5" t="s">
        <v>569</v>
      </c>
      <c r="C776" s="5"/>
      <c r="D776" s="5" t="s">
        <v>72</v>
      </c>
      <c r="E776" s="15">
        <v>460.72799999999995</v>
      </c>
      <c r="F776" s="15"/>
      <c r="G776" s="15"/>
    </row>
    <row r="777" spans="1:126" x14ac:dyDescent="0.3">
      <c r="A777" s="5"/>
      <c r="B777" s="5" t="s">
        <v>566</v>
      </c>
      <c r="C777" s="5"/>
      <c r="D777" s="5" t="s">
        <v>72</v>
      </c>
      <c r="E777" s="15">
        <v>1535.76</v>
      </c>
      <c r="F777" s="15"/>
      <c r="G777" s="15"/>
    </row>
    <row r="778" spans="1:126" x14ac:dyDescent="0.3">
      <c r="A778" s="5"/>
      <c r="B778" s="5" t="s">
        <v>70</v>
      </c>
      <c r="C778" s="5"/>
      <c r="D778" s="5" t="s">
        <v>72</v>
      </c>
      <c r="E778" s="15">
        <v>1535.76</v>
      </c>
      <c r="F778" s="15"/>
      <c r="G778" s="15"/>
    </row>
    <row r="779" spans="1:126" s="3" customFormat="1" x14ac:dyDescent="0.3">
      <c r="A779" s="21"/>
      <c r="B779" s="21" t="s">
        <v>81</v>
      </c>
      <c r="C779" s="21"/>
      <c r="D779" s="21"/>
      <c r="E779" s="22"/>
      <c r="F779" s="22"/>
      <c r="G779" s="22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  <c r="AN779" s="59"/>
      <c r="AO779" s="59"/>
      <c r="AP779" s="59"/>
      <c r="AQ779" s="59"/>
      <c r="AR779" s="59"/>
      <c r="AS779" s="59"/>
      <c r="AT779" s="59"/>
      <c r="AU779" s="59"/>
      <c r="AV779" s="59"/>
      <c r="AW779" s="59"/>
      <c r="AX779" s="59"/>
      <c r="AY779" s="59"/>
      <c r="AZ779" s="59"/>
      <c r="BA779" s="59"/>
      <c r="BB779" s="59"/>
      <c r="BC779" s="59"/>
      <c r="BD779" s="59"/>
      <c r="BE779" s="59"/>
      <c r="BF779" s="59"/>
      <c r="BG779" s="59"/>
      <c r="BH779" s="59"/>
      <c r="BI779" s="59"/>
      <c r="BJ779" s="59"/>
      <c r="BK779" s="59"/>
      <c r="BL779" s="59"/>
      <c r="BM779" s="59"/>
      <c r="BN779" s="59"/>
      <c r="BO779" s="59"/>
      <c r="BP779" s="59"/>
      <c r="BQ779" s="59"/>
      <c r="BR779" s="59"/>
      <c r="BS779" s="59"/>
      <c r="BT779" s="59"/>
      <c r="BU779" s="59"/>
      <c r="BV779" s="59"/>
      <c r="BW779" s="59"/>
      <c r="BX779" s="59"/>
      <c r="BY779" s="59"/>
      <c r="BZ779" s="59"/>
      <c r="CA779" s="59"/>
      <c r="CB779" s="59"/>
      <c r="CC779" s="59"/>
      <c r="CD779" s="59"/>
      <c r="CE779" s="59"/>
      <c r="CF779" s="59"/>
      <c r="CG779" s="59"/>
      <c r="CH779" s="59"/>
      <c r="CI779" s="59"/>
      <c r="CJ779" s="59"/>
      <c r="CK779" s="59"/>
      <c r="CL779" s="59"/>
      <c r="CM779" s="59"/>
      <c r="CN779" s="59"/>
      <c r="CO779" s="59"/>
      <c r="CP779" s="59"/>
      <c r="CQ779" s="59"/>
      <c r="CR779" s="59"/>
      <c r="CS779" s="59"/>
      <c r="CT779" s="59"/>
      <c r="CU779" s="59"/>
      <c r="CV779" s="59"/>
      <c r="CW779" s="59"/>
      <c r="CX779" s="59"/>
      <c r="CY779" s="59"/>
      <c r="CZ779" s="59"/>
      <c r="DA779" s="59"/>
      <c r="DB779" s="59"/>
      <c r="DC779" s="59"/>
      <c r="DD779" s="59"/>
      <c r="DE779" s="59"/>
      <c r="DF779" s="59"/>
      <c r="DG779" s="59"/>
      <c r="DH779" s="59"/>
      <c r="DI779" s="59"/>
      <c r="DJ779" s="59"/>
      <c r="DK779" s="59"/>
      <c r="DL779" s="59"/>
      <c r="DM779" s="59"/>
      <c r="DN779" s="59"/>
      <c r="DO779" s="59"/>
      <c r="DP779" s="59"/>
      <c r="DQ779" s="59"/>
      <c r="DR779" s="59"/>
      <c r="DS779" s="59"/>
      <c r="DT779" s="59"/>
      <c r="DU779" s="59"/>
      <c r="DV779" s="59"/>
    </row>
    <row r="780" spans="1:126" x14ac:dyDescent="0.3">
      <c r="A780" s="5"/>
      <c r="B780" s="5" t="s">
        <v>81</v>
      </c>
      <c r="C780" s="5"/>
      <c r="D780" s="5" t="s">
        <v>10</v>
      </c>
      <c r="E780" s="15">
        <f>0.75</f>
        <v>0.75</v>
      </c>
      <c r="F780" s="15"/>
      <c r="G780" s="15"/>
    </row>
    <row r="781" spans="1:126" s="3" customFormat="1" x14ac:dyDescent="0.3">
      <c r="A781" s="21"/>
      <c r="B781" s="21" t="s">
        <v>254</v>
      </c>
      <c r="C781" s="21"/>
      <c r="D781" s="21"/>
      <c r="E781" s="22"/>
      <c r="F781" s="22"/>
      <c r="G781" s="22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  <c r="AN781" s="59"/>
      <c r="AO781" s="59"/>
      <c r="AP781" s="59"/>
      <c r="AQ781" s="59"/>
      <c r="AR781" s="59"/>
      <c r="AS781" s="59"/>
      <c r="AT781" s="59"/>
      <c r="AU781" s="59"/>
      <c r="AV781" s="59"/>
      <c r="AW781" s="59"/>
      <c r="AX781" s="59"/>
      <c r="AY781" s="59"/>
      <c r="AZ781" s="59"/>
      <c r="BA781" s="59"/>
      <c r="BB781" s="59"/>
      <c r="BC781" s="59"/>
      <c r="BD781" s="59"/>
      <c r="BE781" s="59"/>
      <c r="BF781" s="59"/>
      <c r="BG781" s="59"/>
      <c r="BH781" s="59"/>
      <c r="BI781" s="59"/>
      <c r="BJ781" s="59"/>
      <c r="BK781" s="59"/>
      <c r="BL781" s="59"/>
      <c r="BM781" s="59"/>
      <c r="BN781" s="59"/>
      <c r="BO781" s="59"/>
      <c r="BP781" s="59"/>
      <c r="BQ781" s="59"/>
      <c r="BR781" s="59"/>
      <c r="BS781" s="59"/>
      <c r="BT781" s="59"/>
      <c r="BU781" s="59"/>
      <c r="BV781" s="59"/>
      <c r="BW781" s="59"/>
      <c r="BX781" s="59"/>
      <c r="BY781" s="59"/>
      <c r="BZ781" s="59"/>
      <c r="CA781" s="59"/>
      <c r="CB781" s="59"/>
      <c r="CC781" s="59"/>
      <c r="CD781" s="59"/>
      <c r="CE781" s="59"/>
      <c r="CF781" s="59"/>
      <c r="CG781" s="59"/>
      <c r="CH781" s="59"/>
      <c r="CI781" s="59"/>
      <c r="CJ781" s="59"/>
      <c r="CK781" s="59"/>
      <c r="CL781" s="59"/>
      <c r="CM781" s="59"/>
      <c r="CN781" s="59"/>
      <c r="CO781" s="59"/>
      <c r="CP781" s="59"/>
      <c r="CQ781" s="59"/>
      <c r="CR781" s="59"/>
      <c r="CS781" s="59"/>
      <c r="CT781" s="59"/>
      <c r="CU781" s="59"/>
      <c r="CV781" s="59"/>
      <c r="CW781" s="59"/>
      <c r="CX781" s="59"/>
      <c r="CY781" s="59"/>
      <c r="CZ781" s="59"/>
      <c r="DA781" s="59"/>
      <c r="DB781" s="59"/>
      <c r="DC781" s="59"/>
      <c r="DD781" s="59"/>
      <c r="DE781" s="59"/>
      <c r="DF781" s="59"/>
      <c r="DG781" s="59"/>
      <c r="DH781" s="59"/>
      <c r="DI781" s="59"/>
      <c r="DJ781" s="59"/>
      <c r="DK781" s="59"/>
      <c r="DL781" s="59"/>
      <c r="DM781" s="59"/>
      <c r="DN781" s="59"/>
      <c r="DO781" s="59"/>
      <c r="DP781" s="59"/>
      <c r="DQ781" s="59"/>
      <c r="DR781" s="59"/>
      <c r="DS781" s="59"/>
      <c r="DT781" s="59"/>
      <c r="DU781" s="59"/>
      <c r="DV781" s="59"/>
    </row>
    <row r="782" spans="1:126" x14ac:dyDescent="0.3">
      <c r="A782" s="5"/>
      <c r="B782" s="5" t="s">
        <v>255</v>
      </c>
      <c r="C782" s="5"/>
      <c r="D782" s="5" t="s">
        <v>10</v>
      </c>
      <c r="E782" s="15">
        <f>1.1</f>
        <v>1.1000000000000001</v>
      </c>
      <c r="F782" s="15"/>
      <c r="G782" s="15"/>
    </row>
    <row r="783" spans="1:126" s="3" customFormat="1" x14ac:dyDescent="0.3">
      <c r="A783" s="21"/>
      <c r="B783" s="21" t="s">
        <v>79</v>
      </c>
      <c r="C783" s="21"/>
      <c r="D783" s="21"/>
      <c r="E783" s="22"/>
      <c r="F783" s="22"/>
      <c r="G783" s="22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  <c r="AN783" s="59"/>
      <c r="AO783" s="59"/>
      <c r="AP783" s="59"/>
      <c r="AQ783" s="59"/>
      <c r="AR783" s="59"/>
      <c r="AS783" s="59"/>
      <c r="AT783" s="59"/>
      <c r="AU783" s="59"/>
      <c r="AV783" s="59"/>
      <c r="AW783" s="59"/>
      <c r="AX783" s="59"/>
      <c r="AY783" s="59"/>
      <c r="AZ783" s="59"/>
      <c r="BA783" s="59"/>
      <c r="BB783" s="59"/>
      <c r="BC783" s="59"/>
      <c r="BD783" s="59"/>
      <c r="BE783" s="59"/>
      <c r="BF783" s="59"/>
      <c r="BG783" s="59"/>
      <c r="BH783" s="59"/>
      <c r="BI783" s="59"/>
      <c r="BJ783" s="59"/>
      <c r="BK783" s="59"/>
      <c r="BL783" s="59"/>
      <c r="BM783" s="59"/>
      <c r="BN783" s="59"/>
      <c r="BO783" s="59"/>
      <c r="BP783" s="59"/>
      <c r="BQ783" s="59"/>
      <c r="BR783" s="59"/>
      <c r="BS783" s="59"/>
      <c r="BT783" s="59"/>
      <c r="BU783" s="59"/>
      <c r="BV783" s="59"/>
      <c r="BW783" s="59"/>
      <c r="BX783" s="59"/>
      <c r="BY783" s="59"/>
      <c r="BZ783" s="59"/>
      <c r="CA783" s="59"/>
      <c r="CB783" s="59"/>
      <c r="CC783" s="59"/>
      <c r="CD783" s="59"/>
      <c r="CE783" s="59"/>
      <c r="CF783" s="59"/>
      <c r="CG783" s="59"/>
      <c r="CH783" s="59"/>
      <c r="CI783" s="59"/>
      <c r="CJ783" s="59"/>
      <c r="CK783" s="59"/>
      <c r="CL783" s="59"/>
      <c r="CM783" s="59"/>
      <c r="CN783" s="59"/>
      <c r="CO783" s="59"/>
      <c r="CP783" s="59"/>
      <c r="CQ783" s="59"/>
      <c r="CR783" s="59"/>
      <c r="CS783" s="59"/>
      <c r="CT783" s="59"/>
      <c r="CU783" s="59"/>
      <c r="CV783" s="59"/>
      <c r="CW783" s="59"/>
      <c r="CX783" s="59"/>
      <c r="CY783" s="59"/>
      <c r="CZ783" s="59"/>
      <c r="DA783" s="59"/>
      <c r="DB783" s="59"/>
      <c r="DC783" s="59"/>
      <c r="DD783" s="59"/>
      <c r="DE783" s="59"/>
      <c r="DF783" s="59"/>
      <c r="DG783" s="59"/>
      <c r="DH783" s="59"/>
      <c r="DI783" s="59"/>
      <c r="DJ783" s="59"/>
      <c r="DK783" s="59"/>
      <c r="DL783" s="59"/>
      <c r="DM783" s="59"/>
      <c r="DN783" s="59"/>
      <c r="DO783" s="59"/>
      <c r="DP783" s="59"/>
      <c r="DQ783" s="59"/>
      <c r="DR783" s="59"/>
      <c r="DS783" s="59"/>
      <c r="DT783" s="59"/>
      <c r="DU783" s="59"/>
      <c r="DV783" s="59"/>
    </row>
    <row r="784" spans="1:126" x14ac:dyDescent="0.3">
      <c r="A784" s="5"/>
      <c r="B784" s="5" t="s">
        <v>80</v>
      </c>
      <c r="C784" s="5"/>
      <c r="D784" s="5" t="s">
        <v>10</v>
      </c>
      <c r="E784" s="15">
        <f>0.87</f>
        <v>0.87</v>
      </c>
      <c r="F784" s="15"/>
      <c r="G784" s="15"/>
    </row>
    <row r="785" spans="1:126" s="3" customFormat="1" x14ac:dyDescent="0.3">
      <c r="A785" s="21"/>
      <c r="B785" s="21" t="s">
        <v>95</v>
      </c>
      <c r="C785" s="21"/>
      <c r="D785" s="21"/>
      <c r="E785" s="22"/>
      <c r="F785" s="22"/>
      <c r="G785" s="22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  <c r="AN785" s="59"/>
      <c r="AO785" s="59"/>
      <c r="AP785" s="59"/>
      <c r="AQ785" s="59"/>
      <c r="AR785" s="59"/>
      <c r="AS785" s="59"/>
      <c r="AT785" s="59"/>
      <c r="AU785" s="59"/>
      <c r="AV785" s="59"/>
      <c r="AW785" s="59"/>
      <c r="AX785" s="59"/>
      <c r="AY785" s="59"/>
      <c r="AZ785" s="59"/>
      <c r="BA785" s="59"/>
      <c r="BB785" s="59"/>
      <c r="BC785" s="59"/>
      <c r="BD785" s="59"/>
      <c r="BE785" s="59"/>
      <c r="BF785" s="59"/>
      <c r="BG785" s="59"/>
      <c r="BH785" s="59"/>
      <c r="BI785" s="59"/>
      <c r="BJ785" s="59"/>
      <c r="BK785" s="59"/>
      <c r="BL785" s="59"/>
      <c r="BM785" s="59"/>
      <c r="BN785" s="59"/>
      <c r="BO785" s="59"/>
      <c r="BP785" s="59"/>
      <c r="BQ785" s="59"/>
      <c r="BR785" s="59"/>
      <c r="BS785" s="59"/>
      <c r="BT785" s="59"/>
      <c r="BU785" s="59"/>
      <c r="BV785" s="59"/>
      <c r="BW785" s="59"/>
      <c r="BX785" s="59"/>
      <c r="BY785" s="59"/>
      <c r="BZ785" s="59"/>
      <c r="CA785" s="59"/>
      <c r="CB785" s="59"/>
      <c r="CC785" s="59"/>
      <c r="CD785" s="59"/>
      <c r="CE785" s="59"/>
      <c r="CF785" s="59"/>
      <c r="CG785" s="59"/>
      <c r="CH785" s="59"/>
      <c r="CI785" s="59"/>
      <c r="CJ785" s="59"/>
      <c r="CK785" s="59"/>
      <c r="CL785" s="59"/>
      <c r="CM785" s="59"/>
      <c r="CN785" s="59"/>
      <c r="CO785" s="59"/>
      <c r="CP785" s="59"/>
      <c r="CQ785" s="59"/>
      <c r="CR785" s="59"/>
      <c r="CS785" s="59"/>
      <c r="CT785" s="59"/>
      <c r="CU785" s="59"/>
      <c r="CV785" s="59"/>
      <c r="CW785" s="59"/>
      <c r="CX785" s="59"/>
      <c r="CY785" s="59"/>
      <c r="CZ785" s="59"/>
      <c r="DA785" s="59"/>
      <c r="DB785" s="59"/>
      <c r="DC785" s="59"/>
      <c r="DD785" s="59"/>
      <c r="DE785" s="59"/>
      <c r="DF785" s="59"/>
      <c r="DG785" s="59"/>
      <c r="DH785" s="59"/>
      <c r="DI785" s="59"/>
      <c r="DJ785" s="59"/>
      <c r="DK785" s="59"/>
      <c r="DL785" s="59"/>
      <c r="DM785" s="59"/>
      <c r="DN785" s="59"/>
      <c r="DO785" s="59"/>
      <c r="DP785" s="59"/>
      <c r="DQ785" s="59"/>
      <c r="DR785" s="59"/>
      <c r="DS785" s="59"/>
      <c r="DT785" s="59"/>
      <c r="DU785" s="59"/>
      <c r="DV785" s="59"/>
    </row>
    <row r="786" spans="1:126" x14ac:dyDescent="0.3">
      <c r="A786" s="5"/>
      <c r="B786" s="5" t="s">
        <v>256</v>
      </c>
      <c r="C786" s="5"/>
      <c r="D786" s="5" t="s">
        <v>14</v>
      </c>
      <c r="E786" s="15">
        <f>21</f>
        <v>21</v>
      </c>
      <c r="F786" s="15"/>
      <c r="G786" s="15"/>
    </row>
    <row r="787" spans="1:126" x14ac:dyDescent="0.3">
      <c r="A787" s="5"/>
      <c r="B787" s="5" t="s">
        <v>257</v>
      </c>
      <c r="C787" s="5"/>
      <c r="D787" s="5" t="s">
        <v>14</v>
      </c>
      <c r="E787" s="15">
        <f>21</f>
        <v>21</v>
      </c>
      <c r="F787" s="15"/>
      <c r="G787" s="15"/>
    </row>
    <row r="788" spans="1:126" x14ac:dyDescent="0.3">
      <c r="A788" s="5"/>
      <c r="B788" s="5" t="s">
        <v>258</v>
      </c>
      <c r="C788" s="5"/>
      <c r="D788" s="5" t="s">
        <v>69</v>
      </c>
      <c r="E788" s="15">
        <f>0.84</f>
        <v>0.84</v>
      </c>
      <c r="F788" s="15"/>
      <c r="G788" s="15"/>
    </row>
    <row r="789" spans="1:126" ht="31.2" x14ac:dyDescent="0.3">
      <c r="A789" s="5"/>
      <c r="B789" s="11" t="s">
        <v>259</v>
      </c>
      <c r="C789" s="5"/>
      <c r="D789" s="5" t="s">
        <v>74</v>
      </c>
      <c r="E789" s="15">
        <f>125</f>
        <v>125</v>
      </c>
      <c r="F789" s="15"/>
      <c r="G789" s="15"/>
    </row>
    <row r="790" spans="1:126" x14ac:dyDescent="0.3">
      <c r="A790" s="5"/>
      <c r="B790" s="5" t="s">
        <v>260</v>
      </c>
      <c r="C790" s="5"/>
      <c r="D790" s="5" t="s">
        <v>8</v>
      </c>
      <c r="E790" s="15">
        <f>0.034</f>
        <v>3.4000000000000002E-2</v>
      </c>
      <c r="F790" s="15"/>
      <c r="G790" s="15"/>
    </row>
    <row r="791" spans="1:126" x14ac:dyDescent="0.3">
      <c r="A791" s="5"/>
      <c r="B791" s="5" t="s">
        <v>261</v>
      </c>
      <c r="C791" s="5"/>
      <c r="D791" s="5" t="s">
        <v>8</v>
      </c>
      <c r="E791" s="15">
        <f>0.029</f>
        <v>2.9000000000000001E-2</v>
      </c>
      <c r="F791" s="15"/>
      <c r="G791" s="15"/>
    </row>
    <row r="792" spans="1:126" x14ac:dyDescent="0.3">
      <c r="A792" s="5"/>
      <c r="B792" s="5" t="s">
        <v>262</v>
      </c>
      <c r="C792" s="5"/>
      <c r="D792" s="5" t="s">
        <v>8</v>
      </c>
      <c r="E792" s="15">
        <f>0.043</f>
        <v>4.2999999999999997E-2</v>
      </c>
      <c r="F792" s="15"/>
      <c r="G792" s="15"/>
    </row>
    <row r="793" spans="1:126" ht="31.2" x14ac:dyDescent="0.3">
      <c r="A793" s="5"/>
      <c r="B793" s="11" t="s">
        <v>263</v>
      </c>
      <c r="C793" s="5"/>
      <c r="D793" s="5" t="s">
        <v>8</v>
      </c>
      <c r="E793" s="15">
        <f>0.06</f>
        <v>0.06</v>
      </c>
      <c r="F793" s="15"/>
      <c r="G793" s="15"/>
    </row>
    <row r="794" spans="1:126" x14ac:dyDescent="0.3">
      <c r="A794" s="5"/>
      <c r="B794" s="5" t="s">
        <v>264</v>
      </c>
      <c r="C794" s="5"/>
      <c r="D794" s="5" t="s">
        <v>14</v>
      </c>
      <c r="E794" s="15">
        <f>42</f>
        <v>42</v>
      </c>
      <c r="F794" s="15"/>
      <c r="G794" s="15"/>
    </row>
    <row r="795" spans="1:126" x14ac:dyDescent="0.3">
      <c r="A795" s="5"/>
      <c r="B795" s="5" t="s">
        <v>265</v>
      </c>
      <c r="C795" s="5"/>
      <c r="D795" s="5" t="s">
        <v>14</v>
      </c>
      <c r="E795" s="15">
        <f>42</f>
        <v>42</v>
      </c>
      <c r="F795" s="15"/>
      <c r="G795" s="15"/>
    </row>
    <row r="796" spans="1:126" x14ac:dyDescent="0.3">
      <c r="A796" s="5"/>
      <c r="B796" s="5" t="s">
        <v>266</v>
      </c>
      <c r="C796" s="5"/>
      <c r="D796" s="5" t="s">
        <v>14</v>
      </c>
      <c r="E796" s="15">
        <f>588</f>
        <v>588</v>
      </c>
      <c r="F796" s="15"/>
      <c r="G796" s="15"/>
    </row>
    <row r="797" spans="1:126" x14ac:dyDescent="0.3">
      <c r="A797" s="5"/>
      <c r="B797" s="5" t="s">
        <v>267</v>
      </c>
      <c r="C797" s="5"/>
      <c r="D797" s="5" t="s">
        <v>14</v>
      </c>
      <c r="E797" s="15">
        <f>168</f>
        <v>168</v>
      </c>
      <c r="F797" s="15"/>
      <c r="G797" s="15"/>
    </row>
    <row r="798" spans="1:126" x14ac:dyDescent="0.3">
      <c r="A798" s="5"/>
      <c r="B798" s="5" t="s">
        <v>267</v>
      </c>
      <c r="C798" s="5"/>
      <c r="D798" s="5" t="s">
        <v>14</v>
      </c>
      <c r="E798" s="15">
        <f>336</f>
        <v>336</v>
      </c>
      <c r="F798" s="15"/>
      <c r="G798" s="15"/>
    </row>
    <row r="799" spans="1:126" s="3" customFormat="1" x14ac:dyDescent="0.3">
      <c r="A799" s="21"/>
      <c r="B799" s="21" t="s">
        <v>63</v>
      </c>
      <c r="C799" s="21"/>
      <c r="D799" s="21"/>
      <c r="E799" s="22"/>
      <c r="F799" s="22"/>
      <c r="G799" s="22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  <c r="AN799" s="59"/>
      <c r="AO799" s="59"/>
      <c r="AP799" s="59"/>
      <c r="AQ799" s="59"/>
      <c r="AR799" s="59"/>
      <c r="AS799" s="59"/>
      <c r="AT799" s="59"/>
      <c r="AU799" s="59"/>
      <c r="AV799" s="59"/>
      <c r="AW799" s="59"/>
      <c r="AX799" s="59"/>
      <c r="AY799" s="59"/>
      <c r="AZ799" s="59"/>
      <c r="BA799" s="59"/>
      <c r="BB799" s="59"/>
      <c r="BC799" s="59"/>
      <c r="BD799" s="59"/>
      <c r="BE799" s="59"/>
      <c r="BF799" s="59"/>
      <c r="BG799" s="59"/>
      <c r="BH799" s="59"/>
      <c r="BI799" s="59"/>
      <c r="BJ799" s="59"/>
      <c r="BK799" s="59"/>
      <c r="BL799" s="59"/>
      <c r="BM799" s="59"/>
      <c r="BN799" s="59"/>
      <c r="BO799" s="59"/>
      <c r="BP799" s="59"/>
      <c r="BQ799" s="59"/>
      <c r="BR799" s="59"/>
      <c r="BS799" s="59"/>
      <c r="BT799" s="59"/>
      <c r="BU799" s="59"/>
      <c r="BV799" s="59"/>
      <c r="BW799" s="59"/>
      <c r="BX799" s="59"/>
      <c r="BY799" s="59"/>
      <c r="BZ799" s="59"/>
      <c r="CA799" s="59"/>
      <c r="CB799" s="59"/>
      <c r="CC799" s="59"/>
      <c r="CD799" s="59"/>
      <c r="CE799" s="59"/>
      <c r="CF799" s="59"/>
      <c r="CG799" s="59"/>
      <c r="CH799" s="59"/>
      <c r="CI799" s="59"/>
      <c r="CJ799" s="59"/>
      <c r="CK799" s="59"/>
      <c r="CL799" s="59"/>
      <c r="CM799" s="59"/>
      <c r="CN799" s="59"/>
      <c r="CO799" s="59"/>
      <c r="CP799" s="59"/>
      <c r="CQ799" s="59"/>
      <c r="CR799" s="59"/>
      <c r="CS799" s="59"/>
      <c r="CT799" s="59"/>
      <c r="CU799" s="59"/>
      <c r="CV799" s="59"/>
      <c r="CW799" s="59"/>
      <c r="CX799" s="59"/>
      <c r="CY799" s="59"/>
      <c r="CZ799" s="59"/>
      <c r="DA799" s="59"/>
      <c r="DB799" s="59"/>
      <c r="DC799" s="59"/>
      <c r="DD799" s="59"/>
      <c r="DE799" s="59"/>
      <c r="DF799" s="59"/>
      <c r="DG799" s="59"/>
      <c r="DH799" s="59"/>
      <c r="DI799" s="59"/>
      <c r="DJ799" s="59"/>
      <c r="DK799" s="59"/>
      <c r="DL799" s="59"/>
      <c r="DM799" s="59"/>
      <c r="DN799" s="59"/>
      <c r="DO799" s="59"/>
      <c r="DP799" s="59"/>
      <c r="DQ799" s="59"/>
      <c r="DR799" s="59"/>
      <c r="DS799" s="59"/>
      <c r="DT799" s="59"/>
      <c r="DU799" s="59"/>
      <c r="DV799" s="59"/>
    </row>
    <row r="800" spans="1:126" ht="31.2" x14ac:dyDescent="0.3">
      <c r="A800" s="5"/>
      <c r="B800" s="11" t="s">
        <v>268</v>
      </c>
      <c r="C800" s="5"/>
      <c r="D800" s="5" t="s">
        <v>17</v>
      </c>
      <c r="E800" s="15">
        <f>13.6</f>
        <v>13.6</v>
      </c>
      <c r="F800" s="15"/>
      <c r="G800" s="15"/>
    </row>
    <row r="801" spans="1:126" ht="31.2" x14ac:dyDescent="0.3">
      <c r="A801" s="5"/>
      <c r="B801" s="11" t="s">
        <v>269</v>
      </c>
      <c r="C801" s="5"/>
      <c r="D801" s="5" t="s">
        <v>17</v>
      </c>
      <c r="E801" s="15">
        <f>13.6</f>
        <v>13.6</v>
      </c>
      <c r="F801" s="15"/>
      <c r="G801" s="15"/>
    </row>
    <row r="802" spans="1:126" x14ac:dyDescent="0.3">
      <c r="A802" s="5"/>
      <c r="B802" s="5" t="s">
        <v>270</v>
      </c>
      <c r="C802" s="5"/>
      <c r="D802" s="5" t="s">
        <v>10</v>
      </c>
      <c r="E802" s="15">
        <f>13.88</f>
        <v>13.88</v>
      </c>
      <c r="F802" s="15"/>
      <c r="G802" s="15"/>
    </row>
    <row r="803" spans="1:126" x14ac:dyDescent="0.3">
      <c r="A803" s="5"/>
      <c r="B803" s="5" t="s">
        <v>271</v>
      </c>
      <c r="C803" s="5"/>
      <c r="D803" s="5" t="s">
        <v>8</v>
      </c>
      <c r="E803" s="15">
        <f>0.03</f>
        <v>0.03</v>
      </c>
      <c r="F803" s="15"/>
      <c r="G803" s="15"/>
    </row>
    <row r="804" spans="1:126" x14ac:dyDescent="0.3">
      <c r="A804" s="5"/>
      <c r="B804" s="5" t="s">
        <v>136</v>
      </c>
      <c r="C804" s="5"/>
      <c r="D804" s="5" t="s">
        <v>8</v>
      </c>
      <c r="E804" s="15">
        <f>0.12</f>
        <v>0.12</v>
      </c>
      <c r="F804" s="15"/>
      <c r="G804" s="15"/>
    </row>
    <row r="805" spans="1:126" x14ac:dyDescent="0.3">
      <c r="A805" s="5"/>
      <c r="B805" s="5" t="s">
        <v>124</v>
      </c>
      <c r="C805" s="5"/>
      <c r="D805" s="5" t="s">
        <v>8</v>
      </c>
      <c r="E805" s="15">
        <f>0.9</f>
        <v>0.9</v>
      </c>
      <c r="F805" s="15"/>
      <c r="G805" s="15"/>
    </row>
    <row r="806" spans="1:126" x14ac:dyDescent="0.3">
      <c r="A806" s="5"/>
      <c r="B806" s="5" t="s">
        <v>247</v>
      </c>
      <c r="C806" s="5"/>
      <c r="D806" s="5" t="s">
        <v>8</v>
      </c>
      <c r="E806" s="15">
        <f>0.32</f>
        <v>0.32</v>
      </c>
      <c r="F806" s="15"/>
      <c r="G806" s="15"/>
    </row>
    <row r="807" spans="1:126" x14ac:dyDescent="0.3">
      <c r="A807" s="5"/>
      <c r="B807" s="5" t="s">
        <v>131</v>
      </c>
      <c r="C807" s="5"/>
      <c r="D807" s="5" t="s">
        <v>8</v>
      </c>
      <c r="E807" s="15">
        <f>0.25</f>
        <v>0.25</v>
      </c>
      <c r="F807" s="15"/>
      <c r="G807" s="15"/>
    </row>
    <row r="808" spans="1:126" s="3" customFormat="1" x14ac:dyDescent="0.3">
      <c r="A808" s="21"/>
      <c r="B808" s="21" t="s">
        <v>65</v>
      </c>
      <c r="C808" s="21"/>
      <c r="D808" s="21"/>
      <c r="E808" s="22"/>
      <c r="F808" s="22"/>
      <c r="G808" s="22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  <c r="AN808" s="59"/>
      <c r="AO808" s="59"/>
      <c r="AP808" s="59"/>
      <c r="AQ808" s="59"/>
      <c r="AR808" s="59"/>
      <c r="AS808" s="59"/>
      <c r="AT808" s="59"/>
      <c r="AU808" s="59"/>
      <c r="AV808" s="59"/>
      <c r="AW808" s="59"/>
      <c r="AX808" s="59"/>
      <c r="AY808" s="59"/>
      <c r="AZ808" s="59"/>
      <c r="BA808" s="59"/>
      <c r="BB808" s="59"/>
      <c r="BC808" s="59"/>
      <c r="BD808" s="59"/>
      <c r="BE808" s="59"/>
      <c r="BF808" s="59"/>
      <c r="BG808" s="59"/>
      <c r="BH808" s="59"/>
      <c r="BI808" s="59"/>
      <c r="BJ808" s="59"/>
      <c r="BK808" s="59"/>
      <c r="BL808" s="59"/>
      <c r="BM808" s="59"/>
      <c r="BN808" s="59"/>
      <c r="BO808" s="59"/>
      <c r="BP808" s="59"/>
      <c r="BQ808" s="59"/>
      <c r="BR808" s="59"/>
      <c r="BS808" s="59"/>
      <c r="BT808" s="59"/>
      <c r="BU808" s="59"/>
      <c r="BV808" s="59"/>
      <c r="BW808" s="59"/>
      <c r="BX808" s="59"/>
      <c r="BY808" s="59"/>
      <c r="BZ808" s="59"/>
      <c r="CA808" s="59"/>
      <c r="CB808" s="59"/>
      <c r="CC808" s="59"/>
      <c r="CD808" s="59"/>
      <c r="CE808" s="59"/>
      <c r="CF808" s="59"/>
      <c r="CG808" s="59"/>
      <c r="CH808" s="59"/>
      <c r="CI808" s="59"/>
      <c r="CJ808" s="59"/>
      <c r="CK808" s="59"/>
      <c r="CL808" s="59"/>
      <c r="CM808" s="59"/>
      <c r="CN808" s="59"/>
      <c r="CO808" s="59"/>
      <c r="CP808" s="59"/>
      <c r="CQ808" s="59"/>
      <c r="CR808" s="59"/>
      <c r="CS808" s="59"/>
      <c r="CT808" s="59"/>
      <c r="CU808" s="59"/>
      <c r="CV808" s="59"/>
      <c r="CW808" s="59"/>
      <c r="CX808" s="59"/>
      <c r="CY808" s="59"/>
      <c r="CZ808" s="59"/>
      <c r="DA808" s="59"/>
      <c r="DB808" s="59"/>
      <c r="DC808" s="59"/>
      <c r="DD808" s="59"/>
      <c r="DE808" s="59"/>
      <c r="DF808" s="59"/>
      <c r="DG808" s="59"/>
      <c r="DH808" s="59"/>
      <c r="DI808" s="59"/>
      <c r="DJ808" s="59"/>
      <c r="DK808" s="59"/>
      <c r="DL808" s="59"/>
      <c r="DM808" s="59"/>
      <c r="DN808" s="59"/>
      <c r="DO808" s="59"/>
      <c r="DP808" s="59"/>
      <c r="DQ808" s="59"/>
      <c r="DR808" s="59"/>
      <c r="DS808" s="59"/>
      <c r="DT808" s="59"/>
      <c r="DU808" s="59"/>
      <c r="DV808" s="59"/>
    </row>
    <row r="809" spans="1:126" x14ac:dyDescent="0.3">
      <c r="A809" s="5"/>
      <c r="B809" s="11" t="s">
        <v>272</v>
      </c>
      <c r="C809" s="5"/>
      <c r="D809" s="5" t="s">
        <v>74</v>
      </c>
      <c r="E809" s="15">
        <f>275.9</f>
        <v>275.89999999999998</v>
      </c>
      <c r="F809" s="15"/>
      <c r="G809" s="15"/>
    </row>
    <row r="810" spans="1:126" x14ac:dyDescent="0.3">
      <c r="A810" s="5"/>
      <c r="B810" s="5" t="s">
        <v>150</v>
      </c>
      <c r="C810" s="5"/>
      <c r="D810" s="5" t="s">
        <v>14</v>
      </c>
      <c r="E810" s="15">
        <f>564</f>
        <v>564</v>
      </c>
      <c r="F810" s="15"/>
      <c r="G810" s="15"/>
    </row>
    <row r="811" spans="1:126" x14ac:dyDescent="0.3">
      <c r="A811" s="5"/>
      <c r="B811" s="5" t="s">
        <v>151</v>
      </c>
      <c r="C811" s="5"/>
      <c r="D811" s="5" t="s">
        <v>14</v>
      </c>
      <c r="E811" s="15">
        <f>564</f>
        <v>564</v>
      </c>
      <c r="F811" s="15"/>
      <c r="G811" s="15"/>
    </row>
    <row r="812" spans="1:126" s="25" customFormat="1" x14ac:dyDescent="0.3">
      <c r="A812" s="23"/>
      <c r="B812" s="23" t="s">
        <v>273</v>
      </c>
      <c r="C812" s="23"/>
      <c r="D812" s="23"/>
      <c r="E812" s="24"/>
      <c r="F812" s="24"/>
      <c r="G812" s="24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  <c r="AN812" s="59"/>
      <c r="AO812" s="59"/>
      <c r="AP812" s="59"/>
      <c r="AQ812" s="59"/>
      <c r="AR812" s="59"/>
      <c r="AS812" s="59"/>
      <c r="AT812" s="59"/>
      <c r="AU812" s="59"/>
      <c r="AV812" s="59"/>
      <c r="AW812" s="59"/>
      <c r="AX812" s="59"/>
      <c r="AY812" s="59"/>
      <c r="AZ812" s="59"/>
      <c r="BA812" s="59"/>
      <c r="BB812" s="59"/>
      <c r="BC812" s="59"/>
      <c r="BD812" s="59"/>
      <c r="BE812" s="59"/>
      <c r="BF812" s="59"/>
      <c r="BG812" s="59"/>
      <c r="BH812" s="59"/>
      <c r="BI812" s="59"/>
      <c r="BJ812" s="59"/>
      <c r="BK812" s="59"/>
      <c r="BL812" s="59"/>
      <c r="BM812" s="59"/>
      <c r="BN812" s="59"/>
      <c r="BO812" s="59"/>
      <c r="BP812" s="59"/>
      <c r="BQ812" s="59"/>
      <c r="BR812" s="59"/>
      <c r="BS812" s="59"/>
      <c r="BT812" s="59"/>
      <c r="BU812" s="59"/>
      <c r="BV812" s="59"/>
      <c r="BW812" s="59"/>
      <c r="BX812" s="59"/>
      <c r="BY812" s="59"/>
      <c r="BZ812" s="59"/>
      <c r="CA812" s="59"/>
      <c r="CB812" s="59"/>
      <c r="CC812" s="59"/>
      <c r="CD812" s="59"/>
      <c r="CE812" s="59"/>
      <c r="CF812" s="59"/>
      <c r="CG812" s="59"/>
      <c r="CH812" s="59"/>
      <c r="CI812" s="59"/>
      <c r="CJ812" s="59"/>
      <c r="CK812" s="59"/>
      <c r="CL812" s="59"/>
      <c r="CM812" s="59"/>
      <c r="CN812" s="59"/>
      <c r="CO812" s="59"/>
      <c r="CP812" s="59"/>
      <c r="CQ812" s="59"/>
      <c r="CR812" s="59"/>
      <c r="CS812" s="59"/>
      <c r="CT812" s="59"/>
      <c r="CU812" s="59"/>
      <c r="CV812" s="59"/>
      <c r="CW812" s="59"/>
      <c r="CX812" s="59"/>
      <c r="CY812" s="59"/>
      <c r="CZ812" s="59"/>
      <c r="DA812" s="59"/>
      <c r="DB812" s="59"/>
      <c r="DC812" s="59"/>
      <c r="DD812" s="59"/>
      <c r="DE812" s="59"/>
      <c r="DF812" s="59"/>
      <c r="DG812" s="59"/>
      <c r="DH812" s="59"/>
      <c r="DI812" s="59"/>
      <c r="DJ812" s="59"/>
      <c r="DK812" s="59"/>
      <c r="DL812" s="59"/>
      <c r="DM812" s="59"/>
      <c r="DN812" s="59"/>
      <c r="DO812" s="59"/>
      <c r="DP812" s="59"/>
      <c r="DQ812" s="59"/>
      <c r="DR812" s="59"/>
      <c r="DS812" s="59"/>
      <c r="DT812" s="59"/>
      <c r="DU812" s="59"/>
      <c r="DV812" s="59"/>
    </row>
    <row r="813" spans="1:126" x14ac:dyDescent="0.3">
      <c r="A813" s="5"/>
      <c r="B813" s="11" t="s">
        <v>274</v>
      </c>
      <c r="C813" s="5"/>
      <c r="D813" s="5" t="s">
        <v>10</v>
      </c>
      <c r="E813" s="15">
        <f>13280</f>
        <v>13280</v>
      </c>
      <c r="F813" s="15"/>
      <c r="G813" s="15"/>
    </row>
    <row r="814" spans="1:126" x14ac:dyDescent="0.3">
      <c r="A814" s="5"/>
      <c r="B814" s="5" t="s">
        <v>275</v>
      </c>
      <c r="C814" s="5"/>
      <c r="D814" s="5" t="s">
        <v>10</v>
      </c>
      <c r="E814" s="15">
        <f>283.1</f>
        <v>283.10000000000002</v>
      </c>
      <c r="F814" s="15"/>
      <c r="G814" s="15"/>
    </row>
    <row r="815" spans="1:126" x14ac:dyDescent="0.3">
      <c r="A815" s="5"/>
      <c r="B815" s="5" t="s">
        <v>276</v>
      </c>
      <c r="C815" s="5"/>
      <c r="D815" s="5" t="s">
        <v>10</v>
      </c>
      <c r="E815" s="15">
        <f>396.3</f>
        <v>396.3</v>
      </c>
      <c r="F815" s="15"/>
      <c r="G815" s="15"/>
    </row>
    <row r="816" spans="1:126" x14ac:dyDescent="0.3">
      <c r="A816" s="5"/>
      <c r="B816" s="5" t="s">
        <v>138</v>
      </c>
      <c r="C816" s="5"/>
      <c r="D816" s="5" t="s">
        <v>8</v>
      </c>
      <c r="E816" s="15">
        <f>16.37</f>
        <v>16.37</v>
      </c>
      <c r="F816" s="15"/>
      <c r="G816" s="15"/>
    </row>
    <row r="817" spans="1:126" x14ac:dyDescent="0.3">
      <c r="A817" s="5"/>
      <c r="B817" s="5" t="s">
        <v>277</v>
      </c>
      <c r="C817" s="5"/>
      <c r="D817" s="5" t="s">
        <v>10</v>
      </c>
      <c r="E817" s="15">
        <f>7.93</f>
        <v>7.93</v>
      </c>
      <c r="F817" s="15"/>
      <c r="G817" s="15"/>
    </row>
    <row r="818" spans="1:126" x14ac:dyDescent="0.3">
      <c r="A818" s="5"/>
      <c r="B818" s="5" t="s">
        <v>275</v>
      </c>
      <c r="C818" s="5"/>
      <c r="D818" s="5" t="s">
        <v>10</v>
      </c>
      <c r="E818" s="15">
        <f>30.96</f>
        <v>30.96</v>
      </c>
      <c r="F818" s="15"/>
      <c r="G818" s="15"/>
    </row>
    <row r="819" spans="1:126" x14ac:dyDescent="0.3">
      <c r="A819" s="5"/>
      <c r="B819" s="5" t="s">
        <v>278</v>
      </c>
      <c r="C819" s="5"/>
      <c r="D819" s="5" t="s">
        <v>10</v>
      </c>
      <c r="E819" s="15">
        <f>115.56</f>
        <v>115.56</v>
      </c>
      <c r="F819" s="15"/>
      <c r="G819" s="15"/>
    </row>
    <row r="820" spans="1:126" x14ac:dyDescent="0.3">
      <c r="A820" s="5"/>
      <c r="B820" s="5" t="s">
        <v>276</v>
      </c>
      <c r="C820" s="5"/>
      <c r="D820" s="5" t="s">
        <v>10</v>
      </c>
      <c r="E820" s="15">
        <f>58.44</f>
        <v>58.44</v>
      </c>
      <c r="F820" s="15"/>
      <c r="G820" s="15"/>
    </row>
    <row r="821" spans="1:126" x14ac:dyDescent="0.3">
      <c r="A821" s="5"/>
      <c r="B821" s="5" t="s">
        <v>142</v>
      </c>
      <c r="C821" s="5"/>
      <c r="D821" s="5" t="s">
        <v>8</v>
      </c>
      <c r="E821" s="15">
        <f>0.28</f>
        <v>0.28000000000000003</v>
      </c>
      <c r="F821" s="15"/>
      <c r="G821" s="15"/>
    </row>
    <row r="822" spans="1:126" x14ac:dyDescent="0.3">
      <c r="A822" s="5"/>
      <c r="B822" s="5" t="s">
        <v>138</v>
      </c>
      <c r="C822" s="5"/>
      <c r="D822" s="5" t="s">
        <v>8</v>
      </c>
      <c r="E822" s="15">
        <f>0.3</f>
        <v>0.3</v>
      </c>
      <c r="F822" s="15"/>
      <c r="G822" s="15"/>
    </row>
    <row r="823" spans="1:126" x14ac:dyDescent="0.3">
      <c r="A823" s="5"/>
      <c r="B823" s="5" t="s">
        <v>279</v>
      </c>
      <c r="C823" s="5"/>
      <c r="D823" s="5" t="s">
        <v>10</v>
      </c>
      <c r="E823" s="15">
        <f>2535.6</f>
        <v>2535.6</v>
      </c>
      <c r="F823" s="15"/>
      <c r="G823" s="15"/>
    </row>
    <row r="824" spans="1:126" s="25" customFormat="1" x14ac:dyDescent="0.3">
      <c r="A824" s="23"/>
      <c r="B824" s="23" t="s">
        <v>285</v>
      </c>
      <c r="C824" s="23"/>
      <c r="D824" s="23"/>
      <c r="E824" s="24"/>
      <c r="F824" s="24"/>
      <c r="G824" s="24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  <c r="AN824" s="59"/>
      <c r="AO824" s="59"/>
      <c r="AP824" s="59"/>
      <c r="AQ824" s="59"/>
      <c r="AR824" s="59"/>
      <c r="AS824" s="59"/>
      <c r="AT824" s="59"/>
      <c r="AU824" s="59"/>
      <c r="AV824" s="59"/>
      <c r="AW824" s="59"/>
      <c r="AX824" s="59"/>
      <c r="AY824" s="59"/>
      <c r="AZ824" s="59"/>
      <c r="BA824" s="59"/>
      <c r="BB824" s="59"/>
      <c r="BC824" s="59"/>
      <c r="BD824" s="59"/>
      <c r="BE824" s="59"/>
      <c r="BF824" s="59"/>
      <c r="BG824" s="59"/>
      <c r="BH824" s="59"/>
      <c r="BI824" s="59"/>
      <c r="BJ824" s="59"/>
      <c r="BK824" s="59"/>
      <c r="BL824" s="59"/>
      <c r="BM824" s="59"/>
      <c r="BN824" s="59"/>
      <c r="BO824" s="59"/>
      <c r="BP824" s="59"/>
      <c r="BQ824" s="59"/>
      <c r="BR824" s="59"/>
      <c r="BS824" s="59"/>
      <c r="BT824" s="59"/>
      <c r="BU824" s="59"/>
      <c r="BV824" s="59"/>
      <c r="BW824" s="59"/>
      <c r="BX824" s="59"/>
      <c r="BY824" s="59"/>
      <c r="BZ824" s="59"/>
      <c r="CA824" s="59"/>
      <c r="CB824" s="59"/>
      <c r="CC824" s="59"/>
      <c r="CD824" s="59"/>
      <c r="CE824" s="59"/>
      <c r="CF824" s="59"/>
      <c r="CG824" s="59"/>
      <c r="CH824" s="59"/>
      <c r="CI824" s="59"/>
      <c r="CJ824" s="59"/>
      <c r="CK824" s="59"/>
      <c r="CL824" s="59"/>
      <c r="CM824" s="59"/>
      <c r="CN824" s="59"/>
      <c r="CO824" s="59"/>
      <c r="CP824" s="59"/>
      <c r="CQ824" s="59"/>
      <c r="CR824" s="59"/>
      <c r="CS824" s="59"/>
      <c r="CT824" s="59"/>
      <c r="CU824" s="59"/>
      <c r="CV824" s="59"/>
      <c r="CW824" s="59"/>
      <c r="CX824" s="59"/>
      <c r="CY824" s="59"/>
      <c r="CZ824" s="59"/>
      <c r="DA824" s="59"/>
      <c r="DB824" s="59"/>
      <c r="DC824" s="59"/>
      <c r="DD824" s="59"/>
      <c r="DE824" s="59"/>
      <c r="DF824" s="59"/>
      <c r="DG824" s="59"/>
      <c r="DH824" s="59"/>
      <c r="DI824" s="59"/>
      <c r="DJ824" s="59"/>
      <c r="DK824" s="59"/>
      <c r="DL824" s="59"/>
      <c r="DM824" s="59"/>
      <c r="DN824" s="59"/>
      <c r="DO824" s="59"/>
      <c r="DP824" s="59"/>
      <c r="DQ824" s="59"/>
      <c r="DR824" s="59"/>
      <c r="DS824" s="59"/>
      <c r="DT824" s="59"/>
      <c r="DU824" s="59"/>
      <c r="DV824" s="59"/>
    </row>
    <row r="825" spans="1:126" x14ac:dyDescent="0.3">
      <c r="A825" s="5"/>
      <c r="B825" s="5" t="s">
        <v>275</v>
      </c>
      <c r="C825" s="5"/>
      <c r="D825" s="5" t="s">
        <v>10</v>
      </c>
      <c r="E825" s="15">
        <f>9.43</f>
        <v>9.43</v>
      </c>
      <c r="F825" s="15"/>
      <c r="G825" s="15"/>
    </row>
    <row r="826" spans="1:126" x14ac:dyDescent="0.3">
      <c r="A826" s="5"/>
      <c r="B826" s="5" t="s">
        <v>286</v>
      </c>
      <c r="C826" s="5"/>
      <c r="D826" s="5" t="s">
        <v>69</v>
      </c>
      <c r="E826" s="15">
        <f>63.51</f>
        <v>63.51</v>
      </c>
      <c r="F826" s="15"/>
      <c r="G826" s="15"/>
    </row>
    <row r="827" spans="1:126" x14ac:dyDescent="0.3">
      <c r="A827" s="5"/>
      <c r="B827" s="5" t="s">
        <v>278</v>
      </c>
      <c r="C827" s="5"/>
      <c r="D827" s="5" t="s">
        <v>10</v>
      </c>
      <c r="E827" s="15">
        <f>8.39</f>
        <v>8.39</v>
      </c>
      <c r="F827" s="15"/>
      <c r="G827" s="15"/>
    </row>
    <row r="828" spans="1:126" s="3" customFormat="1" x14ac:dyDescent="0.3">
      <c r="A828" s="21"/>
      <c r="B828" s="21" t="s">
        <v>288</v>
      </c>
      <c r="C828" s="21"/>
      <c r="D828" s="21"/>
      <c r="E828" s="22"/>
      <c r="F828" s="22"/>
      <c r="G828" s="22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  <c r="AN828" s="59"/>
      <c r="AO828" s="59"/>
      <c r="AP828" s="59"/>
      <c r="AQ828" s="59"/>
      <c r="AR828" s="59"/>
      <c r="AS828" s="59"/>
      <c r="AT828" s="59"/>
      <c r="AU828" s="59"/>
      <c r="AV828" s="59"/>
      <c r="AW828" s="59"/>
      <c r="AX828" s="59"/>
      <c r="AY828" s="59"/>
      <c r="AZ828" s="59"/>
      <c r="BA828" s="59"/>
      <c r="BB828" s="59"/>
      <c r="BC828" s="59"/>
      <c r="BD828" s="59"/>
      <c r="BE828" s="59"/>
      <c r="BF828" s="59"/>
      <c r="BG828" s="59"/>
      <c r="BH828" s="59"/>
      <c r="BI828" s="59"/>
      <c r="BJ828" s="59"/>
      <c r="BK828" s="59"/>
      <c r="BL828" s="59"/>
      <c r="BM828" s="59"/>
      <c r="BN828" s="59"/>
      <c r="BO828" s="59"/>
      <c r="BP828" s="59"/>
      <c r="BQ828" s="59"/>
      <c r="BR828" s="59"/>
      <c r="BS828" s="59"/>
      <c r="BT828" s="59"/>
      <c r="BU828" s="59"/>
      <c r="BV828" s="59"/>
      <c r="BW828" s="59"/>
      <c r="BX828" s="59"/>
      <c r="BY828" s="59"/>
      <c r="BZ828" s="59"/>
      <c r="CA828" s="59"/>
      <c r="CB828" s="59"/>
      <c r="CC828" s="59"/>
      <c r="CD828" s="59"/>
      <c r="CE828" s="59"/>
      <c r="CF828" s="59"/>
      <c r="CG828" s="59"/>
      <c r="CH828" s="59"/>
      <c r="CI828" s="59"/>
      <c r="CJ828" s="59"/>
      <c r="CK828" s="59"/>
      <c r="CL828" s="59"/>
      <c r="CM828" s="59"/>
      <c r="CN828" s="59"/>
      <c r="CO828" s="59"/>
      <c r="CP828" s="59"/>
      <c r="CQ828" s="59"/>
      <c r="CR828" s="59"/>
      <c r="CS828" s="59"/>
      <c r="CT828" s="59"/>
      <c r="CU828" s="59"/>
      <c r="CV828" s="59"/>
      <c r="CW828" s="59"/>
      <c r="CX828" s="59"/>
      <c r="CY828" s="59"/>
      <c r="CZ828" s="59"/>
      <c r="DA828" s="59"/>
      <c r="DB828" s="59"/>
      <c r="DC828" s="59"/>
      <c r="DD828" s="59"/>
      <c r="DE828" s="59"/>
      <c r="DF828" s="59"/>
      <c r="DG828" s="59"/>
      <c r="DH828" s="59"/>
      <c r="DI828" s="59"/>
      <c r="DJ828" s="59"/>
      <c r="DK828" s="59"/>
      <c r="DL828" s="59"/>
      <c r="DM828" s="59"/>
      <c r="DN828" s="59"/>
      <c r="DO828" s="59"/>
      <c r="DP828" s="59"/>
      <c r="DQ828" s="59"/>
      <c r="DR828" s="59"/>
      <c r="DS828" s="59"/>
      <c r="DT828" s="59"/>
      <c r="DU828" s="59"/>
      <c r="DV828" s="59"/>
    </row>
    <row r="829" spans="1:126" x14ac:dyDescent="0.3">
      <c r="A829" s="5"/>
      <c r="B829" s="5" t="s">
        <v>287</v>
      </c>
      <c r="C829" s="5"/>
      <c r="D829" s="5" t="s">
        <v>10</v>
      </c>
      <c r="E829" s="15">
        <f>45.97</f>
        <v>45.97</v>
      </c>
      <c r="F829" s="15"/>
      <c r="G829" s="15"/>
    </row>
    <row r="830" spans="1:126" x14ac:dyDescent="0.3">
      <c r="A830" s="5"/>
      <c r="B830" s="5" t="s">
        <v>222</v>
      </c>
      <c r="C830" s="5"/>
      <c r="D830" s="5" t="s">
        <v>8</v>
      </c>
      <c r="E830" s="15">
        <f>3.29</f>
        <v>3.29</v>
      </c>
      <c r="F830" s="15"/>
      <c r="G830" s="15"/>
    </row>
    <row r="831" spans="1:126" x14ac:dyDescent="0.3">
      <c r="A831" s="5"/>
      <c r="B831" s="5" t="s">
        <v>131</v>
      </c>
      <c r="C831" s="5"/>
      <c r="D831" s="5" t="s">
        <v>8</v>
      </c>
      <c r="E831" s="15">
        <f>1.81</f>
        <v>1.81</v>
      </c>
      <c r="F831" s="15"/>
      <c r="G831" s="15"/>
    </row>
    <row r="832" spans="1:126" x14ac:dyDescent="0.3">
      <c r="A832" s="5"/>
      <c r="B832" s="5" t="s">
        <v>124</v>
      </c>
      <c r="C832" s="5"/>
      <c r="D832" s="5" t="s">
        <v>8</v>
      </c>
      <c r="E832" s="15">
        <f>2.55</f>
        <v>2.5499999999999998</v>
      </c>
      <c r="F832" s="15"/>
      <c r="G832" s="15"/>
    </row>
    <row r="833" spans="1:126" x14ac:dyDescent="0.3">
      <c r="A833" s="5"/>
      <c r="B833" s="5" t="s">
        <v>136</v>
      </c>
      <c r="C833" s="5"/>
      <c r="D833" s="5" t="s">
        <v>8</v>
      </c>
      <c r="E833" s="15">
        <f>0.16</f>
        <v>0.16</v>
      </c>
      <c r="F833" s="15"/>
      <c r="G833" s="15"/>
    </row>
    <row r="834" spans="1:126" x14ac:dyDescent="0.3">
      <c r="A834" s="5"/>
      <c r="B834" s="5" t="s">
        <v>138</v>
      </c>
      <c r="C834" s="5"/>
      <c r="D834" s="5" t="s">
        <v>8</v>
      </c>
      <c r="E834" s="15">
        <f>0.49</f>
        <v>0.49</v>
      </c>
      <c r="F834" s="15"/>
      <c r="G834" s="15"/>
    </row>
    <row r="835" spans="1:126" ht="31.2" x14ac:dyDescent="0.3">
      <c r="A835" s="5"/>
      <c r="B835" s="11" t="s">
        <v>250</v>
      </c>
      <c r="C835" s="5"/>
      <c r="D835" s="5" t="s">
        <v>8</v>
      </c>
      <c r="E835" s="15">
        <f>0.37</f>
        <v>0.37</v>
      </c>
      <c r="F835" s="15"/>
      <c r="G835" s="15"/>
    </row>
    <row r="836" spans="1:126" s="3" customFormat="1" x14ac:dyDescent="0.3">
      <c r="A836" s="21"/>
      <c r="B836" s="21" t="s">
        <v>289</v>
      </c>
      <c r="C836" s="21"/>
      <c r="D836" s="21"/>
      <c r="E836" s="22"/>
      <c r="F836" s="22"/>
      <c r="G836" s="22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9"/>
      <c r="AM836" s="59"/>
      <c r="AN836" s="59"/>
      <c r="AO836" s="59"/>
      <c r="AP836" s="59"/>
      <c r="AQ836" s="59"/>
      <c r="AR836" s="59"/>
      <c r="AS836" s="59"/>
      <c r="AT836" s="59"/>
      <c r="AU836" s="59"/>
      <c r="AV836" s="59"/>
      <c r="AW836" s="59"/>
      <c r="AX836" s="59"/>
      <c r="AY836" s="59"/>
      <c r="AZ836" s="59"/>
      <c r="BA836" s="59"/>
      <c r="BB836" s="59"/>
      <c r="BC836" s="59"/>
      <c r="BD836" s="59"/>
      <c r="BE836" s="59"/>
      <c r="BF836" s="59"/>
      <c r="BG836" s="59"/>
      <c r="BH836" s="59"/>
      <c r="BI836" s="59"/>
      <c r="BJ836" s="59"/>
      <c r="BK836" s="59"/>
      <c r="BL836" s="59"/>
      <c r="BM836" s="59"/>
      <c r="BN836" s="59"/>
      <c r="BO836" s="59"/>
      <c r="BP836" s="59"/>
      <c r="BQ836" s="59"/>
      <c r="BR836" s="59"/>
      <c r="BS836" s="59"/>
      <c r="BT836" s="59"/>
      <c r="BU836" s="59"/>
      <c r="BV836" s="59"/>
      <c r="BW836" s="59"/>
      <c r="BX836" s="59"/>
      <c r="BY836" s="59"/>
      <c r="BZ836" s="59"/>
      <c r="CA836" s="59"/>
      <c r="CB836" s="59"/>
      <c r="CC836" s="59"/>
      <c r="CD836" s="59"/>
      <c r="CE836" s="59"/>
      <c r="CF836" s="59"/>
      <c r="CG836" s="59"/>
      <c r="CH836" s="59"/>
      <c r="CI836" s="59"/>
      <c r="CJ836" s="59"/>
      <c r="CK836" s="59"/>
      <c r="CL836" s="59"/>
      <c r="CM836" s="59"/>
      <c r="CN836" s="59"/>
      <c r="CO836" s="59"/>
      <c r="CP836" s="59"/>
      <c r="CQ836" s="59"/>
      <c r="CR836" s="59"/>
      <c r="CS836" s="59"/>
      <c r="CT836" s="59"/>
      <c r="CU836" s="59"/>
      <c r="CV836" s="59"/>
      <c r="CW836" s="59"/>
      <c r="CX836" s="59"/>
      <c r="CY836" s="59"/>
      <c r="CZ836" s="59"/>
      <c r="DA836" s="59"/>
      <c r="DB836" s="59"/>
      <c r="DC836" s="59"/>
      <c r="DD836" s="59"/>
      <c r="DE836" s="59"/>
      <c r="DF836" s="59"/>
      <c r="DG836" s="59"/>
      <c r="DH836" s="59"/>
      <c r="DI836" s="59"/>
      <c r="DJ836" s="59"/>
      <c r="DK836" s="59"/>
      <c r="DL836" s="59"/>
      <c r="DM836" s="59"/>
      <c r="DN836" s="59"/>
      <c r="DO836" s="59"/>
      <c r="DP836" s="59"/>
      <c r="DQ836" s="59"/>
      <c r="DR836" s="59"/>
      <c r="DS836" s="59"/>
      <c r="DT836" s="59"/>
      <c r="DU836" s="59"/>
      <c r="DV836" s="59"/>
    </row>
    <row r="837" spans="1:126" x14ac:dyDescent="0.3">
      <c r="A837" s="5"/>
      <c r="B837" s="5" t="s">
        <v>287</v>
      </c>
      <c r="C837" s="5"/>
      <c r="D837" s="5" t="s">
        <v>10</v>
      </c>
      <c r="E837" s="15">
        <f>3.92</f>
        <v>3.92</v>
      </c>
      <c r="F837" s="15"/>
      <c r="G837" s="15"/>
    </row>
    <row r="838" spans="1:126" x14ac:dyDescent="0.3">
      <c r="A838" s="5"/>
      <c r="B838" s="5" t="s">
        <v>131</v>
      </c>
      <c r="C838" s="5"/>
      <c r="D838" s="5" t="s">
        <v>8</v>
      </c>
      <c r="E838" s="15">
        <f>0.42</f>
        <v>0.42</v>
      </c>
      <c r="F838" s="15"/>
      <c r="G838" s="15"/>
    </row>
    <row r="839" spans="1:126" x14ac:dyDescent="0.3">
      <c r="A839" s="5"/>
      <c r="B839" s="5" t="s">
        <v>138</v>
      </c>
      <c r="C839" s="5"/>
      <c r="D839" s="5" t="s">
        <v>8</v>
      </c>
      <c r="E839" s="15">
        <f>0.05</f>
        <v>0.05</v>
      </c>
      <c r="F839" s="15"/>
      <c r="G839" s="15"/>
    </row>
    <row r="840" spans="1:126" s="3" customFormat="1" x14ac:dyDescent="0.3">
      <c r="A840" s="21"/>
      <c r="B840" s="21" t="s">
        <v>290</v>
      </c>
      <c r="C840" s="21"/>
      <c r="D840" s="21"/>
      <c r="E840" s="22"/>
      <c r="F840" s="22"/>
      <c r="G840" s="22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9"/>
      <c r="AM840" s="59"/>
      <c r="AN840" s="59"/>
      <c r="AO840" s="59"/>
      <c r="AP840" s="59"/>
      <c r="AQ840" s="59"/>
      <c r="AR840" s="59"/>
      <c r="AS840" s="59"/>
      <c r="AT840" s="59"/>
      <c r="AU840" s="59"/>
      <c r="AV840" s="59"/>
      <c r="AW840" s="59"/>
      <c r="AX840" s="59"/>
      <c r="AY840" s="59"/>
      <c r="AZ840" s="59"/>
      <c r="BA840" s="59"/>
      <c r="BB840" s="59"/>
      <c r="BC840" s="59"/>
      <c r="BD840" s="59"/>
      <c r="BE840" s="59"/>
      <c r="BF840" s="59"/>
      <c r="BG840" s="59"/>
      <c r="BH840" s="59"/>
      <c r="BI840" s="59"/>
      <c r="BJ840" s="59"/>
      <c r="BK840" s="59"/>
      <c r="BL840" s="59"/>
      <c r="BM840" s="59"/>
      <c r="BN840" s="59"/>
      <c r="BO840" s="59"/>
      <c r="BP840" s="59"/>
      <c r="BQ840" s="59"/>
      <c r="BR840" s="59"/>
      <c r="BS840" s="59"/>
      <c r="BT840" s="59"/>
      <c r="BU840" s="59"/>
      <c r="BV840" s="59"/>
      <c r="BW840" s="59"/>
      <c r="BX840" s="59"/>
      <c r="BY840" s="59"/>
      <c r="BZ840" s="59"/>
      <c r="CA840" s="59"/>
      <c r="CB840" s="59"/>
      <c r="CC840" s="59"/>
      <c r="CD840" s="59"/>
      <c r="CE840" s="59"/>
      <c r="CF840" s="59"/>
      <c r="CG840" s="59"/>
      <c r="CH840" s="59"/>
      <c r="CI840" s="59"/>
      <c r="CJ840" s="59"/>
      <c r="CK840" s="59"/>
      <c r="CL840" s="59"/>
      <c r="CM840" s="59"/>
      <c r="CN840" s="59"/>
      <c r="CO840" s="59"/>
      <c r="CP840" s="59"/>
      <c r="CQ840" s="59"/>
      <c r="CR840" s="59"/>
      <c r="CS840" s="59"/>
      <c r="CT840" s="59"/>
      <c r="CU840" s="59"/>
      <c r="CV840" s="59"/>
      <c r="CW840" s="59"/>
      <c r="CX840" s="59"/>
      <c r="CY840" s="59"/>
      <c r="CZ840" s="59"/>
      <c r="DA840" s="59"/>
      <c r="DB840" s="59"/>
      <c r="DC840" s="59"/>
      <c r="DD840" s="59"/>
      <c r="DE840" s="59"/>
      <c r="DF840" s="59"/>
      <c r="DG840" s="59"/>
      <c r="DH840" s="59"/>
      <c r="DI840" s="59"/>
      <c r="DJ840" s="59"/>
      <c r="DK840" s="59"/>
      <c r="DL840" s="59"/>
      <c r="DM840" s="59"/>
      <c r="DN840" s="59"/>
      <c r="DO840" s="59"/>
      <c r="DP840" s="59"/>
      <c r="DQ840" s="59"/>
      <c r="DR840" s="59"/>
      <c r="DS840" s="59"/>
      <c r="DT840" s="59"/>
      <c r="DU840" s="59"/>
      <c r="DV840" s="59"/>
    </row>
    <row r="841" spans="1:126" x14ac:dyDescent="0.3">
      <c r="A841" s="5"/>
      <c r="B841" s="5" t="s">
        <v>291</v>
      </c>
      <c r="C841" s="5"/>
      <c r="D841" s="5" t="s">
        <v>69</v>
      </c>
      <c r="E841" s="15">
        <f>11.25*2</f>
        <v>22.5</v>
      </c>
      <c r="F841" s="15"/>
      <c r="G841" s="15"/>
    </row>
    <row r="842" spans="1:126" x14ac:dyDescent="0.3">
      <c r="A842" s="5"/>
      <c r="B842" s="5" t="s">
        <v>472</v>
      </c>
      <c r="C842" s="5"/>
      <c r="D842" s="5" t="s">
        <v>74</v>
      </c>
      <c r="E842" s="15">
        <f>13.92</f>
        <v>13.92</v>
      </c>
      <c r="F842" s="15"/>
      <c r="G842" s="15"/>
    </row>
    <row r="843" spans="1:126" x14ac:dyDescent="0.3">
      <c r="A843" s="5"/>
      <c r="B843" s="5" t="s">
        <v>220</v>
      </c>
      <c r="C843" s="5"/>
      <c r="D843" s="5" t="s">
        <v>72</v>
      </c>
      <c r="E843" s="15">
        <f>20.75*4.5</f>
        <v>93.375</v>
      </c>
      <c r="F843" s="15"/>
      <c r="G843" s="15"/>
    </row>
    <row r="844" spans="1:126" x14ac:dyDescent="0.3">
      <c r="A844" s="5"/>
      <c r="B844" s="5" t="s">
        <v>80</v>
      </c>
      <c r="C844" s="5"/>
      <c r="D844" s="5" t="s">
        <v>10</v>
      </c>
      <c r="E844" s="15">
        <f>0.07</f>
        <v>7.0000000000000007E-2</v>
      </c>
      <c r="F844" s="15"/>
      <c r="G844" s="15"/>
    </row>
    <row r="845" spans="1:126" x14ac:dyDescent="0.3">
      <c r="A845" s="5"/>
      <c r="B845" s="5" t="s">
        <v>292</v>
      </c>
      <c r="C845" s="5"/>
      <c r="D845" s="5" t="s">
        <v>72</v>
      </c>
      <c r="E845" s="15">
        <f>102.88*0.5</f>
        <v>51.44</v>
      </c>
      <c r="F845" s="15"/>
      <c r="G845" s="15"/>
    </row>
    <row r="846" spans="1:126" x14ac:dyDescent="0.3">
      <c r="A846" s="5"/>
      <c r="B846" s="5" t="s">
        <v>293</v>
      </c>
      <c r="C846" s="5"/>
      <c r="D846" s="5" t="s">
        <v>72</v>
      </c>
      <c r="E846" s="15">
        <f>102.88*1</f>
        <v>102.88</v>
      </c>
      <c r="F846" s="15"/>
      <c r="G846" s="15"/>
    </row>
    <row r="847" spans="1:126" x14ac:dyDescent="0.3">
      <c r="A847" s="5"/>
      <c r="B847" s="5" t="s">
        <v>292</v>
      </c>
      <c r="C847" s="5"/>
      <c r="D847" s="5" t="s">
        <v>72</v>
      </c>
      <c r="E847" s="15">
        <f>102.88*0.5</f>
        <v>51.44</v>
      </c>
      <c r="F847" s="15"/>
      <c r="G847" s="15"/>
    </row>
    <row r="848" spans="1:126" x14ac:dyDescent="0.3">
      <c r="A848" s="5"/>
      <c r="B848" s="5" t="s">
        <v>291</v>
      </c>
      <c r="C848" s="5"/>
      <c r="D848" s="5" t="s">
        <v>69</v>
      </c>
      <c r="E848" s="15">
        <f>108.18</f>
        <v>108.18</v>
      </c>
      <c r="F848" s="15"/>
      <c r="G848" s="15"/>
    </row>
    <row r="849" spans="1:126" s="3" customFormat="1" x14ac:dyDescent="0.3">
      <c r="A849" s="21"/>
      <c r="B849" s="21" t="s">
        <v>294</v>
      </c>
      <c r="C849" s="21"/>
      <c r="D849" s="21"/>
      <c r="E849" s="22"/>
      <c r="F849" s="22"/>
      <c r="G849" s="22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9"/>
      <c r="AM849" s="59"/>
      <c r="AN849" s="59"/>
      <c r="AO849" s="59"/>
      <c r="AP849" s="59"/>
      <c r="AQ849" s="59"/>
      <c r="AR849" s="59"/>
      <c r="AS849" s="59"/>
      <c r="AT849" s="59"/>
      <c r="AU849" s="59"/>
      <c r="AV849" s="59"/>
      <c r="AW849" s="59"/>
      <c r="AX849" s="59"/>
      <c r="AY849" s="59"/>
      <c r="AZ849" s="59"/>
      <c r="BA849" s="59"/>
      <c r="BB849" s="59"/>
      <c r="BC849" s="59"/>
      <c r="BD849" s="59"/>
      <c r="BE849" s="59"/>
      <c r="BF849" s="59"/>
      <c r="BG849" s="59"/>
      <c r="BH849" s="59"/>
      <c r="BI849" s="59"/>
      <c r="BJ849" s="59"/>
      <c r="BK849" s="59"/>
      <c r="BL849" s="59"/>
      <c r="BM849" s="59"/>
      <c r="BN849" s="59"/>
      <c r="BO849" s="59"/>
      <c r="BP849" s="59"/>
      <c r="BQ849" s="59"/>
      <c r="BR849" s="59"/>
      <c r="BS849" s="59"/>
      <c r="BT849" s="59"/>
      <c r="BU849" s="59"/>
      <c r="BV849" s="59"/>
      <c r="BW849" s="59"/>
      <c r="BX849" s="59"/>
      <c r="BY849" s="59"/>
      <c r="BZ849" s="59"/>
      <c r="CA849" s="59"/>
      <c r="CB849" s="59"/>
      <c r="CC849" s="59"/>
      <c r="CD849" s="59"/>
      <c r="CE849" s="59"/>
      <c r="CF849" s="59"/>
      <c r="CG849" s="59"/>
      <c r="CH849" s="59"/>
      <c r="CI849" s="59"/>
      <c r="CJ849" s="59"/>
      <c r="CK849" s="59"/>
      <c r="CL849" s="59"/>
      <c r="CM849" s="59"/>
      <c r="CN849" s="59"/>
      <c r="CO849" s="59"/>
      <c r="CP849" s="59"/>
      <c r="CQ849" s="59"/>
      <c r="CR849" s="59"/>
      <c r="CS849" s="59"/>
      <c r="CT849" s="59"/>
      <c r="CU849" s="59"/>
      <c r="CV849" s="59"/>
      <c r="CW849" s="59"/>
      <c r="CX849" s="59"/>
      <c r="CY849" s="59"/>
      <c r="CZ849" s="59"/>
      <c r="DA849" s="59"/>
      <c r="DB849" s="59"/>
      <c r="DC849" s="59"/>
      <c r="DD849" s="59"/>
      <c r="DE849" s="59"/>
      <c r="DF849" s="59"/>
      <c r="DG849" s="59"/>
      <c r="DH849" s="59"/>
      <c r="DI849" s="59"/>
      <c r="DJ849" s="59"/>
      <c r="DK849" s="59"/>
      <c r="DL849" s="59"/>
      <c r="DM849" s="59"/>
      <c r="DN849" s="59"/>
      <c r="DO849" s="59"/>
      <c r="DP849" s="59"/>
      <c r="DQ849" s="59"/>
      <c r="DR849" s="59"/>
      <c r="DS849" s="59"/>
      <c r="DT849" s="59"/>
      <c r="DU849" s="59"/>
      <c r="DV849" s="59"/>
    </row>
    <row r="850" spans="1:126" x14ac:dyDescent="0.3">
      <c r="A850" s="5"/>
      <c r="B850" s="5" t="s">
        <v>210</v>
      </c>
      <c r="C850" s="5"/>
      <c r="D850" s="5" t="s">
        <v>10</v>
      </c>
      <c r="E850" s="15">
        <f>3.88</f>
        <v>3.88</v>
      </c>
      <c r="F850" s="15"/>
      <c r="G850" s="15"/>
    </row>
    <row r="851" spans="1:126" x14ac:dyDescent="0.3">
      <c r="A851" s="5"/>
      <c r="B851" s="5" t="s">
        <v>211</v>
      </c>
      <c r="C851" s="5"/>
      <c r="D851" s="5" t="s">
        <v>8</v>
      </c>
      <c r="E851" s="15">
        <f>0.3</f>
        <v>0.3</v>
      </c>
      <c r="F851" s="15"/>
      <c r="G851" s="15"/>
    </row>
    <row r="852" spans="1:126" x14ac:dyDescent="0.3">
      <c r="A852" s="5"/>
      <c r="B852" s="5" t="s">
        <v>80</v>
      </c>
      <c r="C852" s="5"/>
      <c r="D852" s="5" t="s">
        <v>10</v>
      </c>
      <c r="E852" s="15">
        <f>0.07</f>
        <v>7.0000000000000007E-2</v>
      </c>
      <c r="F852" s="15"/>
      <c r="G852" s="15"/>
    </row>
    <row r="853" spans="1:126" s="25" customFormat="1" x14ac:dyDescent="0.3">
      <c r="A853" s="23"/>
      <c r="B853" s="23" t="s">
        <v>295</v>
      </c>
      <c r="C853" s="23"/>
      <c r="D853" s="23"/>
      <c r="E853" s="24"/>
      <c r="F853" s="24"/>
      <c r="G853" s="24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59"/>
      <c r="AU853" s="59"/>
      <c r="AV853" s="59"/>
      <c r="AW853" s="59"/>
      <c r="AX853" s="59"/>
      <c r="AY853" s="59"/>
      <c r="AZ853" s="59"/>
      <c r="BA853" s="59"/>
      <c r="BB853" s="59"/>
      <c r="BC853" s="59"/>
      <c r="BD853" s="59"/>
      <c r="BE853" s="59"/>
      <c r="BF853" s="59"/>
      <c r="BG853" s="59"/>
      <c r="BH853" s="59"/>
      <c r="BI853" s="59"/>
      <c r="BJ853" s="59"/>
      <c r="BK853" s="59"/>
      <c r="BL853" s="59"/>
      <c r="BM853" s="59"/>
      <c r="BN853" s="59"/>
      <c r="BO853" s="59"/>
      <c r="BP853" s="59"/>
      <c r="BQ853" s="59"/>
      <c r="BR853" s="59"/>
      <c r="BS853" s="59"/>
      <c r="BT853" s="59"/>
      <c r="BU853" s="59"/>
      <c r="BV853" s="59"/>
      <c r="BW853" s="59"/>
      <c r="BX853" s="59"/>
      <c r="BY853" s="59"/>
      <c r="BZ853" s="59"/>
      <c r="CA853" s="59"/>
      <c r="CB853" s="59"/>
      <c r="CC853" s="59"/>
      <c r="CD853" s="59"/>
      <c r="CE853" s="59"/>
      <c r="CF853" s="59"/>
      <c r="CG853" s="59"/>
      <c r="CH853" s="59"/>
      <c r="CI853" s="59"/>
      <c r="CJ853" s="59"/>
      <c r="CK853" s="59"/>
      <c r="CL853" s="59"/>
      <c r="CM853" s="59"/>
      <c r="CN853" s="59"/>
      <c r="CO853" s="59"/>
      <c r="CP853" s="59"/>
      <c r="CQ853" s="59"/>
      <c r="CR853" s="59"/>
      <c r="CS853" s="59"/>
      <c r="CT853" s="59"/>
      <c r="CU853" s="59"/>
      <c r="CV853" s="59"/>
      <c r="CW853" s="59"/>
      <c r="CX853" s="59"/>
      <c r="CY853" s="59"/>
      <c r="CZ853" s="59"/>
      <c r="DA853" s="59"/>
      <c r="DB853" s="59"/>
      <c r="DC853" s="59"/>
      <c r="DD853" s="59"/>
      <c r="DE853" s="59"/>
      <c r="DF853" s="59"/>
      <c r="DG853" s="59"/>
      <c r="DH853" s="59"/>
      <c r="DI853" s="59"/>
      <c r="DJ853" s="59"/>
      <c r="DK853" s="59"/>
      <c r="DL853" s="59"/>
      <c r="DM853" s="59"/>
      <c r="DN853" s="59"/>
      <c r="DO853" s="59"/>
      <c r="DP853" s="59"/>
      <c r="DQ853" s="59"/>
      <c r="DR853" s="59"/>
      <c r="DS853" s="59"/>
      <c r="DT853" s="59"/>
      <c r="DU853" s="59"/>
      <c r="DV853" s="59"/>
    </row>
    <row r="854" spans="1:126" x14ac:dyDescent="0.3">
      <c r="A854" s="5"/>
      <c r="B854" s="5" t="s">
        <v>275</v>
      </c>
      <c r="C854" s="5"/>
      <c r="D854" s="5" t="s">
        <v>10</v>
      </c>
      <c r="E854" s="15">
        <f>1.33</f>
        <v>1.33</v>
      </c>
      <c r="F854" s="15"/>
      <c r="G854" s="15"/>
    </row>
    <row r="855" spans="1:126" x14ac:dyDescent="0.3">
      <c r="A855" s="5"/>
      <c r="B855" s="5" t="s">
        <v>296</v>
      </c>
      <c r="C855" s="5"/>
      <c r="D855" s="5" t="s">
        <v>10</v>
      </c>
      <c r="E855" s="15">
        <f>1.8</f>
        <v>1.8</v>
      </c>
      <c r="F855" s="15"/>
      <c r="G855" s="15"/>
    </row>
    <row r="856" spans="1:126" x14ac:dyDescent="0.3">
      <c r="A856" s="5"/>
      <c r="B856" s="5" t="s">
        <v>297</v>
      </c>
      <c r="C856" s="5"/>
      <c r="D856" s="5" t="s">
        <v>10</v>
      </c>
      <c r="E856" s="15">
        <f>3.3</f>
        <v>3.3</v>
      </c>
      <c r="F856" s="15"/>
      <c r="G856" s="15"/>
    </row>
    <row r="857" spans="1:126" x14ac:dyDescent="0.3">
      <c r="A857" s="5"/>
      <c r="B857" s="5" t="s">
        <v>298</v>
      </c>
      <c r="C857" s="5"/>
      <c r="D857" s="5" t="s">
        <v>10</v>
      </c>
      <c r="E857" s="15">
        <f>2.1</f>
        <v>2.1</v>
      </c>
      <c r="F857" s="15"/>
      <c r="G857" s="15"/>
    </row>
    <row r="858" spans="1:126" x14ac:dyDescent="0.3">
      <c r="A858" s="5"/>
      <c r="B858" s="5" t="s">
        <v>299</v>
      </c>
      <c r="C858" s="5"/>
      <c r="D858" s="5" t="s">
        <v>10</v>
      </c>
      <c r="E858" s="15">
        <f>0.39</f>
        <v>0.39</v>
      </c>
      <c r="F858" s="15"/>
      <c r="G858" s="15"/>
    </row>
    <row r="859" spans="1:126" x14ac:dyDescent="0.3">
      <c r="A859" s="5"/>
      <c r="B859" s="5" t="s">
        <v>300</v>
      </c>
      <c r="C859" s="5"/>
      <c r="D859" s="5" t="s">
        <v>8</v>
      </c>
      <c r="E859" s="15">
        <f>5.2/1000</f>
        <v>5.1999999999999998E-3</v>
      </c>
      <c r="F859" s="15"/>
      <c r="G859" s="15"/>
    </row>
    <row r="860" spans="1:126" x14ac:dyDescent="0.3">
      <c r="A860" s="5"/>
      <c r="B860" s="5" t="s">
        <v>301</v>
      </c>
      <c r="C860" s="5"/>
      <c r="D860" s="5" t="s">
        <v>10</v>
      </c>
      <c r="E860" s="15">
        <f>0.44</f>
        <v>0.44</v>
      </c>
      <c r="F860" s="15"/>
      <c r="G860" s="15"/>
    </row>
    <row r="861" spans="1:126" x14ac:dyDescent="0.3">
      <c r="A861" s="5"/>
      <c r="B861" s="5" t="s">
        <v>302</v>
      </c>
      <c r="C861" s="5"/>
      <c r="D861" s="5" t="s">
        <v>10</v>
      </c>
      <c r="E861" s="15">
        <f>0.08</f>
        <v>0.08</v>
      </c>
      <c r="F861" s="15"/>
      <c r="G861" s="15"/>
    </row>
    <row r="862" spans="1:126" x14ac:dyDescent="0.3">
      <c r="A862" s="5"/>
      <c r="B862" s="5" t="s">
        <v>303</v>
      </c>
      <c r="C862" s="5"/>
      <c r="D862" s="5" t="s">
        <v>10</v>
      </c>
      <c r="E862" s="15">
        <f>0.738</f>
        <v>0.73799999999999999</v>
      </c>
      <c r="F862" s="15"/>
      <c r="G862" s="15"/>
    </row>
    <row r="863" spans="1:126" x14ac:dyDescent="0.3">
      <c r="A863" s="5"/>
      <c r="B863" s="5" t="s">
        <v>304</v>
      </c>
      <c r="C863" s="5"/>
      <c r="D863" s="5" t="s">
        <v>10</v>
      </c>
      <c r="E863" s="15">
        <f>0.558</f>
        <v>0.55800000000000005</v>
      </c>
      <c r="F863" s="15"/>
      <c r="G863" s="15"/>
    </row>
    <row r="864" spans="1:126" x14ac:dyDescent="0.3">
      <c r="A864" s="5"/>
      <c r="B864" s="5" t="s">
        <v>220</v>
      </c>
      <c r="C864" s="5"/>
      <c r="D864" s="5" t="s">
        <v>72</v>
      </c>
      <c r="E864" s="15">
        <f>80.6*4.5</f>
        <v>362.7</v>
      </c>
      <c r="F864" s="15"/>
      <c r="G864" s="15"/>
    </row>
    <row r="865" spans="1:126" x14ac:dyDescent="0.3">
      <c r="A865" s="21"/>
      <c r="B865" s="21" t="s">
        <v>164</v>
      </c>
      <c r="C865" s="21"/>
      <c r="D865" s="21"/>
      <c r="E865" s="22"/>
      <c r="F865" s="22"/>
      <c r="G865" s="22"/>
    </row>
    <row r="866" spans="1:126" x14ac:dyDescent="0.3">
      <c r="A866" s="5"/>
      <c r="B866" s="11" t="s">
        <v>305</v>
      </c>
      <c r="C866" s="5"/>
      <c r="D866" s="5" t="s">
        <v>8</v>
      </c>
      <c r="E866" s="15">
        <f>(394.32+108.12+15.04)/1000</f>
        <v>0.51748000000000005</v>
      </c>
      <c r="F866" s="15"/>
      <c r="G866" s="15"/>
    </row>
    <row r="867" spans="1:126" x14ac:dyDescent="0.3">
      <c r="A867" s="21"/>
      <c r="B867" s="21" t="s">
        <v>163</v>
      </c>
      <c r="C867" s="21"/>
      <c r="D867" s="21" t="s">
        <v>69</v>
      </c>
      <c r="E867" s="22">
        <f>19.7</f>
        <v>19.7</v>
      </c>
      <c r="F867" s="22"/>
      <c r="G867" s="22"/>
    </row>
    <row r="868" spans="1:126" x14ac:dyDescent="0.3">
      <c r="A868" s="5"/>
      <c r="B868" s="5" t="s">
        <v>153</v>
      </c>
      <c r="C868" s="5"/>
      <c r="D868" s="5" t="s">
        <v>72</v>
      </c>
      <c r="E868" s="15">
        <v>15.527539999999998</v>
      </c>
      <c r="F868" s="15"/>
      <c r="G868" s="15"/>
    </row>
    <row r="869" spans="1:126" x14ac:dyDescent="0.3">
      <c r="A869" s="5"/>
      <c r="B869" s="5" t="s">
        <v>154</v>
      </c>
      <c r="C869" s="5"/>
      <c r="D869" s="5" t="s">
        <v>72</v>
      </c>
      <c r="E869" s="15">
        <v>8.2464199999999988</v>
      </c>
      <c r="F869" s="15"/>
      <c r="G869" s="15"/>
    </row>
    <row r="870" spans="1:126" x14ac:dyDescent="0.3">
      <c r="A870" s="5"/>
      <c r="B870" s="5" t="s">
        <v>155</v>
      </c>
      <c r="C870" s="5"/>
      <c r="D870" s="5" t="s">
        <v>72</v>
      </c>
      <c r="E870" s="15">
        <v>2.3773959999999996</v>
      </c>
      <c r="F870" s="15"/>
      <c r="G870" s="15"/>
    </row>
    <row r="871" spans="1:126" s="7" customFormat="1" x14ac:dyDescent="0.3">
      <c r="A871" s="6"/>
      <c r="B871" s="6" t="s">
        <v>306</v>
      </c>
      <c r="C871" s="6"/>
      <c r="D871" s="6"/>
      <c r="E871" s="13"/>
      <c r="F871" s="13"/>
      <c r="G871" s="13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59"/>
      <c r="AU871" s="59"/>
      <c r="AV871" s="59"/>
      <c r="AW871" s="59"/>
      <c r="AX871" s="59"/>
      <c r="AY871" s="59"/>
      <c r="AZ871" s="59"/>
      <c r="BA871" s="59"/>
      <c r="BB871" s="59"/>
      <c r="BC871" s="59"/>
      <c r="BD871" s="59"/>
      <c r="BE871" s="59"/>
      <c r="BF871" s="59"/>
      <c r="BG871" s="59"/>
      <c r="BH871" s="59"/>
      <c r="BI871" s="59"/>
      <c r="BJ871" s="59"/>
      <c r="BK871" s="59"/>
      <c r="BL871" s="59"/>
      <c r="BM871" s="59"/>
      <c r="BN871" s="59"/>
      <c r="BO871" s="59"/>
      <c r="BP871" s="59"/>
      <c r="BQ871" s="59"/>
      <c r="BR871" s="59"/>
      <c r="BS871" s="59"/>
      <c r="BT871" s="59"/>
      <c r="BU871" s="59"/>
      <c r="BV871" s="59"/>
      <c r="BW871" s="59"/>
      <c r="BX871" s="59"/>
      <c r="BY871" s="59"/>
      <c r="BZ871" s="59"/>
      <c r="CA871" s="59"/>
      <c r="CB871" s="59"/>
      <c r="CC871" s="59"/>
      <c r="CD871" s="59"/>
      <c r="CE871" s="59"/>
      <c r="CF871" s="59"/>
      <c r="CG871" s="59"/>
      <c r="CH871" s="59"/>
      <c r="CI871" s="59"/>
      <c r="CJ871" s="59"/>
      <c r="CK871" s="59"/>
      <c r="CL871" s="59"/>
      <c r="CM871" s="59"/>
      <c r="CN871" s="59"/>
      <c r="CO871" s="59"/>
      <c r="CP871" s="59"/>
      <c r="CQ871" s="59"/>
      <c r="CR871" s="59"/>
      <c r="CS871" s="59"/>
      <c r="CT871" s="59"/>
      <c r="CU871" s="59"/>
      <c r="CV871" s="59"/>
      <c r="CW871" s="59"/>
      <c r="CX871" s="59"/>
      <c r="CY871" s="59"/>
      <c r="CZ871" s="59"/>
      <c r="DA871" s="59"/>
      <c r="DB871" s="59"/>
      <c r="DC871" s="59"/>
      <c r="DD871" s="59"/>
      <c r="DE871" s="59"/>
      <c r="DF871" s="59"/>
      <c r="DG871" s="59"/>
      <c r="DH871" s="59"/>
      <c r="DI871" s="59"/>
      <c r="DJ871" s="59"/>
      <c r="DK871" s="59"/>
      <c r="DL871" s="59"/>
      <c r="DM871" s="59"/>
      <c r="DN871" s="59"/>
      <c r="DO871" s="59"/>
      <c r="DP871" s="59"/>
      <c r="DQ871" s="59"/>
      <c r="DR871" s="59"/>
      <c r="DS871" s="59"/>
      <c r="DT871" s="59"/>
      <c r="DU871" s="59"/>
      <c r="DV871" s="59"/>
    </row>
    <row r="872" spans="1:126" s="25" customFormat="1" x14ac:dyDescent="0.3">
      <c r="A872" s="23"/>
      <c r="B872" s="23" t="s">
        <v>307</v>
      </c>
      <c r="C872" s="23"/>
      <c r="D872" s="23"/>
      <c r="E872" s="24"/>
      <c r="F872" s="24"/>
      <c r="G872" s="24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9"/>
      <c r="AM872" s="59"/>
      <c r="AN872" s="59"/>
      <c r="AO872" s="59"/>
      <c r="AP872" s="59"/>
      <c r="AQ872" s="59"/>
      <c r="AR872" s="59"/>
      <c r="AS872" s="59"/>
      <c r="AT872" s="59"/>
      <c r="AU872" s="59"/>
      <c r="AV872" s="59"/>
      <c r="AW872" s="59"/>
      <c r="AX872" s="59"/>
      <c r="AY872" s="59"/>
      <c r="AZ872" s="59"/>
      <c r="BA872" s="59"/>
      <c r="BB872" s="59"/>
      <c r="BC872" s="59"/>
      <c r="BD872" s="59"/>
      <c r="BE872" s="59"/>
      <c r="BF872" s="59"/>
      <c r="BG872" s="59"/>
      <c r="BH872" s="59"/>
      <c r="BI872" s="59"/>
      <c r="BJ872" s="59"/>
      <c r="BK872" s="59"/>
      <c r="BL872" s="59"/>
      <c r="BM872" s="59"/>
      <c r="BN872" s="59"/>
      <c r="BO872" s="59"/>
      <c r="BP872" s="59"/>
      <c r="BQ872" s="59"/>
      <c r="BR872" s="59"/>
      <c r="BS872" s="59"/>
      <c r="BT872" s="59"/>
      <c r="BU872" s="59"/>
      <c r="BV872" s="59"/>
      <c r="BW872" s="59"/>
      <c r="BX872" s="59"/>
      <c r="BY872" s="59"/>
      <c r="BZ872" s="59"/>
      <c r="CA872" s="59"/>
      <c r="CB872" s="59"/>
      <c r="CC872" s="59"/>
      <c r="CD872" s="59"/>
      <c r="CE872" s="59"/>
      <c r="CF872" s="59"/>
      <c r="CG872" s="59"/>
      <c r="CH872" s="59"/>
      <c r="CI872" s="59"/>
      <c r="CJ872" s="59"/>
      <c r="CK872" s="59"/>
      <c r="CL872" s="59"/>
      <c r="CM872" s="59"/>
      <c r="CN872" s="59"/>
      <c r="CO872" s="59"/>
      <c r="CP872" s="59"/>
      <c r="CQ872" s="59"/>
      <c r="CR872" s="59"/>
      <c r="CS872" s="59"/>
      <c r="CT872" s="59"/>
      <c r="CU872" s="59"/>
      <c r="CV872" s="59"/>
      <c r="CW872" s="59"/>
      <c r="CX872" s="59"/>
      <c r="CY872" s="59"/>
      <c r="CZ872" s="59"/>
      <c r="DA872" s="59"/>
      <c r="DB872" s="59"/>
      <c r="DC872" s="59"/>
      <c r="DD872" s="59"/>
      <c r="DE872" s="59"/>
      <c r="DF872" s="59"/>
      <c r="DG872" s="59"/>
      <c r="DH872" s="59"/>
      <c r="DI872" s="59"/>
      <c r="DJ872" s="59"/>
      <c r="DK872" s="59"/>
      <c r="DL872" s="59"/>
      <c r="DM872" s="59"/>
      <c r="DN872" s="59"/>
      <c r="DO872" s="59"/>
      <c r="DP872" s="59"/>
      <c r="DQ872" s="59"/>
      <c r="DR872" s="59"/>
      <c r="DS872" s="59"/>
      <c r="DT872" s="59"/>
      <c r="DU872" s="59"/>
      <c r="DV872" s="59"/>
    </row>
    <row r="873" spans="1:126" s="3" customFormat="1" x14ac:dyDescent="0.3">
      <c r="A873" s="21"/>
      <c r="B873" s="21" t="s">
        <v>186</v>
      </c>
      <c r="C873" s="21"/>
      <c r="D873" s="21" t="s">
        <v>14</v>
      </c>
      <c r="E873" s="22">
        <v>20</v>
      </c>
      <c r="F873" s="22"/>
      <c r="G873" s="22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59"/>
      <c r="AU873" s="59"/>
      <c r="AV873" s="59"/>
      <c r="AW873" s="59"/>
      <c r="AX873" s="59"/>
      <c r="AY873" s="59"/>
      <c r="AZ873" s="59"/>
      <c r="BA873" s="59"/>
      <c r="BB873" s="59"/>
      <c r="BC873" s="59"/>
      <c r="BD873" s="59"/>
      <c r="BE873" s="59"/>
      <c r="BF873" s="59"/>
      <c r="BG873" s="59"/>
      <c r="BH873" s="59"/>
      <c r="BI873" s="59"/>
      <c r="BJ873" s="59"/>
      <c r="BK873" s="59"/>
      <c r="BL873" s="59"/>
      <c r="BM873" s="59"/>
      <c r="BN873" s="59"/>
      <c r="BO873" s="59"/>
      <c r="BP873" s="59"/>
      <c r="BQ873" s="59"/>
      <c r="BR873" s="59"/>
      <c r="BS873" s="59"/>
      <c r="BT873" s="59"/>
      <c r="BU873" s="59"/>
      <c r="BV873" s="59"/>
      <c r="BW873" s="59"/>
      <c r="BX873" s="59"/>
      <c r="BY873" s="59"/>
      <c r="BZ873" s="59"/>
      <c r="CA873" s="59"/>
      <c r="CB873" s="59"/>
      <c r="CC873" s="59"/>
      <c r="CD873" s="59"/>
      <c r="CE873" s="59"/>
      <c r="CF873" s="59"/>
      <c r="CG873" s="59"/>
      <c r="CH873" s="59"/>
      <c r="CI873" s="59"/>
      <c r="CJ873" s="59"/>
      <c r="CK873" s="59"/>
      <c r="CL873" s="59"/>
      <c r="CM873" s="59"/>
      <c r="CN873" s="59"/>
      <c r="CO873" s="59"/>
      <c r="CP873" s="59"/>
      <c r="CQ873" s="59"/>
      <c r="CR873" s="59"/>
      <c r="CS873" s="59"/>
      <c r="CT873" s="59"/>
      <c r="CU873" s="59"/>
      <c r="CV873" s="59"/>
      <c r="CW873" s="59"/>
      <c r="CX873" s="59"/>
      <c r="CY873" s="59"/>
      <c r="CZ873" s="59"/>
      <c r="DA873" s="59"/>
      <c r="DB873" s="59"/>
      <c r="DC873" s="59"/>
      <c r="DD873" s="59"/>
      <c r="DE873" s="59"/>
      <c r="DF873" s="59"/>
      <c r="DG873" s="59"/>
      <c r="DH873" s="59"/>
      <c r="DI873" s="59"/>
      <c r="DJ873" s="59"/>
      <c r="DK873" s="59"/>
      <c r="DL873" s="59"/>
      <c r="DM873" s="59"/>
      <c r="DN873" s="59"/>
      <c r="DO873" s="59"/>
      <c r="DP873" s="59"/>
      <c r="DQ873" s="59"/>
      <c r="DR873" s="59"/>
      <c r="DS873" s="59"/>
      <c r="DT873" s="59"/>
      <c r="DU873" s="59"/>
      <c r="DV873" s="59"/>
    </row>
    <row r="874" spans="1:126" x14ac:dyDescent="0.3">
      <c r="A874" s="5"/>
      <c r="B874" s="5" t="s">
        <v>122</v>
      </c>
      <c r="C874" s="5"/>
      <c r="D874" s="5" t="s">
        <v>10</v>
      </c>
      <c r="E874" s="15">
        <f>1010.8</f>
        <v>1010.8</v>
      </c>
      <c r="F874" s="15"/>
      <c r="G874" s="15"/>
    </row>
    <row r="875" spans="1:126" x14ac:dyDescent="0.3">
      <c r="A875" s="5"/>
      <c r="B875" s="5" t="s">
        <v>123</v>
      </c>
      <c r="C875" s="5"/>
      <c r="D875" s="5" t="s">
        <v>8</v>
      </c>
      <c r="E875" s="15">
        <f>217.9</f>
        <v>217.9</v>
      </c>
      <c r="F875" s="15"/>
      <c r="G875" s="15"/>
    </row>
    <row r="876" spans="1:126" x14ac:dyDescent="0.3">
      <c r="A876" s="5"/>
      <c r="B876" s="5" t="s">
        <v>124</v>
      </c>
      <c r="C876" s="5"/>
      <c r="D876" s="5" t="s">
        <v>8</v>
      </c>
      <c r="E876" s="15">
        <f>1.7</f>
        <v>1.7</v>
      </c>
      <c r="F876" s="15"/>
      <c r="G876" s="15"/>
    </row>
    <row r="877" spans="1:126" x14ac:dyDescent="0.3">
      <c r="A877" s="5"/>
      <c r="B877" s="5" t="s">
        <v>205</v>
      </c>
      <c r="C877" s="5"/>
      <c r="D877" s="5" t="s">
        <v>8</v>
      </c>
      <c r="E877" s="15">
        <f>14.7</f>
        <v>14.7</v>
      </c>
      <c r="F877" s="15"/>
      <c r="G877" s="15"/>
    </row>
    <row r="878" spans="1:126" x14ac:dyDescent="0.3">
      <c r="A878" s="5"/>
      <c r="B878" s="5" t="s">
        <v>206</v>
      </c>
      <c r="C878" s="5"/>
      <c r="D878" s="5" t="s">
        <v>8</v>
      </c>
      <c r="E878" s="15">
        <f>12.2</f>
        <v>12.2</v>
      </c>
      <c r="F878" s="15"/>
      <c r="G878" s="15"/>
    </row>
    <row r="879" spans="1:126" x14ac:dyDescent="0.3">
      <c r="A879" s="5"/>
      <c r="B879" s="5" t="s">
        <v>223</v>
      </c>
      <c r="C879" s="5"/>
      <c r="D879" s="5" t="s">
        <v>8</v>
      </c>
      <c r="E879" s="15">
        <f>3.3</f>
        <v>3.3</v>
      </c>
      <c r="F879" s="15"/>
      <c r="G879" s="15"/>
    </row>
    <row r="880" spans="1:126" x14ac:dyDescent="0.3">
      <c r="A880" s="5"/>
      <c r="B880" s="5" t="s">
        <v>209</v>
      </c>
      <c r="C880" s="5"/>
      <c r="D880" s="5" t="s">
        <v>8</v>
      </c>
      <c r="E880" s="15">
        <f>1.3*0.4</f>
        <v>0.52</v>
      </c>
      <c r="F880" s="15"/>
      <c r="G880" s="15"/>
    </row>
    <row r="881" spans="1:126" s="3" customFormat="1" x14ac:dyDescent="0.3">
      <c r="A881" s="21"/>
      <c r="B881" s="21" t="s">
        <v>127</v>
      </c>
      <c r="C881" s="21"/>
      <c r="D881" s="21" t="s">
        <v>14</v>
      </c>
      <c r="E881" s="22">
        <f>1</f>
        <v>1</v>
      </c>
      <c r="F881" s="22"/>
      <c r="G881" s="22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59"/>
      <c r="AU881" s="59"/>
      <c r="AV881" s="59"/>
      <c r="AW881" s="59"/>
      <c r="AX881" s="59"/>
      <c r="AY881" s="59"/>
      <c r="AZ881" s="59"/>
      <c r="BA881" s="59"/>
      <c r="BB881" s="59"/>
      <c r="BC881" s="59"/>
      <c r="BD881" s="59"/>
      <c r="BE881" s="59"/>
      <c r="BF881" s="59"/>
      <c r="BG881" s="59"/>
      <c r="BH881" s="59"/>
      <c r="BI881" s="59"/>
      <c r="BJ881" s="59"/>
      <c r="BK881" s="59"/>
      <c r="BL881" s="59"/>
      <c r="BM881" s="59"/>
      <c r="BN881" s="59"/>
      <c r="BO881" s="59"/>
      <c r="BP881" s="59"/>
      <c r="BQ881" s="59"/>
      <c r="BR881" s="59"/>
      <c r="BS881" s="59"/>
      <c r="BT881" s="59"/>
      <c r="BU881" s="59"/>
      <c r="BV881" s="59"/>
      <c r="BW881" s="59"/>
      <c r="BX881" s="59"/>
      <c r="BY881" s="59"/>
      <c r="BZ881" s="59"/>
      <c r="CA881" s="59"/>
      <c r="CB881" s="59"/>
      <c r="CC881" s="59"/>
      <c r="CD881" s="59"/>
      <c r="CE881" s="59"/>
      <c r="CF881" s="59"/>
      <c r="CG881" s="59"/>
      <c r="CH881" s="59"/>
      <c r="CI881" s="59"/>
      <c r="CJ881" s="59"/>
      <c r="CK881" s="59"/>
      <c r="CL881" s="59"/>
      <c r="CM881" s="59"/>
      <c r="CN881" s="59"/>
      <c r="CO881" s="59"/>
      <c r="CP881" s="59"/>
      <c r="CQ881" s="59"/>
      <c r="CR881" s="59"/>
      <c r="CS881" s="59"/>
      <c r="CT881" s="59"/>
      <c r="CU881" s="59"/>
      <c r="CV881" s="59"/>
      <c r="CW881" s="59"/>
      <c r="CX881" s="59"/>
      <c r="CY881" s="59"/>
      <c r="CZ881" s="59"/>
      <c r="DA881" s="59"/>
      <c r="DB881" s="59"/>
      <c r="DC881" s="59"/>
      <c r="DD881" s="59"/>
      <c r="DE881" s="59"/>
      <c r="DF881" s="59"/>
      <c r="DG881" s="59"/>
      <c r="DH881" s="59"/>
      <c r="DI881" s="59"/>
      <c r="DJ881" s="59"/>
      <c r="DK881" s="59"/>
      <c r="DL881" s="59"/>
      <c r="DM881" s="59"/>
      <c r="DN881" s="59"/>
      <c r="DO881" s="59"/>
      <c r="DP881" s="59"/>
      <c r="DQ881" s="59"/>
      <c r="DR881" s="59"/>
      <c r="DS881" s="59"/>
      <c r="DT881" s="59"/>
      <c r="DU881" s="59"/>
      <c r="DV881" s="59"/>
    </row>
    <row r="882" spans="1:126" x14ac:dyDescent="0.3">
      <c r="A882" s="5"/>
      <c r="B882" s="5" t="s">
        <v>308</v>
      </c>
      <c r="C882" s="5"/>
      <c r="D882" s="5" t="s">
        <v>10</v>
      </c>
      <c r="E882" s="15">
        <f>14.4</f>
        <v>14.4</v>
      </c>
      <c r="F882" s="15"/>
      <c r="G882" s="15"/>
    </row>
    <row r="883" spans="1:126" x14ac:dyDescent="0.3">
      <c r="A883" s="5"/>
      <c r="B883" s="5" t="s">
        <v>213</v>
      </c>
      <c r="C883" s="5"/>
      <c r="D883" s="5" t="s">
        <v>10</v>
      </c>
      <c r="E883" s="15">
        <f>457.7</f>
        <v>457.7</v>
      </c>
      <c r="F883" s="15"/>
      <c r="G883" s="15"/>
    </row>
    <row r="884" spans="1:126" x14ac:dyDescent="0.3">
      <c r="A884" s="5"/>
      <c r="B884" s="5" t="s">
        <v>129</v>
      </c>
      <c r="C884" s="5"/>
      <c r="D884" s="5" t="s">
        <v>8</v>
      </c>
      <c r="E884" s="15">
        <f>36.1</f>
        <v>36.1</v>
      </c>
      <c r="F884" s="15"/>
      <c r="G884" s="15"/>
    </row>
    <row r="885" spans="1:126" x14ac:dyDescent="0.3">
      <c r="A885" s="5"/>
      <c r="B885" s="5" t="s">
        <v>131</v>
      </c>
      <c r="C885" s="5"/>
      <c r="D885" s="5" t="s">
        <v>8</v>
      </c>
      <c r="E885" s="15">
        <f>14.7</f>
        <v>14.7</v>
      </c>
      <c r="F885" s="15"/>
      <c r="G885" s="15"/>
    </row>
    <row r="886" spans="1:126" x14ac:dyDescent="0.3">
      <c r="A886" s="5"/>
      <c r="B886" s="5" t="s">
        <v>124</v>
      </c>
      <c r="C886" s="5"/>
      <c r="D886" s="5" t="s">
        <v>8</v>
      </c>
      <c r="E886" s="15">
        <f>10.2</f>
        <v>10.199999999999999</v>
      </c>
      <c r="F886" s="15"/>
      <c r="G886" s="15"/>
    </row>
    <row r="887" spans="1:126" x14ac:dyDescent="0.3">
      <c r="A887" s="5"/>
      <c r="B887" s="5" t="s">
        <v>205</v>
      </c>
      <c r="C887" s="5"/>
      <c r="D887" s="5" t="s">
        <v>8</v>
      </c>
      <c r="E887" s="15">
        <f>1</f>
        <v>1</v>
      </c>
      <c r="F887" s="15"/>
      <c r="G887" s="15"/>
    </row>
    <row r="888" spans="1:126" x14ac:dyDescent="0.3">
      <c r="A888" s="5"/>
      <c r="B888" s="5" t="s">
        <v>211</v>
      </c>
      <c r="C888" s="5"/>
      <c r="D888" s="5" t="s">
        <v>8</v>
      </c>
      <c r="E888" s="15">
        <f>0.4</f>
        <v>0.4</v>
      </c>
      <c r="F888" s="15"/>
      <c r="G888" s="15"/>
    </row>
    <row r="889" spans="1:126" x14ac:dyDescent="0.3">
      <c r="A889" s="21"/>
      <c r="B889" s="21" t="s">
        <v>134</v>
      </c>
      <c r="C889" s="21"/>
      <c r="D889" s="21" t="s">
        <v>14</v>
      </c>
      <c r="E889" s="22">
        <f>60</f>
        <v>60</v>
      </c>
      <c r="F889" s="22"/>
      <c r="G889" s="22"/>
    </row>
    <row r="890" spans="1:126" x14ac:dyDescent="0.3">
      <c r="A890" s="5"/>
      <c r="B890" s="5" t="s">
        <v>135</v>
      </c>
      <c r="C890" s="5"/>
      <c r="D890" s="5" t="s">
        <v>10</v>
      </c>
      <c r="E890" s="15">
        <f>63.6</f>
        <v>63.6</v>
      </c>
      <c r="F890" s="15"/>
      <c r="G890" s="15"/>
    </row>
    <row r="891" spans="1:126" x14ac:dyDescent="0.3">
      <c r="A891" s="5"/>
      <c r="B891" s="5" t="s">
        <v>136</v>
      </c>
      <c r="C891" s="5"/>
      <c r="D891" s="5" t="s">
        <v>8</v>
      </c>
      <c r="E891" s="15">
        <f>1.9/66*60</f>
        <v>1.7272727272727271</v>
      </c>
      <c r="F891" s="15"/>
      <c r="G891" s="15"/>
    </row>
    <row r="892" spans="1:126" x14ac:dyDescent="0.3">
      <c r="A892" s="5"/>
      <c r="B892" s="5" t="s">
        <v>137</v>
      </c>
      <c r="C892" s="5"/>
      <c r="D892" s="5" t="s">
        <v>8</v>
      </c>
      <c r="E892" s="15">
        <f>1.4/66*60</f>
        <v>1.2727272727272725</v>
      </c>
      <c r="F892" s="15"/>
      <c r="G892" s="15"/>
    </row>
    <row r="893" spans="1:126" x14ac:dyDescent="0.3">
      <c r="A893" s="5"/>
      <c r="B893" s="5" t="s">
        <v>138</v>
      </c>
      <c r="C893" s="5"/>
      <c r="D893" s="5" t="s">
        <v>8</v>
      </c>
      <c r="E893" s="15">
        <f>0.8/66*60</f>
        <v>0.72727272727272729</v>
      </c>
      <c r="F893" s="15"/>
      <c r="G893" s="15"/>
    </row>
    <row r="894" spans="1:126" x14ac:dyDescent="0.3">
      <c r="A894" s="5"/>
      <c r="B894" s="5" t="s">
        <v>139</v>
      </c>
      <c r="C894" s="5"/>
      <c r="D894" s="5" t="s">
        <v>8</v>
      </c>
      <c r="E894" s="15">
        <f>1.3</f>
        <v>1.3</v>
      </c>
      <c r="F894" s="15"/>
      <c r="G894" s="15"/>
    </row>
    <row r="895" spans="1:126" x14ac:dyDescent="0.3">
      <c r="A895" s="21"/>
      <c r="B895" s="21" t="s">
        <v>140</v>
      </c>
      <c r="C895" s="21"/>
      <c r="D895" s="21" t="s">
        <v>10</v>
      </c>
      <c r="E895" s="22">
        <f>124.9</f>
        <v>124.9</v>
      </c>
      <c r="F895" s="22"/>
      <c r="G895" s="22"/>
    </row>
    <row r="896" spans="1:126" x14ac:dyDescent="0.3">
      <c r="A896" s="5"/>
      <c r="B896" s="5" t="s">
        <v>141</v>
      </c>
      <c r="C896" s="5"/>
      <c r="D896" s="5" t="s">
        <v>10</v>
      </c>
      <c r="E896" s="15">
        <f>124.9</f>
        <v>124.9</v>
      </c>
      <c r="F896" s="15"/>
      <c r="G896" s="15"/>
    </row>
    <row r="897" spans="1:126" x14ac:dyDescent="0.3">
      <c r="A897" s="5"/>
      <c r="B897" s="5" t="s">
        <v>123</v>
      </c>
      <c r="C897" s="5"/>
      <c r="D897" s="5" t="s">
        <v>8</v>
      </c>
      <c r="E897" s="15">
        <f>46.7</f>
        <v>46.7</v>
      </c>
      <c r="F897" s="15"/>
      <c r="G897" s="15"/>
    </row>
    <row r="898" spans="1:126" x14ac:dyDescent="0.3">
      <c r="A898" s="5"/>
      <c r="B898" s="5" t="s">
        <v>131</v>
      </c>
      <c r="C898" s="5"/>
      <c r="D898" s="5" t="s">
        <v>8</v>
      </c>
      <c r="E898" s="15">
        <f>2.9</f>
        <v>2.9</v>
      </c>
      <c r="F898" s="15"/>
      <c r="G898" s="15"/>
    </row>
    <row r="899" spans="1:126" x14ac:dyDescent="0.3">
      <c r="A899" s="5"/>
      <c r="B899" s="5" t="s">
        <v>124</v>
      </c>
      <c r="C899" s="5"/>
      <c r="D899" s="5" t="s">
        <v>8</v>
      </c>
      <c r="E899" s="15">
        <f>0.7</f>
        <v>0.7</v>
      </c>
      <c r="F899" s="15"/>
      <c r="G899" s="15"/>
    </row>
    <row r="900" spans="1:126" x14ac:dyDescent="0.3">
      <c r="A900" s="5"/>
      <c r="B900" s="5" t="s">
        <v>205</v>
      </c>
      <c r="C900" s="5"/>
      <c r="D900" s="5" t="s">
        <v>8</v>
      </c>
      <c r="E900" s="15">
        <f>1.7</f>
        <v>1.7</v>
      </c>
      <c r="F900" s="15"/>
      <c r="G900" s="15"/>
    </row>
    <row r="901" spans="1:126" ht="31.2" x14ac:dyDescent="0.3">
      <c r="A901" s="5"/>
      <c r="B901" s="11" t="s">
        <v>143</v>
      </c>
      <c r="C901" s="5"/>
      <c r="D901" s="5" t="s">
        <v>14</v>
      </c>
      <c r="E901" s="15">
        <f>240</f>
        <v>240</v>
      </c>
      <c r="F901" s="15"/>
      <c r="G901" s="15"/>
    </row>
    <row r="902" spans="1:126" x14ac:dyDescent="0.3">
      <c r="A902" s="21"/>
      <c r="B902" s="21" t="s">
        <v>144</v>
      </c>
      <c r="C902" s="21"/>
      <c r="D902" s="21" t="s">
        <v>14</v>
      </c>
      <c r="E902" s="22">
        <f>1</f>
        <v>1</v>
      </c>
      <c r="F902" s="22"/>
      <c r="G902" s="22"/>
    </row>
    <row r="903" spans="1:126" x14ac:dyDescent="0.3">
      <c r="A903" s="5"/>
      <c r="B903" s="5" t="s">
        <v>145</v>
      </c>
      <c r="C903" s="5"/>
      <c r="D903" s="5" t="s">
        <v>10</v>
      </c>
      <c r="E903" s="15">
        <f>90.2</f>
        <v>90.2</v>
      </c>
      <c r="F903" s="15"/>
      <c r="G903" s="15"/>
    </row>
    <row r="904" spans="1:126" x14ac:dyDescent="0.3">
      <c r="A904" s="5"/>
      <c r="B904" s="5" t="s">
        <v>129</v>
      </c>
      <c r="C904" s="5"/>
      <c r="D904" s="5" t="s">
        <v>8</v>
      </c>
      <c r="E904" s="15">
        <f>2.9</f>
        <v>2.9</v>
      </c>
      <c r="F904" s="15"/>
      <c r="G904" s="15"/>
    </row>
    <row r="905" spans="1:126" x14ac:dyDescent="0.3">
      <c r="A905" s="5"/>
      <c r="B905" s="5" t="s">
        <v>131</v>
      </c>
      <c r="C905" s="5"/>
      <c r="D905" s="5" t="s">
        <v>8</v>
      </c>
      <c r="E905" s="15">
        <f>2</f>
        <v>2</v>
      </c>
      <c r="F905" s="15"/>
      <c r="G905" s="15"/>
    </row>
    <row r="906" spans="1:126" x14ac:dyDescent="0.3">
      <c r="A906" s="5"/>
      <c r="B906" s="5" t="s">
        <v>142</v>
      </c>
      <c r="C906" s="5"/>
      <c r="D906" s="5" t="s">
        <v>8</v>
      </c>
      <c r="E906" s="15">
        <f>2.7</f>
        <v>2.7</v>
      </c>
      <c r="F906" s="15"/>
      <c r="G906" s="15"/>
    </row>
    <row r="907" spans="1:126" x14ac:dyDescent="0.3">
      <c r="A907" s="21"/>
      <c r="B907" s="21" t="s">
        <v>171</v>
      </c>
      <c r="C907" s="21"/>
      <c r="D907" s="21" t="s">
        <v>14</v>
      </c>
      <c r="E907" s="22">
        <f>2</f>
        <v>2</v>
      </c>
      <c r="F907" s="22"/>
      <c r="G907" s="22"/>
    </row>
    <row r="908" spans="1:126" x14ac:dyDescent="0.3">
      <c r="A908" s="5"/>
      <c r="B908" s="5" t="s">
        <v>145</v>
      </c>
      <c r="C908" s="5"/>
      <c r="D908" s="5" t="s">
        <v>10</v>
      </c>
      <c r="E908" s="15">
        <f>2.4</f>
        <v>2.4</v>
      </c>
      <c r="F908" s="15"/>
      <c r="G908" s="15"/>
    </row>
    <row r="909" spans="1:126" x14ac:dyDescent="0.3">
      <c r="A909" s="5"/>
      <c r="B909" s="5" t="s">
        <v>142</v>
      </c>
      <c r="C909" s="5"/>
      <c r="D909" s="5" t="s">
        <v>8</v>
      </c>
      <c r="E909" s="15">
        <f>0.4</f>
        <v>0.4</v>
      </c>
      <c r="F909" s="15"/>
      <c r="G909" s="15"/>
    </row>
    <row r="910" spans="1:126" x14ac:dyDescent="0.3">
      <c r="A910" s="21"/>
      <c r="B910" s="21" t="s">
        <v>219</v>
      </c>
      <c r="C910" s="21"/>
      <c r="D910" s="21" t="s">
        <v>69</v>
      </c>
      <c r="E910" s="22">
        <f>351.6</f>
        <v>351.6</v>
      </c>
      <c r="F910" s="22"/>
      <c r="G910" s="22"/>
    </row>
    <row r="911" spans="1:126" x14ac:dyDescent="0.3">
      <c r="A911" s="5"/>
      <c r="B911" s="5" t="s">
        <v>220</v>
      </c>
      <c r="C911" s="5"/>
      <c r="D911" s="5" t="s">
        <v>72</v>
      </c>
      <c r="E911" s="15">
        <v>1582.2</v>
      </c>
      <c r="F911" s="15"/>
      <c r="G911" s="15"/>
    </row>
    <row r="912" spans="1:126" s="25" customFormat="1" x14ac:dyDescent="0.3">
      <c r="A912" s="23"/>
      <c r="B912" s="23" t="s">
        <v>309</v>
      </c>
      <c r="C912" s="23"/>
      <c r="D912" s="23"/>
      <c r="E912" s="24"/>
      <c r="F912" s="24"/>
      <c r="G912" s="24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9"/>
      <c r="AM912" s="59"/>
      <c r="AN912" s="59"/>
      <c r="AO912" s="59"/>
      <c r="AP912" s="59"/>
      <c r="AQ912" s="59"/>
      <c r="AR912" s="59"/>
      <c r="AS912" s="59"/>
      <c r="AT912" s="59"/>
      <c r="AU912" s="59"/>
      <c r="AV912" s="59"/>
      <c r="AW912" s="59"/>
      <c r="AX912" s="59"/>
      <c r="AY912" s="59"/>
      <c r="AZ912" s="59"/>
      <c r="BA912" s="59"/>
      <c r="BB912" s="59"/>
      <c r="BC912" s="59"/>
      <c r="BD912" s="59"/>
      <c r="BE912" s="59"/>
      <c r="BF912" s="59"/>
      <c r="BG912" s="59"/>
      <c r="BH912" s="59"/>
      <c r="BI912" s="59"/>
      <c r="BJ912" s="59"/>
      <c r="BK912" s="59"/>
      <c r="BL912" s="59"/>
      <c r="BM912" s="59"/>
      <c r="BN912" s="59"/>
      <c r="BO912" s="59"/>
      <c r="BP912" s="59"/>
      <c r="BQ912" s="59"/>
      <c r="BR912" s="59"/>
      <c r="BS912" s="59"/>
      <c r="BT912" s="59"/>
      <c r="BU912" s="59"/>
      <c r="BV912" s="59"/>
      <c r="BW912" s="59"/>
      <c r="BX912" s="59"/>
      <c r="BY912" s="59"/>
      <c r="BZ912" s="59"/>
      <c r="CA912" s="59"/>
      <c r="CB912" s="59"/>
      <c r="CC912" s="59"/>
      <c r="CD912" s="59"/>
      <c r="CE912" s="59"/>
      <c r="CF912" s="59"/>
      <c r="CG912" s="59"/>
      <c r="CH912" s="59"/>
      <c r="CI912" s="59"/>
      <c r="CJ912" s="59"/>
      <c r="CK912" s="59"/>
      <c r="CL912" s="59"/>
      <c r="CM912" s="59"/>
      <c r="CN912" s="59"/>
      <c r="CO912" s="59"/>
      <c r="CP912" s="59"/>
      <c r="CQ912" s="59"/>
      <c r="CR912" s="59"/>
      <c r="CS912" s="59"/>
      <c r="CT912" s="59"/>
      <c r="CU912" s="59"/>
      <c r="CV912" s="59"/>
      <c r="CW912" s="59"/>
      <c r="CX912" s="59"/>
      <c r="CY912" s="59"/>
      <c r="CZ912" s="59"/>
      <c r="DA912" s="59"/>
      <c r="DB912" s="59"/>
      <c r="DC912" s="59"/>
      <c r="DD912" s="59"/>
      <c r="DE912" s="59"/>
      <c r="DF912" s="59"/>
      <c r="DG912" s="59"/>
      <c r="DH912" s="59"/>
      <c r="DI912" s="59"/>
      <c r="DJ912" s="59"/>
      <c r="DK912" s="59"/>
      <c r="DL912" s="59"/>
      <c r="DM912" s="59"/>
      <c r="DN912" s="59"/>
      <c r="DO912" s="59"/>
      <c r="DP912" s="59"/>
      <c r="DQ912" s="59"/>
      <c r="DR912" s="59"/>
      <c r="DS912" s="59"/>
      <c r="DT912" s="59"/>
      <c r="DU912" s="59"/>
      <c r="DV912" s="59"/>
    </row>
    <row r="913" spans="1:126" s="3" customFormat="1" x14ac:dyDescent="0.3">
      <c r="A913" s="21"/>
      <c r="B913" s="21" t="s">
        <v>310</v>
      </c>
      <c r="C913" s="21"/>
      <c r="D913" s="21" t="s">
        <v>14</v>
      </c>
      <c r="E913" s="22">
        <v>20</v>
      </c>
      <c r="F913" s="22"/>
      <c r="G913" s="22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9"/>
      <c r="AM913" s="59"/>
      <c r="AN913" s="59"/>
      <c r="AO913" s="59"/>
      <c r="AP913" s="59"/>
      <c r="AQ913" s="59"/>
      <c r="AR913" s="59"/>
      <c r="AS913" s="59"/>
      <c r="AT913" s="59"/>
      <c r="AU913" s="59"/>
      <c r="AV913" s="59"/>
      <c r="AW913" s="59"/>
      <c r="AX913" s="59"/>
      <c r="AY913" s="59"/>
      <c r="AZ913" s="59"/>
      <c r="BA913" s="59"/>
      <c r="BB913" s="59"/>
      <c r="BC913" s="59"/>
      <c r="BD913" s="59"/>
      <c r="BE913" s="59"/>
      <c r="BF913" s="59"/>
      <c r="BG913" s="59"/>
      <c r="BH913" s="59"/>
      <c r="BI913" s="59"/>
      <c r="BJ913" s="59"/>
      <c r="BK913" s="59"/>
      <c r="BL913" s="59"/>
      <c r="BM913" s="59"/>
      <c r="BN913" s="59"/>
      <c r="BO913" s="59"/>
      <c r="BP913" s="59"/>
      <c r="BQ913" s="59"/>
      <c r="BR913" s="59"/>
      <c r="BS913" s="59"/>
      <c r="BT913" s="59"/>
      <c r="BU913" s="59"/>
      <c r="BV913" s="59"/>
      <c r="BW913" s="59"/>
      <c r="BX913" s="59"/>
      <c r="BY913" s="59"/>
      <c r="BZ913" s="59"/>
      <c r="CA913" s="59"/>
      <c r="CB913" s="59"/>
      <c r="CC913" s="59"/>
      <c r="CD913" s="59"/>
      <c r="CE913" s="59"/>
      <c r="CF913" s="59"/>
      <c r="CG913" s="59"/>
      <c r="CH913" s="59"/>
      <c r="CI913" s="59"/>
      <c r="CJ913" s="59"/>
      <c r="CK913" s="59"/>
      <c r="CL913" s="59"/>
      <c r="CM913" s="59"/>
      <c r="CN913" s="59"/>
      <c r="CO913" s="59"/>
      <c r="CP913" s="59"/>
      <c r="CQ913" s="59"/>
      <c r="CR913" s="59"/>
      <c r="CS913" s="59"/>
      <c r="CT913" s="59"/>
      <c r="CU913" s="59"/>
      <c r="CV913" s="59"/>
      <c r="CW913" s="59"/>
      <c r="CX913" s="59"/>
      <c r="CY913" s="59"/>
      <c r="CZ913" s="59"/>
      <c r="DA913" s="59"/>
      <c r="DB913" s="59"/>
      <c r="DC913" s="59"/>
      <c r="DD913" s="59"/>
      <c r="DE913" s="59"/>
      <c r="DF913" s="59"/>
      <c r="DG913" s="59"/>
      <c r="DH913" s="59"/>
      <c r="DI913" s="59"/>
      <c r="DJ913" s="59"/>
      <c r="DK913" s="59"/>
      <c r="DL913" s="59"/>
      <c r="DM913" s="59"/>
      <c r="DN913" s="59"/>
      <c r="DO913" s="59"/>
      <c r="DP913" s="59"/>
      <c r="DQ913" s="59"/>
      <c r="DR913" s="59"/>
      <c r="DS913" s="59"/>
      <c r="DT913" s="59"/>
      <c r="DU913" s="59"/>
      <c r="DV913" s="59"/>
    </row>
    <row r="914" spans="1:126" x14ac:dyDescent="0.3">
      <c r="A914" s="5"/>
      <c r="B914" s="5" t="s">
        <v>122</v>
      </c>
      <c r="C914" s="5"/>
      <c r="D914" s="5" t="s">
        <v>10</v>
      </c>
      <c r="E914" s="15">
        <f>1081.5</f>
        <v>1081.5</v>
      </c>
      <c r="F914" s="15"/>
      <c r="G914" s="15"/>
    </row>
    <row r="915" spans="1:126" x14ac:dyDescent="0.3">
      <c r="A915" s="5"/>
      <c r="B915" s="5" t="s">
        <v>123</v>
      </c>
      <c r="C915" s="5"/>
      <c r="D915" s="5" t="s">
        <v>8</v>
      </c>
      <c r="E915" s="15">
        <f>233.1</f>
        <v>233.1</v>
      </c>
      <c r="F915" s="15"/>
      <c r="G915" s="15"/>
    </row>
    <row r="916" spans="1:126" x14ac:dyDescent="0.3">
      <c r="A916" s="5"/>
      <c r="B916" s="5" t="s">
        <v>124</v>
      </c>
      <c r="C916" s="5"/>
      <c r="D916" s="5" t="s">
        <v>8</v>
      </c>
      <c r="E916" s="15">
        <f>1.9</f>
        <v>1.9</v>
      </c>
      <c r="F916" s="15"/>
      <c r="G916" s="15"/>
    </row>
    <row r="917" spans="1:126" x14ac:dyDescent="0.3">
      <c r="A917" s="5"/>
      <c r="B917" s="5" t="s">
        <v>205</v>
      </c>
      <c r="C917" s="5"/>
      <c r="D917" s="5" t="s">
        <v>8</v>
      </c>
      <c r="E917" s="15">
        <f>15.8</f>
        <v>15.8</v>
      </c>
      <c r="F917" s="15"/>
      <c r="G917" s="15"/>
    </row>
    <row r="918" spans="1:126" x14ac:dyDescent="0.3">
      <c r="A918" s="5"/>
      <c r="B918" s="5" t="s">
        <v>206</v>
      </c>
      <c r="C918" s="5"/>
      <c r="D918" s="5" t="s">
        <v>8</v>
      </c>
      <c r="E918" s="15">
        <f>13</f>
        <v>13</v>
      </c>
      <c r="F918" s="15"/>
      <c r="G918" s="15"/>
    </row>
    <row r="919" spans="1:126" x14ac:dyDescent="0.3">
      <c r="A919" s="5"/>
      <c r="B919" s="5" t="s">
        <v>223</v>
      </c>
      <c r="C919" s="5"/>
      <c r="D919" s="5" t="s">
        <v>8</v>
      </c>
      <c r="E919" s="15">
        <f>3.5</f>
        <v>3.5</v>
      </c>
      <c r="F919" s="15"/>
      <c r="G919" s="15"/>
    </row>
    <row r="920" spans="1:126" x14ac:dyDescent="0.3">
      <c r="A920" s="5"/>
      <c r="B920" s="5" t="s">
        <v>209</v>
      </c>
      <c r="C920" s="5"/>
      <c r="D920" s="5" t="s">
        <v>8</v>
      </c>
      <c r="E920" s="15">
        <f>1.4*0.4</f>
        <v>0.55999999999999994</v>
      </c>
      <c r="F920" s="15"/>
      <c r="G920" s="15"/>
    </row>
    <row r="921" spans="1:126" s="3" customFormat="1" x14ac:dyDescent="0.3">
      <c r="A921" s="21"/>
      <c r="B921" s="21" t="s">
        <v>127</v>
      </c>
      <c r="C921" s="21"/>
      <c r="D921" s="21" t="s">
        <v>14</v>
      </c>
      <c r="E921" s="22">
        <f>1</f>
        <v>1</v>
      </c>
      <c r="F921" s="22"/>
      <c r="G921" s="22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9"/>
      <c r="AM921" s="59"/>
      <c r="AN921" s="59"/>
      <c r="AO921" s="59"/>
      <c r="AP921" s="59"/>
      <c r="AQ921" s="59"/>
      <c r="AR921" s="59"/>
      <c r="AS921" s="59"/>
      <c r="AT921" s="59"/>
      <c r="AU921" s="59"/>
      <c r="AV921" s="59"/>
      <c r="AW921" s="59"/>
      <c r="AX921" s="59"/>
      <c r="AY921" s="59"/>
      <c r="AZ921" s="59"/>
      <c r="BA921" s="59"/>
      <c r="BB921" s="59"/>
      <c r="BC921" s="59"/>
      <c r="BD921" s="59"/>
      <c r="BE921" s="59"/>
      <c r="BF921" s="59"/>
      <c r="BG921" s="59"/>
      <c r="BH921" s="59"/>
      <c r="BI921" s="59"/>
      <c r="BJ921" s="59"/>
      <c r="BK921" s="59"/>
      <c r="BL921" s="59"/>
      <c r="BM921" s="59"/>
      <c r="BN921" s="59"/>
      <c r="BO921" s="59"/>
      <c r="BP921" s="59"/>
      <c r="BQ921" s="59"/>
      <c r="BR921" s="59"/>
      <c r="BS921" s="59"/>
      <c r="BT921" s="59"/>
      <c r="BU921" s="59"/>
      <c r="BV921" s="59"/>
      <c r="BW921" s="59"/>
      <c r="BX921" s="59"/>
      <c r="BY921" s="59"/>
      <c r="BZ921" s="59"/>
      <c r="CA921" s="59"/>
      <c r="CB921" s="59"/>
      <c r="CC921" s="59"/>
      <c r="CD921" s="59"/>
      <c r="CE921" s="59"/>
      <c r="CF921" s="59"/>
      <c r="CG921" s="59"/>
      <c r="CH921" s="59"/>
      <c r="CI921" s="59"/>
      <c r="CJ921" s="59"/>
      <c r="CK921" s="59"/>
      <c r="CL921" s="59"/>
      <c r="CM921" s="59"/>
      <c r="CN921" s="59"/>
      <c r="CO921" s="59"/>
      <c r="CP921" s="59"/>
      <c r="CQ921" s="59"/>
      <c r="CR921" s="59"/>
      <c r="CS921" s="59"/>
      <c r="CT921" s="59"/>
      <c r="CU921" s="59"/>
      <c r="CV921" s="59"/>
      <c r="CW921" s="59"/>
      <c r="CX921" s="59"/>
      <c r="CY921" s="59"/>
      <c r="CZ921" s="59"/>
      <c r="DA921" s="59"/>
      <c r="DB921" s="59"/>
      <c r="DC921" s="59"/>
      <c r="DD921" s="59"/>
      <c r="DE921" s="59"/>
      <c r="DF921" s="59"/>
      <c r="DG921" s="59"/>
      <c r="DH921" s="59"/>
      <c r="DI921" s="59"/>
      <c r="DJ921" s="59"/>
      <c r="DK921" s="59"/>
      <c r="DL921" s="59"/>
      <c r="DM921" s="59"/>
      <c r="DN921" s="59"/>
      <c r="DO921" s="59"/>
      <c r="DP921" s="59"/>
      <c r="DQ921" s="59"/>
      <c r="DR921" s="59"/>
      <c r="DS921" s="59"/>
      <c r="DT921" s="59"/>
      <c r="DU921" s="59"/>
      <c r="DV921" s="59"/>
    </row>
    <row r="922" spans="1:126" x14ac:dyDescent="0.3">
      <c r="A922" s="5"/>
      <c r="B922" s="5" t="s">
        <v>308</v>
      </c>
      <c r="C922" s="5"/>
      <c r="D922" s="5" t="s">
        <v>10</v>
      </c>
      <c r="E922" s="15">
        <f>14.4</f>
        <v>14.4</v>
      </c>
      <c r="F922" s="15"/>
      <c r="G922" s="15"/>
    </row>
    <row r="923" spans="1:126" x14ac:dyDescent="0.3">
      <c r="A923" s="5"/>
      <c r="B923" s="5" t="s">
        <v>213</v>
      </c>
      <c r="C923" s="5"/>
      <c r="D923" s="5" t="s">
        <v>10</v>
      </c>
      <c r="E923" s="15">
        <f>457.7</f>
        <v>457.7</v>
      </c>
      <c r="F923" s="15"/>
      <c r="G923" s="15"/>
    </row>
    <row r="924" spans="1:126" x14ac:dyDescent="0.3">
      <c r="A924" s="5"/>
      <c r="B924" s="5" t="s">
        <v>129</v>
      </c>
      <c r="C924" s="5"/>
      <c r="D924" s="5" t="s">
        <v>8</v>
      </c>
      <c r="E924" s="15">
        <f>36.1</f>
        <v>36.1</v>
      </c>
      <c r="F924" s="15"/>
      <c r="G924" s="15"/>
    </row>
    <row r="925" spans="1:126" x14ac:dyDescent="0.3">
      <c r="A925" s="5"/>
      <c r="B925" s="5" t="s">
        <v>131</v>
      </c>
      <c r="C925" s="5"/>
      <c r="D925" s="5" t="s">
        <v>8</v>
      </c>
      <c r="E925" s="15">
        <f>14.7</f>
        <v>14.7</v>
      </c>
      <c r="F925" s="15"/>
      <c r="G925" s="15"/>
    </row>
    <row r="926" spans="1:126" x14ac:dyDescent="0.3">
      <c r="A926" s="5"/>
      <c r="B926" s="5" t="s">
        <v>124</v>
      </c>
      <c r="C926" s="5"/>
      <c r="D926" s="5" t="s">
        <v>8</v>
      </c>
      <c r="E926" s="15">
        <f>10.2</f>
        <v>10.199999999999999</v>
      </c>
      <c r="F926" s="15"/>
      <c r="G926" s="15"/>
    </row>
    <row r="927" spans="1:126" x14ac:dyDescent="0.3">
      <c r="A927" s="5"/>
      <c r="B927" s="5" t="s">
        <v>205</v>
      </c>
      <c r="C927" s="5"/>
      <c r="D927" s="5" t="s">
        <v>8</v>
      </c>
      <c r="E927" s="15">
        <f>1</f>
        <v>1</v>
      </c>
      <c r="F927" s="15"/>
      <c r="G927" s="15"/>
    </row>
    <row r="928" spans="1:126" x14ac:dyDescent="0.3">
      <c r="A928" s="5"/>
      <c r="B928" s="5" t="s">
        <v>211</v>
      </c>
      <c r="C928" s="5"/>
      <c r="D928" s="5" t="s">
        <v>8</v>
      </c>
      <c r="E928" s="15">
        <f>0.4</f>
        <v>0.4</v>
      </c>
      <c r="F928" s="15"/>
      <c r="G928" s="15"/>
    </row>
    <row r="929" spans="1:7" x14ac:dyDescent="0.3">
      <c r="A929" s="21"/>
      <c r="B929" s="21" t="s">
        <v>134</v>
      </c>
      <c r="C929" s="21"/>
      <c r="D929" s="21" t="s">
        <v>14</v>
      </c>
      <c r="E929" s="22">
        <f>60</f>
        <v>60</v>
      </c>
      <c r="F929" s="22"/>
      <c r="G929" s="22"/>
    </row>
    <row r="930" spans="1:7" x14ac:dyDescent="0.3">
      <c r="A930" s="5"/>
      <c r="B930" s="5" t="s">
        <v>135</v>
      </c>
      <c r="C930" s="5"/>
      <c r="D930" s="5" t="s">
        <v>10</v>
      </c>
      <c r="E930" s="15">
        <f>63.6</f>
        <v>63.6</v>
      </c>
      <c r="F930" s="15"/>
      <c r="G930" s="15"/>
    </row>
    <row r="931" spans="1:7" x14ac:dyDescent="0.3">
      <c r="A931" s="5"/>
      <c r="B931" s="5" t="s">
        <v>136</v>
      </c>
      <c r="C931" s="5"/>
      <c r="D931" s="5" t="s">
        <v>8</v>
      </c>
      <c r="E931" s="15">
        <f>1.9/66*60</f>
        <v>1.7272727272727271</v>
      </c>
      <c r="F931" s="15"/>
      <c r="G931" s="15"/>
    </row>
    <row r="932" spans="1:7" x14ac:dyDescent="0.3">
      <c r="A932" s="5"/>
      <c r="B932" s="5" t="s">
        <v>137</v>
      </c>
      <c r="C932" s="5"/>
      <c r="D932" s="5" t="s">
        <v>8</v>
      </c>
      <c r="E932" s="15">
        <f>1.4/66*60</f>
        <v>1.2727272727272725</v>
      </c>
      <c r="F932" s="15"/>
      <c r="G932" s="15"/>
    </row>
    <row r="933" spans="1:7" x14ac:dyDescent="0.3">
      <c r="A933" s="5"/>
      <c r="B933" s="5" t="s">
        <v>138</v>
      </c>
      <c r="C933" s="5"/>
      <c r="D933" s="5" t="s">
        <v>8</v>
      </c>
      <c r="E933" s="15">
        <f>0.8/66*60</f>
        <v>0.72727272727272729</v>
      </c>
      <c r="F933" s="15"/>
      <c r="G933" s="15"/>
    </row>
    <row r="934" spans="1:7" x14ac:dyDescent="0.3">
      <c r="A934" s="5"/>
      <c r="B934" s="5" t="s">
        <v>139</v>
      </c>
      <c r="C934" s="5"/>
      <c r="D934" s="5" t="s">
        <v>8</v>
      </c>
      <c r="E934" s="15">
        <f>1.3</f>
        <v>1.3</v>
      </c>
      <c r="F934" s="15"/>
      <c r="G934" s="15"/>
    </row>
    <row r="935" spans="1:7" x14ac:dyDescent="0.3">
      <c r="A935" s="21"/>
      <c r="B935" s="21" t="s">
        <v>140</v>
      </c>
      <c r="C935" s="21"/>
      <c r="D935" s="21" t="s">
        <v>10</v>
      </c>
      <c r="E935" s="22">
        <f>124.9</f>
        <v>124.9</v>
      </c>
      <c r="F935" s="22"/>
      <c r="G935" s="22"/>
    </row>
    <row r="936" spans="1:7" x14ac:dyDescent="0.3">
      <c r="A936" s="5"/>
      <c r="B936" s="5" t="s">
        <v>141</v>
      </c>
      <c r="C936" s="5"/>
      <c r="D936" s="5" t="s">
        <v>10</v>
      </c>
      <c r="E936" s="15">
        <f>124.9</f>
        <v>124.9</v>
      </c>
      <c r="F936" s="15"/>
      <c r="G936" s="15"/>
    </row>
    <row r="937" spans="1:7" x14ac:dyDescent="0.3">
      <c r="A937" s="5"/>
      <c r="B937" s="5" t="s">
        <v>123</v>
      </c>
      <c r="C937" s="5"/>
      <c r="D937" s="5" t="s">
        <v>8</v>
      </c>
      <c r="E937" s="15">
        <f>46.7</f>
        <v>46.7</v>
      </c>
      <c r="F937" s="15"/>
      <c r="G937" s="15"/>
    </row>
    <row r="938" spans="1:7" x14ac:dyDescent="0.3">
      <c r="A938" s="5"/>
      <c r="B938" s="5" t="s">
        <v>131</v>
      </c>
      <c r="C938" s="5"/>
      <c r="D938" s="5" t="s">
        <v>8</v>
      </c>
      <c r="E938" s="15">
        <f>2.9</f>
        <v>2.9</v>
      </c>
      <c r="F938" s="15"/>
      <c r="G938" s="15"/>
    </row>
    <row r="939" spans="1:7" x14ac:dyDescent="0.3">
      <c r="A939" s="5"/>
      <c r="B939" s="5" t="s">
        <v>124</v>
      </c>
      <c r="C939" s="5"/>
      <c r="D939" s="5" t="s">
        <v>8</v>
      </c>
      <c r="E939" s="15">
        <f>0.7</f>
        <v>0.7</v>
      </c>
      <c r="F939" s="15"/>
      <c r="G939" s="15"/>
    </row>
    <row r="940" spans="1:7" x14ac:dyDescent="0.3">
      <c r="A940" s="5"/>
      <c r="B940" s="5" t="s">
        <v>205</v>
      </c>
      <c r="C940" s="5"/>
      <c r="D940" s="5" t="s">
        <v>8</v>
      </c>
      <c r="E940" s="15">
        <f>1.7</f>
        <v>1.7</v>
      </c>
      <c r="F940" s="15"/>
      <c r="G940" s="15"/>
    </row>
    <row r="941" spans="1:7" ht="31.2" x14ac:dyDescent="0.3">
      <c r="A941" s="5"/>
      <c r="B941" s="11" t="s">
        <v>143</v>
      </c>
      <c r="C941" s="5"/>
      <c r="D941" s="5" t="s">
        <v>14</v>
      </c>
      <c r="E941" s="15">
        <f>240</f>
        <v>240</v>
      </c>
      <c r="F941" s="15"/>
      <c r="G941" s="15"/>
    </row>
    <row r="942" spans="1:7" x14ac:dyDescent="0.3">
      <c r="A942" s="21"/>
      <c r="B942" s="21" t="s">
        <v>144</v>
      </c>
      <c r="C942" s="21"/>
      <c r="D942" s="21" t="s">
        <v>14</v>
      </c>
      <c r="E942" s="22">
        <f>1</f>
        <v>1</v>
      </c>
      <c r="F942" s="22"/>
      <c r="G942" s="22"/>
    </row>
    <row r="943" spans="1:7" x14ac:dyDescent="0.3">
      <c r="A943" s="5"/>
      <c r="B943" s="5" t="s">
        <v>145</v>
      </c>
      <c r="C943" s="5"/>
      <c r="D943" s="5" t="s">
        <v>10</v>
      </c>
      <c r="E943" s="15">
        <f>90.2</f>
        <v>90.2</v>
      </c>
      <c r="F943" s="15"/>
      <c r="G943" s="15"/>
    </row>
    <row r="944" spans="1:7" x14ac:dyDescent="0.3">
      <c r="A944" s="5"/>
      <c r="B944" s="5" t="s">
        <v>129</v>
      </c>
      <c r="C944" s="5"/>
      <c r="D944" s="5" t="s">
        <v>8</v>
      </c>
      <c r="E944" s="15">
        <f>2.9</f>
        <v>2.9</v>
      </c>
      <c r="F944" s="15"/>
      <c r="G944" s="15"/>
    </row>
    <row r="945" spans="1:126" x14ac:dyDescent="0.3">
      <c r="A945" s="5"/>
      <c r="B945" s="5" t="s">
        <v>131</v>
      </c>
      <c r="C945" s="5"/>
      <c r="D945" s="5" t="s">
        <v>8</v>
      </c>
      <c r="E945" s="15">
        <f>2</f>
        <v>2</v>
      </c>
      <c r="F945" s="15"/>
      <c r="G945" s="15"/>
    </row>
    <row r="946" spans="1:126" x14ac:dyDescent="0.3">
      <c r="A946" s="5"/>
      <c r="B946" s="5" t="s">
        <v>142</v>
      </c>
      <c r="C946" s="5"/>
      <c r="D946" s="5" t="s">
        <v>8</v>
      </c>
      <c r="E946" s="15">
        <f>2.7</f>
        <v>2.7</v>
      </c>
      <c r="F946" s="15"/>
      <c r="G946" s="15"/>
    </row>
    <row r="947" spans="1:126" x14ac:dyDescent="0.3">
      <c r="A947" s="21"/>
      <c r="B947" s="21" t="s">
        <v>171</v>
      </c>
      <c r="C947" s="21"/>
      <c r="D947" s="21" t="s">
        <v>14</v>
      </c>
      <c r="E947" s="22">
        <f>2</f>
        <v>2</v>
      </c>
      <c r="F947" s="22"/>
      <c r="G947" s="22"/>
    </row>
    <row r="948" spans="1:126" x14ac:dyDescent="0.3">
      <c r="A948" s="5"/>
      <c r="B948" s="5" t="s">
        <v>145</v>
      </c>
      <c r="C948" s="5"/>
      <c r="D948" s="5" t="s">
        <v>10</v>
      </c>
      <c r="E948" s="15">
        <f>1</f>
        <v>1</v>
      </c>
      <c r="F948" s="15"/>
      <c r="G948" s="15"/>
    </row>
    <row r="949" spans="1:126" x14ac:dyDescent="0.3">
      <c r="A949" s="5"/>
      <c r="B949" s="5" t="s">
        <v>142</v>
      </c>
      <c r="C949" s="5"/>
      <c r="D949" s="5" t="s">
        <v>8</v>
      </c>
      <c r="E949" s="15">
        <f>0.2</f>
        <v>0.2</v>
      </c>
      <c r="F949" s="15"/>
      <c r="G949" s="15"/>
    </row>
    <row r="950" spans="1:126" x14ac:dyDescent="0.3">
      <c r="A950" s="21"/>
      <c r="B950" s="21" t="s">
        <v>219</v>
      </c>
      <c r="C950" s="21"/>
      <c r="D950" s="21" t="s">
        <v>69</v>
      </c>
      <c r="E950" s="22">
        <f>355.4</f>
        <v>355.4</v>
      </c>
      <c r="F950" s="22"/>
      <c r="G950" s="22"/>
    </row>
    <row r="951" spans="1:126" x14ac:dyDescent="0.3">
      <c r="A951" s="5"/>
      <c r="B951" s="5" t="s">
        <v>220</v>
      </c>
      <c r="C951" s="5"/>
      <c r="D951" s="5" t="s">
        <v>72</v>
      </c>
      <c r="E951" s="15">
        <v>1599.3</v>
      </c>
      <c r="F951" s="15"/>
      <c r="G951" s="15"/>
    </row>
    <row r="952" spans="1:126" s="25" customFormat="1" x14ac:dyDescent="0.3">
      <c r="A952" s="23"/>
      <c r="B952" s="23" t="s">
        <v>311</v>
      </c>
      <c r="C952" s="23"/>
      <c r="D952" s="23"/>
      <c r="E952" s="24"/>
      <c r="F952" s="24"/>
      <c r="G952" s="24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9"/>
      <c r="AM952" s="59"/>
      <c r="AN952" s="59"/>
      <c r="AO952" s="59"/>
      <c r="AP952" s="59"/>
      <c r="AQ952" s="59"/>
      <c r="AR952" s="59"/>
      <c r="AS952" s="59"/>
      <c r="AT952" s="59"/>
      <c r="AU952" s="59"/>
      <c r="AV952" s="59"/>
      <c r="AW952" s="59"/>
      <c r="AX952" s="59"/>
      <c r="AY952" s="59"/>
      <c r="AZ952" s="59"/>
      <c r="BA952" s="59"/>
      <c r="BB952" s="59"/>
      <c r="BC952" s="59"/>
      <c r="BD952" s="59"/>
      <c r="BE952" s="59"/>
      <c r="BF952" s="59"/>
      <c r="BG952" s="59"/>
      <c r="BH952" s="59"/>
      <c r="BI952" s="59"/>
      <c r="BJ952" s="59"/>
      <c r="BK952" s="59"/>
      <c r="BL952" s="59"/>
      <c r="BM952" s="59"/>
      <c r="BN952" s="59"/>
      <c r="BO952" s="59"/>
      <c r="BP952" s="59"/>
      <c r="BQ952" s="59"/>
      <c r="BR952" s="59"/>
      <c r="BS952" s="59"/>
      <c r="BT952" s="59"/>
      <c r="BU952" s="59"/>
      <c r="BV952" s="59"/>
      <c r="BW952" s="59"/>
      <c r="BX952" s="59"/>
      <c r="BY952" s="59"/>
      <c r="BZ952" s="59"/>
      <c r="CA952" s="59"/>
      <c r="CB952" s="59"/>
      <c r="CC952" s="59"/>
      <c r="CD952" s="59"/>
      <c r="CE952" s="59"/>
      <c r="CF952" s="59"/>
      <c r="CG952" s="59"/>
      <c r="CH952" s="59"/>
      <c r="CI952" s="59"/>
      <c r="CJ952" s="59"/>
      <c r="CK952" s="59"/>
      <c r="CL952" s="59"/>
      <c r="CM952" s="59"/>
      <c r="CN952" s="59"/>
      <c r="CO952" s="59"/>
      <c r="CP952" s="59"/>
      <c r="CQ952" s="59"/>
      <c r="CR952" s="59"/>
      <c r="CS952" s="59"/>
      <c r="CT952" s="59"/>
      <c r="CU952" s="59"/>
      <c r="CV952" s="59"/>
      <c r="CW952" s="59"/>
      <c r="CX952" s="59"/>
      <c r="CY952" s="59"/>
      <c r="CZ952" s="59"/>
      <c r="DA952" s="59"/>
      <c r="DB952" s="59"/>
      <c r="DC952" s="59"/>
      <c r="DD952" s="59"/>
      <c r="DE952" s="59"/>
      <c r="DF952" s="59"/>
      <c r="DG952" s="59"/>
      <c r="DH952" s="59"/>
      <c r="DI952" s="59"/>
      <c r="DJ952" s="59"/>
      <c r="DK952" s="59"/>
      <c r="DL952" s="59"/>
      <c r="DM952" s="59"/>
      <c r="DN952" s="59"/>
      <c r="DO952" s="59"/>
      <c r="DP952" s="59"/>
      <c r="DQ952" s="59"/>
      <c r="DR952" s="59"/>
      <c r="DS952" s="59"/>
      <c r="DT952" s="59"/>
      <c r="DU952" s="59"/>
      <c r="DV952" s="59"/>
    </row>
    <row r="953" spans="1:126" s="3" customFormat="1" x14ac:dyDescent="0.3">
      <c r="A953" s="21"/>
      <c r="B953" s="21" t="s">
        <v>312</v>
      </c>
      <c r="C953" s="21"/>
      <c r="D953" s="21" t="s">
        <v>14</v>
      </c>
      <c r="E953" s="22">
        <v>20</v>
      </c>
      <c r="F953" s="22"/>
      <c r="G953" s="22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9"/>
      <c r="AM953" s="59"/>
      <c r="AN953" s="59"/>
      <c r="AO953" s="59"/>
      <c r="AP953" s="59"/>
      <c r="AQ953" s="59"/>
      <c r="AR953" s="59"/>
      <c r="AS953" s="59"/>
      <c r="AT953" s="59"/>
      <c r="AU953" s="59"/>
      <c r="AV953" s="59"/>
      <c r="AW953" s="59"/>
      <c r="AX953" s="59"/>
      <c r="AY953" s="59"/>
      <c r="AZ953" s="59"/>
      <c r="BA953" s="59"/>
      <c r="BB953" s="59"/>
      <c r="BC953" s="59"/>
      <c r="BD953" s="59"/>
      <c r="BE953" s="59"/>
      <c r="BF953" s="59"/>
      <c r="BG953" s="59"/>
      <c r="BH953" s="59"/>
      <c r="BI953" s="59"/>
      <c r="BJ953" s="59"/>
      <c r="BK953" s="59"/>
      <c r="BL953" s="59"/>
      <c r="BM953" s="59"/>
      <c r="BN953" s="59"/>
      <c r="BO953" s="59"/>
      <c r="BP953" s="59"/>
      <c r="BQ953" s="59"/>
      <c r="BR953" s="59"/>
      <c r="BS953" s="59"/>
      <c r="BT953" s="59"/>
      <c r="BU953" s="59"/>
      <c r="BV953" s="59"/>
      <c r="BW953" s="59"/>
      <c r="BX953" s="59"/>
      <c r="BY953" s="59"/>
      <c r="BZ953" s="59"/>
      <c r="CA953" s="59"/>
      <c r="CB953" s="59"/>
      <c r="CC953" s="59"/>
      <c r="CD953" s="59"/>
      <c r="CE953" s="59"/>
      <c r="CF953" s="59"/>
      <c r="CG953" s="59"/>
      <c r="CH953" s="59"/>
      <c r="CI953" s="59"/>
      <c r="CJ953" s="59"/>
      <c r="CK953" s="59"/>
      <c r="CL953" s="59"/>
      <c r="CM953" s="59"/>
      <c r="CN953" s="59"/>
      <c r="CO953" s="59"/>
      <c r="CP953" s="59"/>
      <c r="CQ953" s="59"/>
      <c r="CR953" s="59"/>
      <c r="CS953" s="59"/>
      <c r="CT953" s="59"/>
      <c r="CU953" s="59"/>
      <c r="CV953" s="59"/>
      <c r="CW953" s="59"/>
      <c r="CX953" s="59"/>
      <c r="CY953" s="59"/>
      <c r="CZ953" s="59"/>
      <c r="DA953" s="59"/>
      <c r="DB953" s="59"/>
      <c r="DC953" s="59"/>
      <c r="DD953" s="59"/>
      <c r="DE953" s="59"/>
      <c r="DF953" s="59"/>
      <c r="DG953" s="59"/>
      <c r="DH953" s="59"/>
      <c r="DI953" s="59"/>
      <c r="DJ953" s="59"/>
      <c r="DK953" s="59"/>
      <c r="DL953" s="59"/>
      <c r="DM953" s="59"/>
      <c r="DN953" s="59"/>
      <c r="DO953" s="59"/>
      <c r="DP953" s="59"/>
      <c r="DQ953" s="59"/>
      <c r="DR953" s="59"/>
      <c r="DS953" s="59"/>
      <c r="DT953" s="59"/>
      <c r="DU953" s="59"/>
      <c r="DV953" s="59"/>
    </row>
    <row r="954" spans="1:126" x14ac:dyDescent="0.3">
      <c r="A954" s="5"/>
      <c r="B954" s="5" t="s">
        <v>122</v>
      </c>
      <c r="C954" s="5"/>
      <c r="D954" s="5" t="s">
        <v>10</v>
      </c>
      <c r="E954" s="15">
        <f>887.1</f>
        <v>887.1</v>
      </c>
      <c r="F954" s="15"/>
      <c r="G954" s="15"/>
    </row>
    <row r="955" spans="1:126" x14ac:dyDescent="0.3">
      <c r="A955" s="5"/>
      <c r="B955" s="5" t="s">
        <v>123</v>
      </c>
      <c r="C955" s="5"/>
      <c r="D955" s="5" t="s">
        <v>8</v>
      </c>
      <c r="E955" s="15">
        <f>191.2</f>
        <v>191.2</v>
      </c>
      <c r="F955" s="15"/>
      <c r="G955" s="15"/>
    </row>
    <row r="956" spans="1:126" x14ac:dyDescent="0.3">
      <c r="A956" s="5"/>
      <c r="B956" s="5" t="s">
        <v>124</v>
      </c>
      <c r="C956" s="5"/>
      <c r="D956" s="5" t="s">
        <v>8</v>
      </c>
      <c r="E956" s="15">
        <f>1.5</f>
        <v>1.5</v>
      </c>
      <c r="F956" s="15"/>
      <c r="G956" s="15"/>
    </row>
    <row r="957" spans="1:126" x14ac:dyDescent="0.3">
      <c r="A957" s="5"/>
      <c r="B957" s="5" t="s">
        <v>205</v>
      </c>
      <c r="C957" s="5"/>
      <c r="D957" s="5" t="s">
        <v>8</v>
      </c>
      <c r="E957" s="15">
        <f>12.9</f>
        <v>12.9</v>
      </c>
      <c r="F957" s="15"/>
      <c r="G957" s="15"/>
    </row>
    <row r="958" spans="1:126" x14ac:dyDescent="0.3">
      <c r="A958" s="5"/>
      <c r="B958" s="5" t="s">
        <v>206</v>
      </c>
      <c r="C958" s="5"/>
      <c r="D958" s="5" t="s">
        <v>8</v>
      </c>
      <c r="E958" s="15">
        <f>10.7</f>
        <v>10.7</v>
      </c>
      <c r="F958" s="15"/>
      <c r="G958" s="15"/>
    </row>
    <row r="959" spans="1:126" x14ac:dyDescent="0.3">
      <c r="A959" s="5"/>
      <c r="B959" s="5" t="s">
        <v>223</v>
      </c>
      <c r="C959" s="5"/>
      <c r="D959" s="5" t="s">
        <v>8</v>
      </c>
      <c r="E959" s="15">
        <f>2.9</f>
        <v>2.9</v>
      </c>
      <c r="F959" s="15"/>
      <c r="G959" s="15"/>
    </row>
    <row r="960" spans="1:126" x14ac:dyDescent="0.3">
      <c r="A960" s="5"/>
      <c r="B960" s="5" t="s">
        <v>209</v>
      </c>
      <c r="C960" s="5"/>
      <c r="D960" s="5" t="s">
        <v>8</v>
      </c>
      <c r="E960" s="15">
        <f>1.1*0.4</f>
        <v>0.44000000000000006</v>
      </c>
      <c r="F960" s="15"/>
      <c r="G960" s="15"/>
    </row>
    <row r="961" spans="1:126" s="3" customFormat="1" x14ac:dyDescent="0.3">
      <c r="A961" s="21"/>
      <c r="B961" s="21" t="s">
        <v>127</v>
      </c>
      <c r="C961" s="21"/>
      <c r="D961" s="21" t="s">
        <v>14</v>
      </c>
      <c r="E961" s="22">
        <f>1</f>
        <v>1</v>
      </c>
      <c r="F961" s="22"/>
      <c r="G961" s="22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9"/>
      <c r="AM961" s="59"/>
      <c r="AN961" s="59"/>
      <c r="AO961" s="59"/>
      <c r="AP961" s="59"/>
      <c r="AQ961" s="59"/>
      <c r="AR961" s="59"/>
      <c r="AS961" s="59"/>
      <c r="AT961" s="59"/>
      <c r="AU961" s="59"/>
      <c r="AV961" s="59"/>
      <c r="AW961" s="59"/>
      <c r="AX961" s="59"/>
      <c r="AY961" s="59"/>
      <c r="AZ961" s="59"/>
      <c r="BA961" s="59"/>
      <c r="BB961" s="59"/>
      <c r="BC961" s="59"/>
      <c r="BD961" s="59"/>
      <c r="BE961" s="59"/>
      <c r="BF961" s="59"/>
      <c r="BG961" s="59"/>
      <c r="BH961" s="59"/>
      <c r="BI961" s="59"/>
      <c r="BJ961" s="59"/>
      <c r="BK961" s="59"/>
      <c r="BL961" s="59"/>
      <c r="BM961" s="59"/>
      <c r="BN961" s="59"/>
      <c r="BO961" s="59"/>
      <c r="BP961" s="59"/>
      <c r="BQ961" s="59"/>
      <c r="BR961" s="59"/>
      <c r="BS961" s="59"/>
      <c r="BT961" s="59"/>
      <c r="BU961" s="59"/>
      <c r="BV961" s="59"/>
      <c r="BW961" s="59"/>
      <c r="BX961" s="59"/>
      <c r="BY961" s="59"/>
      <c r="BZ961" s="59"/>
      <c r="CA961" s="59"/>
      <c r="CB961" s="59"/>
      <c r="CC961" s="59"/>
      <c r="CD961" s="59"/>
      <c r="CE961" s="59"/>
      <c r="CF961" s="59"/>
      <c r="CG961" s="59"/>
      <c r="CH961" s="59"/>
      <c r="CI961" s="59"/>
      <c r="CJ961" s="59"/>
      <c r="CK961" s="59"/>
      <c r="CL961" s="59"/>
      <c r="CM961" s="59"/>
      <c r="CN961" s="59"/>
      <c r="CO961" s="59"/>
      <c r="CP961" s="59"/>
      <c r="CQ961" s="59"/>
      <c r="CR961" s="59"/>
      <c r="CS961" s="59"/>
      <c r="CT961" s="59"/>
      <c r="CU961" s="59"/>
      <c r="CV961" s="59"/>
      <c r="CW961" s="59"/>
      <c r="CX961" s="59"/>
      <c r="CY961" s="59"/>
      <c r="CZ961" s="59"/>
      <c r="DA961" s="59"/>
      <c r="DB961" s="59"/>
      <c r="DC961" s="59"/>
      <c r="DD961" s="59"/>
      <c r="DE961" s="59"/>
      <c r="DF961" s="59"/>
      <c r="DG961" s="59"/>
      <c r="DH961" s="59"/>
      <c r="DI961" s="59"/>
      <c r="DJ961" s="59"/>
      <c r="DK961" s="59"/>
      <c r="DL961" s="59"/>
      <c r="DM961" s="59"/>
      <c r="DN961" s="59"/>
      <c r="DO961" s="59"/>
      <c r="DP961" s="59"/>
      <c r="DQ961" s="59"/>
      <c r="DR961" s="59"/>
      <c r="DS961" s="59"/>
      <c r="DT961" s="59"/>
      <c r="DU961" s="59"/>
      <c r="DV961" s="59"/>
    </row>
    <row r="962" spans="1:126" x14ac:dyDescent="0.3">
      <c r="A962" s="5"/>
      <c r="B962" s="5" t="s">
        <v>308</v>
      </c>
      <c r="C962" s="5"/>
      <c r="D962" s="5" t="s">
        <v>10</v>
      </c>
      <c r="E962" s="15">
        <f>14.4</f>
        <v>14.4</v>
      </c>
      <c r="F962" s="15"/>
      <c r="G962" s="15"/>
    </row>
    <row r="963" spans="1:126" x14ac:dyDescent="0.3">
      <c r="A963" s="5"/>
      <c r="B963" s="5" t="s">
        <v>213</v>
      </c>
      <c r="C963" s="5"/>
      <c r="D963" s="5" t="s">
        <v>10</v>
      </c>
      <c r="E963" s="15">
        <f>457.7</f>
        <v>457.7</v>
      </c>
      <c r="F963" s="15"/>
      <c r="G963" s="15"/>
    </row>
    <row r="964" spans="1:126" x14ac:dyDescent="0.3">
      <c r="A964" s="5"/>
      <c r="B964" s="5" t="s">
        <v>129</v>
      </c>
      <c r="C964" s="5"/>
      <c r="D964" s="5" t="s">
        <v>8</v>
      </c>
      <c r="E964" s="15">
        <f>36.1</f>
        <v>36.1</v>
      </c>
      <c r="F964" s="15"/>
      <c r="G964" s="15"/>
    </row>
    <row r="965" spans="1:126" x14ac:dyDescent="0.3">
      <c r="A965" s="5"/>
      <c r="B965" s="5" t="s">
        <v>131</v>
      </c>
      <c r="C965" s="5"/>
      <c r="D965" s="5" t="s">
        <v>8</v>
      </c>
      <c r="E965" s="15">
        <f>14.7</f>
        <v>14.7</v>
      </c>
      <c r="F965" s="15"/>
      <c r="G965" s="15"/>
    </row>
    <row r="966" spans="1:126" x14ac:dyDescent="0.3">
      <c r="A966" s="5"/>
      <c r="B966" s="5" t="s">
        <v>124</v>
      </c>
      <c r="C966" s="5"/>
      <c r="D966" s="5" t="s">
        <v>8</v>
      </c>
      <c r="E966" s="15">
        <f>10.2</f>
        <v>10.199999999999999</v>
      </c>
      <c r="F966" s="15"/>
      <c r="G966" s="15"/>
    </row>
    <row r="967" spans="1:126" x14ac:dyDescent="0.3">
      <c r="A967" s="5"/>
      <c r="B967" s="5" t="s">
        <v>205</v>
      </c>
      <c r="C967" s="5"/>
      <c r="D967" s="5" t="s">
        <v>8</v>
      </c>
      <c r="E967" s="15">
        <f>1</f>
        <v>1</v>
      </c>
      <c r="F967" s="15"/>
      <c r="G967" s="15"/>
    </row>
    <row r="968" spans="1:126" x14ac:dyDescent="0.3">
      <c r="A968" s="5"/>
      <c r="B968" s="5" t="s">
        <v>211</v>
      </c>
      <c r="C968" s="5"/>
      <c r="D968" s="5" t="s">
        <v>8</v>
      </c>
      <c r="E968" s="15">
        <f>0.4</f>
        <v>0.4</v>
      </c>
      <c r="F968" s="15"/>
      <c r="G968" s="15"/>
    </row>
    <row r="969" spans="1:126" x14ac:dyDescent="0.3">
      <c r="A969" s="21"/>
      <c r="B969" s="21" t="s">
        <v>134</v>
      </c>
      <c r="C969" s="21"/>
      <c r="D969" s="21" t="s">
        <v>14</v>
      </c>
      <c r="E969" s="22">
        <f>60</f>
        <v>60</v>
      </c>
      <c r="F969" s="22"/>
      <c r="G969" s="22"/>
    </row>
    <row r="970" spans="1:126" x14ac:dyDescent="0.3">
      <c r="A970" s="5"/>
      <c r="B970" s="5" t="s">
        <v>135</v>
      </c>
      <c r="C970" s="5"/>
      <c r="D970" s="5" t="s">
        <v>10</v>
      </c>
      <c r="E970" s="15">
        <f>63.6</f>
        <v>63.6</v>
      </c>
      <c r="F970" s="15"/>
      <c r="G970" s="15"/>
    </row>
    <row r="971" spans="1:126" x14ac:dyDescent="0.3">
      <c r="A971" s="5"/>
      <c r="B971" s="5" t="s">
        <v>136</v>
      </c>
      <c r="C971" s="5"/>
      <c r="D971" s="5" t="s">
        <v>8</v>
      </c>
      <c r="E971" s="15">
        <f>1.9/66*60</f>
        <v>1.7272727272727271</v>
      </c>
      <c r="F971" s="15"/>
      <c r="G971" s="15"/>
    </row>
    <row r="972" spans="1:126" x14ac:dyDescent="0.3">
      <c r="A972" s="5"/>
      <c r="B972" s="5" t="s">
        <v>137</v>
      </c>
      <c r="C972" s="5"/>
      <c r="D972" s="5" t="s">
        <v>8</v>
      </c>
      <c r="E972" s="15">
        <f>1.4/66*60</f>
        <v>1.2727272727272725</v>
      </c>
      <c r="F972" s="15"/>
      <c r="G972" s="15"/>
    </row>
    <row r="973" spans="1:126" x14ac:dyDescent="0.3">
      <c r="A973" s="5"/>
      <c r="B973" s="5" t="s">
        <v>138</v>
      </c>
      <c r="C973" s="5"/>
      <c r="D973" s="5" t="s">
        <v>8</v>
      </c>
      <c r="E973" s="15">
        <f>0.8/66*60</f>
        <v>0.72727272727272729</v>
      </c>
      <c r="F973" s="15"/>
      <c r="G973" s="15"/>
    </row>
    <row r="974" spans="1:126" x14ac:dyDescent="0.3">
      <c r="A974" s="5"/>
      <c r="B974" s="5" t="s">
        <v>139</v>
      </c>
      <c r="C974" s="5"/>
      <c r="D974" s="5" t="s">
        <v>8</v>
      </c>
      <c r="E974" s="15">
        <f>1.3</f>
        <v>1.3</v>
      </c>
      <c r="F974" s="15"/>
      <c r="G974" s="15"/>
    </row>
    <row r="975" spans="1:126" x14ac:dyDescent="0.3">
      <c r="A975" s="21"/>
      <c r="B975" s="21" t="s">
        <v>140</v>
      </c>
      <c r="C975" s="21"/>
      <c r="D975" s="21" t="s">
        <v>10</v>
      </c>
      <c r="E975" s="22">
        <f>124.9</f>
        <v>124.9</v>
      </c>
      <c r="F975" s="22"/>
      <c r="G975" s="22"/>
    </row>
    <row r="976" spans="1:126" x14ac:dyDescent="0.3">
      <c r="A976" s="5"/>
      <c r="B976" s="5" t="s">
        <v>141</v>
      </c>
      <c r="C976" s="5"/>
      <c r="D976" s="5" t="s">
        <v>10</v>
      </c>
      <c r="E976" s="15">
        <f>124.9</f>
        <v>124.9</v>
      </c>
      <c r="F976" s="15"/>
      <c r="G976" s="15"/>
    </row>
    <row r="977" spans="1:126" x14ac:dyDescent="0.3">
      <c r="A977" s="5"/>
      <c r="B977" s="5" t="s">
        <v>123</v>
      </c>
      <c r="C977" s="5"/>
      <c r="D977" s="5" t="s">
        <v>8</v>
      </c>
      <c r="E977" s="15">
        <f>46.7</f>
        <v>46.7</v>
      </c>
      <c r="F977" s="15"/>
      <c r="G977" s="15"/>
    </row>
    <row r="978" spans="1:126" x14ac:dyDescent="0.3">
      <c r="A978" s="5"/>
      <c r="B978" s="5" t="s">
        <v>131</v>
      </c>
      <c r="C978" s="5"/>
      <c r="D978" s="5" t="s">
        <v>8</v>
      </c>
      <c r="E978" s="15">
        <f>2.9</f>
        <v>2.9</v>
      </c>
      <c r="F978" s="15"/>
      <c r="G978" s="15"/>
    </row>
    <row r="979" spans="1:126" x14ac:dyDescent="0.3">
      <c r="A979" s="5"/>
      <c r="B979" s="5" t="s">
        <v>124</v>
      </c>
      <c r="C979" s="5"/>
      <c r="D979" s="5" t="s">
        <v>8</v>
      </c>
      <c r="E979" s="15">
        <f>0.7</f>
        <v>0.7</v>
      </c>
      <c r="F979" s="15"/>
      <c r="G979" s="15"/>
    </row>
    <row r="980" spans="1:126" x14ac:dyDescent="0.3">
      <c r="A980" s="5"/>
      <c r="B980" s="5" t="s">
        <v>205</v>
      </c>
      <c r="C980" s="5"/>
      <c r="D980" s="5" t="s">
        <v>8</v>
      </c>
      <c r="E980" s="15">
        <f>1.7</f>
        <v>1.7</v>
      </c>
      <c r="F980" s="15"/>
      <c r="G980" s="15"/>
    </row>
    <row r="981" spans="1:126" ht="31.2" x14ac:dyDescent="0.3">
      <c r="A981" s="5"/>
      <c r="B981" s="11" t="s">
        <v>143</v>
      </c>
      <c r="C981" s="5"/>
      <c r="D981" s="5" t="s">
        <v>14</v>
      </c>
      <c r="E981" s="15">
        <f>240</f>
        <v>240</v>
      </c>
      <c r="F981" s="15"/>
      <c r="G981" s="15"/>
    </row>
    <row r="982" spans="1:126" x14ac:dyDescent="0.3">
      <c r="A982" s="21"/>
      <c r="B982" s="21" t="s">
        <v>144</v>
      </c>
      <c r="C982" s="21"/>
      <c r="D982" s="21" t="s">
        <v>14</v>
      </c>
      <c r="E982" s="22">
        <f>1</f>
        <v>1</v>
      </c>
      <c r="F982" s="22"/>
      <c r="G982" s="22"/>
    </row>
    <row r="983" spans="1:126" x14ac:dyDescent="0.3">
      <c r="A983" s="5"/>
      <c r="B983" s="5" t="s">
        <v>145</v>
      </c>
      <c r="C983" s="5"/>
      <c r="D983" s="5" t="s">
        <v>10</v>
      </c>
      <c r="E983" s="15">
        <f>89.4</f>
        <v>89.4</v>
      </c>
      <c r="F983" s="15"/>
      <c r="G983" s="15"/>
    </row>
    <row r="984" spans="1:126" x14ac:dyDescent="0.3">
      <c r="A984" s="5"/>
      <c r="B984" s="5" t="s">
        <v>129</v>
      </c>
      <c r="C984" s="5"/>
      <c r="D984" s="5" t="s">
        <v>8</v>
      </c>
      <c r="E984" s="15">
        <f>2.9</f>
        <v>2.9</v>
      </c>
      <c r="F984" s="15"/>
      <c r="G984" s="15"/>
    </row>
    <row r="985" spans="1:126" x14ac:dyDescent="0.3">
      <c r="A985" s="5"/>
      <c r="B985" s="5" t="s">
        <v>131</v>
      </c>
      <c r="C985" s="5"/>
      <c r="D985" s="5" t="s">
        <v>8</v>
      </c>
      <c r="E985" s="15">
        <f>2</f>
        <v>2</v>
      </c>
      <c r="F985" s="15"/>
      <c r="G985" s="15"/>
    </row>
    <row r="986" spans="1:126" x14ac:dyDescent="0.3">
      <c r="A986" s="5"/>
      <c r="B986" s="5" t="s">
        <v>142</v>
      </c>
      <c r="C986" s="5"/>
      <c r="D986" s="5" t="s">
        <v>8</v>
      </c>
      <c r="E986" s="15">
        <f>2.7</f>
        <v>2.7</v>
      </c>
      <c r="F986" s="15"/>
      <c r="G986" s="15"/>
    </row>
    <row r="987" spans="1:126" x14ac:dyDescent="0.3">
      <c r="A987" s="21"/>
      <c r="B987" s="21" t="s">
        <v>171</v>
      </c>
      <c r="C987" s="21"/>
      <c r="D987" s="21" t="s">
        <v>14</v>
      </c>
      <c r="E987" s="22">
        <f>2</f>
        <v>2</v>
      </c>
      <c r="F987" s="22"/>
      <c r="G987" s="22"/>
    </row>
    <row r="988" spans="1:126" x14ac:dyDescent="0.3">
      <c r="A988" s="5"/>
      <c r="B988" s="5" t="s">
        <v>145</v>
      </c>
      <c r="C988" s="5"/>
      <c r="D988" s="5" t="s">
        <v>10</v>
      </c>
      <c r="E988" s="15">
        <f>3.4</f>
        <v>3.4</v>
      </c>
      <c r="F988" s="15"/>
      <c r="G988" s="15"/>
    </row>
    <row r="989" spans="1:126" x14ac:dyDescent="0.3">
      <c r="A989" s="5"/>
      <c r="B989" s="5" t="s">
        <v>142</v>
      </c>
      <c r="C989" s="5"/>
      <c r="D989" s="5" t="s">
        <v>8</v>
      </c>
      <c r="E989" s="15">
        <f>0.5</f>
        <v>0.5</v>
      </c>
      <c r="F989" s="15"/>
      <c r="G989" s="15"/>
    </row>
    <row r="990" spans="1:126" x14ac:dyDescent="0.3">
      <c r="A990" s="21"/>
      <c r="B990" s="21" t="s">
        <v>219</v>
      </c>
      <c r="C990" s="21"/>
      <c r="D990" s="21" t="s">
        <v>69</v>
      </c>
      <c r="E990" s="22">
        <f>357.8</f>
        <v>357.8</v>
      </c>
      <c r="F990" s="22"/>
      <c r="G990" s="22"/>
    </row>
    <row r="991" spans="1:126" x14ac:dyDescent="0.3">
      <c r="A991" s="5"/>
      <c r="B991" s="5" t="s">
        <v>220</v>
      </c>
      <c r="C991" s="5"/>
      <c r="D991" s="5" t="s">
        <v>72</v>
      </c>
      <c r="E991" s="15">
        <v>1610.1000000000001</v>
      </c>
      <c r="F991" s="15"/>
      <c r="G991" s="15"/>
    </row>
    <row r="992" spans="1:126" s="25" customFormat="1" x14ac:dyDescent="0.3">
      <c r="A992" s="23"/>
      <c r="B992" s="23" t="s">
        <v>313</v>
      </c>
      <c r="C992" s="23"/>
      <c r="D992" s="23"/>
      <c r="E992" s="24"/>
      <c r="F992" s="24"/>
      <c r="G992" s="24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  <c r="AK992" s="59"/>
      <c r="AL992" s="59"/>
      <c r="AM992" s="59"/>
      <c r="AN992" s="59"/>
      <c r="AO992" s="59"/>
      <c r="AP992" s="59"/>
      <c r="AQ992" s="59"/>
      <c r="AR992" s="59"/>
      <c r="AS992" s="59"/>
      <c r="AT992" s="59"/>
      <c r="AU992" s="59"/>
      <c r="AV992" s="59"/>
      <c r="AW992" s="59"/>
      <c r="AX992" s="59"/>
      <c r="AY992" s="59"/>
      <c r="AZ992" s="59"/>
      <c r="BA992" s="59"/>
      <c r="BB992" s="59"/>
      <c r="BC992" s="59"/>
      <c r="BD992" s="59"/>
      <c r="BE992" s="59"/>
      <c r="BF992" s="59"/>
      <c r="BG992" s="59"/>
      <c r="BH992" s="59"/>
      <c r="BI992" s="59"/>
      <c r="BJ992" s="59"/>
      <c r="BK992" s="59"/>
      <c r="BL992" s="59"/>
      <c r="BM992" s="59"/>
      <c r="BN992" s="59"/>
      <c r="BO992" s="59"/>
      <c r="BP992" s="59"/>
      <c r="BQ992" s="59"/>
      <c r="BR992" s="59"/>
      <c r="BS992" s="59"/>
      <c r="BT992" s="59"/>
      <c r="BU992" s="59"/>
      <c r="BV992" s="59"/>
      <c r="BW992" s="59"/>
      <c r="BX992" s="59"/>
      <c r="BY992" s="59"/>
      <c r="BZ992" s="59"/>
      <c r="CA992" s="59"/>
      <c r="CB992" s="59"/>
      <c r="CC992" s="59"/>
      <c r="CD992" s="59"/>
      <c r="CE992" s="59"/>
      <c r="CF992" s="59"/>
      <c r="CG992" s="59"/>
      <c r="CH992" s="59"/>
      <c r="CI992" s="59"/>
      <c r="CJ992" s="59"/>
      <c r="CK992" s="59"/>
      <c r="CL992" s="59"/>
      <c r="CM992" s="59"/>
      <c r="CN992" s="59"/>
      <c r="CO992" s="59"/>
      <c r="CP992" s="59"/>
      <c r="CQ992" s="59"/>
      <c r="CR992" s="59"/>
      <c r="CS992" s="59"/>
      <c r="CT992" s="59"/>
      <c r="CU992" s="59"/>
      <c r="CV992" s="59"/>
      <c r="CW992" s="59"/>
      <c r="CX992" s="59"/>
      <c r="CY992" s="59"/>
      <c r="CZ992" s="59"/>
      <c r="DA992" s="59"/>
      <c r="DB992" s="59"/>
      <c r="DC992" s="59"/>
      <c r="DD992" s="59"/>
      <c r="DE992" s="59"/>
      <c r="DF992" s="59"/>
      <c r="DG992" s="59"/>
      <c r="DH992" s="59"/>
      <c r="DI992" s="59"/>
      <c r="DJ992" s="59"/>
      <c r="DK992" s="59"/>
      <c r="DL992" s="59"/>
      <c r="DM992" s="59"/>
      <c r="DN992" s="59"/>
      <c r="DO992" s="59"/>
      <c r="DP992" s="59"/>
      <c r="DQ992" s="59"/>
      <c r="DR992" s="59"/>
      <c r="DS992" s="59"/>
      <c r="DT992" s="59"/>
      <c r="DU992" s="59"/>
      <c r="DV992" s="59"/>
    </row>
    <row r="993" spans="1:126" s="3" customFormat="1" x14ac:dyDescent="0.3">
      <c r="A993" s="21"/>
      <c r="B993" s="21" t="s">
        <v>200</v>
      </c>
      <c r="C993" s="21"/>
      <c r="D993" s="21" t="s">
        <v>14</v>
      </c>
      <c r="E993" s="22">
        <v>20</v>
      </c>
      <c r="F993" s="22"/>
      <c r="G993" s="22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  <c r="AK993" s="59"/>
      <c r="AL993" s="59"/>
      <c r="AM993" s="59"/>
      <c r="AN993" s="59"/>
      <c r="AO993" s="59"/>
      <c r="AP993" s="59"/>
      <c r="AQ993" s="59"/>
      <c r="AR993" s="59"/>
      <c r="AS993" s="59"/>
      <c r="AT993" s="59"/>
      <c r="AU993" s="59"/>
      <c r="AV993" s="59"/>
      <c r="AW993" s="59"/>
      <c r="AX993" s="59"/>
      <c r="AY993" s="59"/>
      <c r="AZ993" s="59"/>
      <c r="BA993" s="59"/>
      <c r="BB993" s="59"/>
      <c r="BC993" s="59"/>
      <c r="BD993" s="59"/>
      <c r="BE993" s="59"/>
      <c r="BF993" s="59"/>
      <c r="BG993" s="59"/>
      <c r="BH993" s="59"/>
      <c r="BI993" s="59"/>
      <c r="BJ993" s="59"/>
      <c r="BK993" s="59"/>
      <c r="BL993" s="59"/>
      <c r="BM993" s="59"/>
      <c r="BN993" s="59"/>
      <c r="BO993" s="59"/>
      <c r="BP993" s="59"/>
      <c r="BQ993" s="59"/>
      <c r="BR993" s="59"/>
      <c r="BS993" s="59"/>
      <c r="BT993" s="59"/>
      <c r="BU993" s="59"/>
      <c r="BV993" s="59"/>
      <c r="BW993" s="59"/>
      <c r="BX993" s="59"/>
      <c r="BY993" s="59"/>
      <c r="BZ993" s="59"/>
      <c r="CA993" s="59"/>
      <c r="CB993" s="59"/>
      <c r="CC993" s="59"/>
      <c r="CD993" s="59"/>
      <c r="CE993" s="59"/>
      <c r="CF993" s="59"/>
      <c r="CG993" s="59"/>
      <c r="CH993" s="59"/>
      <c r="CI993" s="59"/>
      <c r="CJ993" s="59"/>
      <c r="CK993" s="59"/>
      <c r="CL993" s="59"/>
      <c r="CM993" s="59"/>
      <c r="CN993" s="59"/>
      <c r="CO993" s="59"/>
      <c r="CP993" s="59"/>
      <c r="CQ993" s="59"/>
      <c r="CR993" s="59"/>
      <c r="CS993" s="59"/>
      <c r="CT993" s="59"/>
      <c r="CU993" s="59"/>
      <c r="CV993" s="59"/>
      <c r="CW993" s="59"/>
      <c r="CX993" s="59"/>
      <c r="CY993" s="59"/>
      <c r="CZ993" s="59"/>
      <c r="DA993" s="59"/>
      <c r="DB993" s="59"/>
      <c r="DC993" s="59"/>
      <c r="DD993" s="59"/>
      <c r="DE993" s="59"/>
      <c r="DF993" s="59"/>
      <c r="DG993" s="59"/>
      <c r="DH993" s="59"/>
      <c r="DI993" s="59"/>
      <c r="DJ993" s="59"/>
      <c r="DK993" s="59"/>
      <c r="DL993" s="59"/>
      <c r="DM993" s="59"/>
      <c r="DN993" s="59"/>
      <c r="DO993" s="59"/>
      <c r="DP993" s="59"/>
      <c r="DQ993" s="59"/>
      <c r="DR993" s="59"/>
      <c r="DS993" s="59"/>
      <c r="DT993" s="59"/>
      <c r="DU993" s="59"/>
      <c r="DV993" s="59"/>
    </row>
    <row r="994" spans="1:126" x14ac:dyDescent="0.3">
      <c r="A994" s="5"/>
      <c r="B994" s="5" t="s">
        <v>122</v>
      </c>
      <c r="C994" s="5"/>
      <c r="D994" s="5" t="s">
        <v>10</v>
      </c>
      <c r="E994" s="15">
        <f>975.4</f>
        <v>975.4</v>
      </c>
      <c r="F994" s="15"/>
      <c r="G994" s="15"/>
    </row>
    <row r="995" spans="1:126" x14ac:dyDescent="0.3">
      <c r="A995" s="5"/>
      <c r="B995" s="5" t="s">
        <v>123</v>
      </c>
      <c r="C995" s="5"/>
      <c r="D995" s="5" t="s">
        <v>8</v>
      </c>
      <c r="E995" s="15">
        <f>210.2</f>
        <v>210.2</v>
      </c>
      <c r="F995" s="15"/>
      <c r="G995" s="15"/>
    </row>
    <row r="996" spans="1:126" x14ac:dyDescent="0.3">
      <c r="A996" s="5"/>
      <c r="B996" s="5" t="s">
        <v>124</v>
      </c>
      <c r="C996" s="5"/>
      <c r="D996" s="5" t="s">
        <v>8</v>
      </c>
      <c r="E996" s="15">
        <f>1.7</f>
        <v>1.7</v>
      </c>
      <c r="F996" s="15"/>
      <c r="G996" s="15"/>
    </row>
    <row r="997" spans="1:126" x14ac:dyDescent="0.3">
      <c r="A997" s="5"/>
      <c r="B997" s="5" t="s">
        <v>205</v>
      </c>
      <c r="C997" s="5"/>
      <c r="D997" s="5" t="s">
        <v>8</v>
      </c>
      <c r="E997" s="15">
        <f>14.2</f>
        <v>14.2</v>
      </c>
      <c r="F997" s="15"/>
      <c r="G997" s="15"/>
    </row>
    <row r="998" spans="1:126" x14ac:dyDescent="0.3">
      <c r="A998" s="5"/>
      <c r="B998" s="5" t="s">
        <v>206</v>
      </c>
      <c r="C998" s="5"/>
      <c r="D998" s="5" t="s">
        <v>8</v>
      </c>
      <c r="E998" s="15">
        <f>11.7</f>
        <v>11.7</v>
      </c>
      <c r="F998" s="15"/>
      <c r="G998" s="15"/>
    </row>
    <row r="999" spans="1:126" x14ac:dyDescent="0.3">
      <c r="A999" s="5"/>
      <c r="B999" s="5" t="s">
        <v>223</v>
      </c>
      <c r="C999" s="5"/>
      <c r="D999" s="5" t="s">
        <v>8</v>
      </c>
      <c r="E999" s="15">
        <f>3.2</f>
        <v>3.2</v>
      </c>
      <c r="F999" s="15"/>
      <c r="G999" s="15"/>
    </row>
    <row r="1000" spans="1:126" x14ac:dyDescent="0.3">
      <c r="A1000" s="5"/>
      <c r="B1000" s="5" t="s">
        <v>209</v>
      </c>
      <c r="C1000" s="5"/>
      <c r="D1000" s="5" t="s">
        <v>8</v>
      </c>
      <c r="E1000" s="15">
        <f>1.2*0.4</f>
        <v>0.48</v>
      </c>
      <c r="F1000" s="15"/>
      <c r="G1000" s="15"/>
    </row>
    <row r="1001" spans="1:126" s="3" customFormat="1" x14ac:dyDescent="0.3">
      <c r="A1001" s="21"/>
      <c r="B1001" s="21" t="s">
        <v>127</v>
      </c>
      <c r="C1001" s="21"/>
      <c r="D1001" s="21" t="s">
        <v>14</v>
      </c>
      <c r="E1001" s="22">
        <f>1</f>
        <v>1</v>
      </c>
      <c r="F1001" s="22"/>
      <c r="G1001" s="22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  <c r="AK1001" s="59"/>
      <c r="AL1001" s="59"/>
      <c r="AM1001" s="59"/>
      <c r="AN1001" s="59"/>
      <c r="AO1001" s="59"/>
      <c r="AP1001" s="59"/>
      <c r="AQ1001" s="59"/>
      <c r="AR1001" s="59"/>
      <c r="AS1001" s="59"/>
      <c r="AT1001" s="59"/>
      <c r="AU1001" s="59"/>
      <c r="AV1001" s="59"/>
      <c r="AW1001" s="59"/>
      <c r="AX1001" s="59"/>
      <c r="AY1001" s="59"/>
      <c r="AZ1001" s="59"/>
      <c r="BA1001" s="59"/>
      <c r="BB1001" s="59"/>
      <c r="BC1001" s="59"/>
      <c r="BD1001" s="59"/>
      <c r="BE1001" s="59"/>
      <c r="BF1001" s="59"/>
      <c r="BG1001" s="59"/>
      <c r="BH1001" s="59"/>
      <c r="BI1001" s="59"/>
      <c r="BJ1001" s="59"/>
      <c r="BK1001" s="59"/>
      <c r="BL1001" s="59"/>
      <c r="BM1001" s="59"/>
      <c r="BN1001" s="59"/>
      <c r="BO1001" s="59"/>
      <c r="BP1001" s="59"/>
      <c r="BQ1001" s="59"/>
      <c r="BR1001" s="59"/>
      <c r="BS1001" s="59"/>
      <c r="BT1001" s="59"/>
      <c r="BU1001" s="59"/>
      <c r="BV1001" s="59"/>
      <c r="BW1001" s="59"/>
      <c r="BX1001" s="59"/>
      <c r="BY1001" s="59"/>
      <c r="BZ1001" s="59"/>
      <c r="CA1001" s="59"/>
      <c r="CB1001" s="59"/>
      <c r="CC1001" s="59"/>
      <c r="CD1001" s="59"/>
      <c r="CE1001" s="59"/>
      <c r="CF1001" s="59"/>
      <c r="CG1001" s="59"/>
      <c r="CH1001" s="59"/>
      <c r="CI1001" s="59"/>
      <c r="CJ1001" s="59"/>
      <c r="CK1001" s="59"/>
      <c r="CL1001" s="59"/>
      <c r="CM1001" s="59"/>
      <c r="CN1001" s="59"/>
      <c r="CO1001" s="59"/>
      <c r="CP1001" s="59"/>
      <c r="CQ1001" s="59"/>
      <c r="CR1001" s="59"/>
      <c r="CS1001" s="59"/>
      <c r="CT1001" s="59"/>
      <c r="CU1001" s="59"/>
      <c r="CV1001" s="59"/>
      <c r="CW1001" s="59"/>
      <c r="CX1001" s="59"/>
      <c r="CY1001" s="59"/>
      <c r="CZ1001" s="59"/>
      <c r="DA1001" s="59"/>
      <c r="DB1001" s="59"/>
      <c r="DC1001" s="59"/>
      <c r="DD1001" s="59"/>
      <c r="DE1001" s="59"/>
      <c r="DF1001" s="59"/>
      <c r="DG1001" s="59"/>
      <c r="DH1001" s="59"/>
      <c r="DI1001" s="59"/>
      <c r="DJ1001" s="59"/>
      <c r="DK1001" s="59"/>
      <c r="DL1001" s="59"/>
      <c r="DM1001" s="59"/>
      <c r="DN1001" s="59"/>
      <c r="DO1001" s="59"/>
      <c r="DP1001" s="59"/>
      <c r="DQ1001" s="59"/>
      <c r="DR1001" s="59"/>
      <c r="DS1001" s="59"/>
      <c r="DT1001" s="59"/>
      <c r="DU1001" s="59"/>
      <c r="DV1001" s="59"/>
    </row>
    <row r="1002" spans="1:126" x14ac:dyDescent="0.3">
      <c r="A1002" s="5"/>
      <c r="B1002" s="5" t="s">
        <v>308</v>
      </c>
      <c r="C1002" s="5"/>
      <c r="D1002" s="5" t="s">
        <v>10</v>
      </c>
      <c r="E1002" s="15">
        <f>14.4</f>
        <v>14.4</v>
      </c>
      <c r="F1002" s="15"/>
      <c r="G1002" s="15"/>
    </row>
    <row r="1003" spans="1:126" x14ac:dyDescent="0.3">
      <c r="A1003" s="5"/>
      <c r="B1003" s="5" t="s">
        <v>213</v>
      </c>
      <c r="C1003" s="5"/>
      <c r="D1003" s="5" t="s">
        <v>10</v>
      </c>
      <c r="E1003" s="15">
        <f>457.7</f>
        <v>457.7</v>
      </c>
      <c r="F1003" s="15"/>
      <c r="G1003" s="15"/>
    </row>
    <row r="1004" spans="1:126" x14ac:dyDescent="0.3">
      <c r="A1004" s="5"/>
      <c r="B1004" s="5" t="s">
        <v>129</v>
      </c>
      <c r="C1004" s="5"/>
      <c r="D1004" s="5" t="s">
        <v>8</v>
      </c>
      <c r="E1004" s="15">
        <f>36.1</f>
        <v>36.1</v>
      </c>
      <c r="F1004" s="15"/>
      <c r="G1004" s="15"/>
    </row>
    <row r="1005" spans="1:126" x14ac:dyDescent="0.3">
      <c r="A1005" s="5"/>
      <c r="B1005" s="5" t="s">
        <v>131</v>
      </c>
      <c r="C1005" s="5"/>
      <c r="D1005" s="5" t="s">
        <v>8</v>
      </c>
      <c r="E1005" s="15">
        <f>14.7</f>
        <v>14.7</v>
      </c>
      <c r="F1005" s="15"/>
      <c r="G1005" s="15"/>
    </row>
    <row r="1006" spans="1:126" x14ac:dyDescent="0.3">
      <c r="A1006" s="5"/>
      <c r="B1006" s="5" t="s">
        <v>124</v>
      </c>
      <c r="C1006" s="5"/>
      <c r="D1006" s="5" t="s">
        <v>8</v>
      </c>
      <c r="E1006" s="15">
        <f>10.2</f>
        <v>10.199999999999999</v>
      </c>
      <c r="F1006" s="15"/>
      <c r="G1006" s="15"/>
    </row>
    <row r="1007" spans="1:126" x14ac:dyDescent="0.3">
      <c r="A1007" s="5"/>
      <c r="B1007" s="5" t="s">
        <v>205</v>
      </c>
      <c r="C1007" s="5"/>
      <c r="D1007" s="5" t="s">
        <v>8</v>
      </c>
      <c r="E1007" s="15">
        <f>1</f>
        <v>1</v>
      </c>
      <c r="F1007" s="15"/>
      <c r="G1007" s="15"/>
    </row>
    <row r="1008" spans="1:126" x14ac:dyDescent="0.3">
      <c r="A1008" s="5"/>
      <c r="B1008" s="5" t="s">
        <v>211</v>
      </c>
      <c r="C1008" s="5"/>
      <c r="D1008" s="5" t="s">
        <v>8</v>
      </c>
      <c r="E1008" s="15">
        <f>0.4</f>
        <v>0.4</v>
      </c>
      <c r="F1008" s="15"/>
      <c r="G1008" s="15"/>
    </row>
    <row r="1009" spans="1:7" x14ac:dyDescent="0.3">
      <c r="A1009" s="21"/>
      <c r="B1009" s="21" t="s">
        <v>134</v>
      </c>
      <c r="C1009" s="21"/>
      <c r="D1009" s="21" t="s">
        <v>14</v>
      </c>
      <c r="E1009" s="22">
        <f>60</f>
        <v>60</v>
      </c>
      <c r="F1009" s="22"/>
      <c r="G1009" s="22"/>
    </row>
    <row r="1010" spans="1:7" x14ac:dyDescent="0.3">
      <c r="A1010" s="5"/>
      <c r="B1010" s="5" t="s">
        <v>135</v>
      </c>
      <c r="C1010" s="5"/>
      <c r="D1010" s="5" t="s">
        <v>10</v>
      </c>
      <c r="E1010" s="15">
        <f>63.6</f>
        <v>63.6</v>
      </c>
      <c r="F1010" s="15"/>
      <c r="G1010" s="15"/>
    </row>
    <row r="1011" spans="1:7" x14ac:dyDescent="0.3">
      <c r="A1011" s="5"/>
      <c r="B1011" s="5" t="s">
        <v>136</v>
      </c>
      <c r="C1011" s="5"/>
      <c r="D1011" s="5" t="s">
        <v>8</v>
      </c>
      <c r="E1011" s="15">
        <f>1.9/66*60</f>
        <v>1.7272727272727271</v>
      </c>
      <c r="F1011" s="15"/>
      <c r="G1011" s="15"/>
    </row>
    <row r="1012" spans="1:7" x14ac:dyDescent="0.3">
      <c r="A1012" s="5"/>
      <c r="B1012" s="5" t="s">
        <v>137</v>
      </c>
      <c r="C1012" s="5"/>
      <c r="D1012" s="5" t="s">
        <v>8</v>
      </c>
      <c r="E1012" s="15">
        <f>1.4/66*60</f>
        <v>1.2727272727272725</v>
      </c>
      <c r="F1012" s="15"/>
      <c r="G1012" s="15"/>
    </row>
    <row r="1013" spans="1:7" x14ac:dyDescent="0.3">
      <c r="A1013" s="5"/>
      <c r="B1013" s="5" t="s">
        <v>138</v>
      </c>
      <c r="C1013" s="5"/>
      <c r="D1013" s="5" t="s">
        <v>8</v>
      </c>
      <c r="E1013" s="15">
        <f>0.8/66*60</f>
        <v>0.72727272727272729</v>
      </c>
      <c r="F1013" s="15"/>
      <c r="G1013" s="15"/>
    </row>
    <row r="1014" spans="1:7" x14ac:dyDescent="0.3">
      <c r="A1014" s="5"/>
      <c r="B1014" s="5" t="s">
        <v>139</v>
      </c>
      <c r="C1014" s="5"/>
      <c r="D1014" s="5" t="s">
        <v>8</v>
      </c>
      <c r="E1014" s="15">
        <f>1.3</f>
        <v>1.3</v>
      </c>
      <c r="F1014" s="15"/>
      <c r="G1014" s="15"/>
    </row>
    <row r="1015" spans="1:7" x14ac:dyDescent="0.3">
      <c r="A1015" s="21"/>
      <c r="B1015" s="21" t="s">
        <v>140</v>
      </c>
      <c r="C1015" s="21"/>
      <c r="D1015" s="21" t="s">
        <v>10</v>
      </c>
      <c r="E1015" s="22">
        <f>124.9</f>
        <v>124.9</v>
      </c>
      <c r="F1015" s="22"/>
      <c r="G1015" s="22"/>
    </row>
    <row r="1016" spans="1:7" x14ac:dyDescent="0.3">
      <c r="A1016" s="5"/>
      <c r="B1016" s="5" t="s">
        <v>141</v>
      </c>
      <c r="C1016" s="5"/>
      <c r="D1016" s="5" t="s">
        <v>10</v>
      </c>
      <c r="E1016" s="15">
        <f>124.9</f>
        <v>124.9</v>
      </c>
      <c r="F1016" s="15"/>
      <c r="G1016" s="15"/>
    </row>
    <row r="1017" spans="1:7" x14ac:dyDescent="0.3">
      <c r="A1017" s="5"/>
      <c r="B1017" s="5" t="s">
        <v>123</v>
      </c>
      <c r="C1017" s="5"/>
      <c r="D1017" s="5" t="s">
        <v>8</v>
      </c>
      <c r="E1017" s="15">
        <f>46.7</f>
        <v>46.7</v>
      </c>
      <c r="F1017" s="15"/>
      <c r="G1017" s="15"/>
    </row>
    <row r="1018" spans="1:7" x14ac:dyDescent="0.3">
      <c r="A1018" s="5"/>
      <c r="B1018" s="5" t="s">
        <v>131</v>
      </c>
      <c r="C1018" s="5"/>
      <c r="D1018" s="5" t="s">
        <v>8</v>
      </c>
      <c r="E1018" s="15">
        <f>2.9</f>
        <v>2.9</v>
      </c>
      <c r="F1018" s="15"/>
      <c r="G1018" s="15"/>
    </row>
    <row r="1019" spans="1:7" x14ac:dyDescent="0.3">
      <c r="A1019" s="5"/>
      <c r="B1019" s="5" t="s">
        <v>124</v>
      </c>
      <c r="C1019" s="5"/>
      <c r="D1019" s="5" t="s">
        <v>8</v>
      </c>
      <c r="E1019" s="15">
        <f>0.7</f>
        <v>0.7</v>
      </c>
      <c r="F1019" s="15"/>
      <c r="G1019" s="15"/>
    </row>
    <row r="1020" spans="1:7" x14ac:dyDescent="0.3">
      <c r="A1020" s="5"/>
      <c r="B1020" s="5" t="s">
        <v>205</v>
      </c>
      <c r="C1020" s="5"/>
      <c r="D1020" s="5" t="s">
        <v>8</v>
      </c>
      <c r="E1020" s="15">
        <f>1.7</f>
        <v>1.7</v>
      </c>
      <c r="F1020" s="15"/>
      <c r="G1020" s="15"/>
    </row>
    <row r="1021" spans="1:7" ht="31.2" x14ac:dyDescent="0.3">
      <c r="A1021" s="5"/>
      <c r="B1021" s="11" t="s">
        <v>143</v>
      </c>
      <c r="C1021" s="5"/>
      <c r="D1021" s="5" t="s">
        <v>14</v>
      </c>
      <c r="E1021" s="15">
        <f>240</f>
        <v>240</v>
      </c>
      <c r="F1021" s="15"/>
      <c r="G1021" s="15"/>
    </row>
    <row r="1022" spans="1:7" x14ac:dyDescent="0.3">
      <c r="A1022" s="21"/>
      <c r="B1022" s="21" t="s">
        <v>144</v>
      </c>
      <c r="C1022" s="21"/>
      <c r="D1022" s="21" t="s">
        <v>14</v>
      </c>
      <c r="E1022" s="22">
        <f>1</f>
        <v>1</v>
      </c>
      <c r="F1022" s="22"/>
      <c r="G1022" s="22"/>
    </row>
    <row r="1023" spans="1:7" x14ac:dyDescent="0.3">
      <c r="A1023" s="5"/>
      <c r="B1023" s="5" t="s">
        <v>145</v>
      </c>
      <c r="C1023" s="5"/>
      <c r="D1023" s="5" t="s">
        <v>10</v>
      </c>
      <c r="E1023" s="15">
        <f>132.4</f>
        <v>132.4</v>
      </c>
      <c r="F1023" s="15"/>
      <c r="G1023" s="15"/>
    </row>
    <row r="1024" spans="1:7" x14ac:dyDescent="0.3">
      <c r="A1024" s="5"/>
      <c r="B1024" s="5" t="s">
        <v>123</v>
      </c>
      <c r="C1024" s="5"/>
      <c r="D1024" s="5" t="s">
        <v>8</v>
      </c>
      <c r="E1024" s="15">
        <f>6.6</f>
        <v>6.6</v>
      </c>
      <c r="F1024" s="15"/>
      <c r="G1024" s="15"/>
    </row>
    <row r="1025" spans="1:126" x14ac:dyDescent="0.3">
      <c r="A1025" s="5"/>
      <c r="B1025" s="5" t="s">
        <v>131</v>
      </c>
      <c r="C1025" s="5"/>
      <c r="D1025" s="5" t="s">
        <v>8</v>
      </c>
      <c r="E1025" s="15">
        <f>4.6</f>
        <v>4.5999999999999996</v>
      </c>
      <c r="F1025" s="15"/>
      <c r="G1025" s="15"/>
    </row>
    <row r="1026" spans="1:126" x14ac:dyDescent="0.3">
      <c r="A1026" s="5"/>
      <c r="B1026" s="5" t="s">
        <v>142</v>
      </c>
      <c r="C1026" s="5"/>
      <c r="D1026" s="5" t="s">
        <v>8</v>
      </c>
      <c r="E1026" s="15">
        <f>3.8</f>
        <v>3.8</v>
      </c>
      <c r="F1026" s="15"/>
      <c r="G1026" s="15"/>
    </row>
    <row r="1027" spans="1:126" x14ac:dyDescent="0.3">
      <c r="A1027" s="21"/>
      <c r="B1027" s="21" t="s">
        <v>171</v>
      </c>
      <c r="C1027" s="21"/>
      <c r="D1027" s="21" t="s">
        <v>14</v>
      </c>
      <c r="E1027" s="22">
        <f>2</f>
        <v>2</v>
      </c>
      <c r="F1027" s="22"/>
      <c r="G1027" s="22"/>
    </row>
    <row r="1028" spans="1:126" x14ac:dyDescent="0.3">
      <c r="A1028" s="5"/>
      <c r="B1028" s="5" t="s">
        <v>145</v>
      </c>
      <c r="C1028" s="5"/>
      <c r="D1028" s="5" t="s">
        <v>10</v>
      </c>
      <c r="E1028" s="15">
        <f>1</f>
        <v>1</v>
      </c>
      <c r="F1028" s="15"/>
      <c r="G1028" s="15"/>
    </row>
    <row r="1029" spans="1:126" x14ac:dyDescent="0.3">
      <c r="A1029" s="5"/>
      <c r="B1029" s="5" t="s">
        <v>142</v>
      </c>
      <c r="C1029" s="5"/>
      <c r="D1029" s="5" t="s">
        <v>8</v>
      </c>
      <c r="E1029" s="15">
        <f>0.2</f>
        <v>0.2</v>
      </c>
      <c r="F1029" s="15"/>
      <c r="G1029" s="15"/>
    </row>
    <row r="1030" spans="1:126" x14ac:dyDescent="0.3">
      <c r="A1030" s="21"/>
      <c r="B1030" s="21" t="s">
        <v>219</v>
      </c>
      <c r="C1030" s="21"/>
      <c r="D1030" s="21" t="s">
        <v>69</v>
      </c>
      <c r="E1030" s="22">
        <f>358.4</f>
        <v>358.4</v>
      </c>
      <c r="F1030" s="22"/>
      <c r="G1030" s="22"/>
    </row>
    <row r="1031" spans="1:126" x14ac:dyDescent="0.3">
      <c r="A1031" s="5"/>
      <c r="B1031" s="5" t="s">
        <v>220</v>
      </c>
      <c r="C1031" s="5"/>
      <c r="D1031" s="5" t="s">
        <v>72</v>
      </c>
      <c r="E1031" s="15">
        <v>1612.8</v>
      </c>
      <c r="F1031" s="15"/>
      <c r="G1031" s="15"/>
    </row>
    <row r="1032" spans="1:126" s="25" customFormat="1" x14ac:dyDescent="0.3">
      <c r="A1032" s="23"/>
      <c r="B1032" s="23" t="s">
        <v>314</v>
      </c>
      <c r="C1032" s="23"/>
      <c r="D1032" s="23"/>
      <c r="E1032" s="24"/>
      <c r="F1032" s="24"/>
      <c r="G1032" s="24"/>
      <c r="H1032" s="59"/>
      <c r="I1032" s="59"/>
      <c r="J1032" s="59"/>
      <c r="K1032" s="59"/>
      <c r="L1032" s="59"/>
      <c r="M1032" s="59"/>
      <c r="N1032" s="59"/>
      <c r="O1032" s="59"/>
      <c r="P1032" s="59"/>
      <c r="Q1032" s="59"/>
      <c r="R1032" s="59"/>
      <c r="S1032" s="59"/>
      <c r="T1032" s="59"/>
      <c r="U1032" s="59"/>
      <c r="V1032" s="59"/>
      <c r="W1032" s="59"/>
      <c r="X1032" s="59"/>
      <c r="Y1032" s="59"/>
      <c r="Z1032" s="59"/>
      <c r="AA1032" s="59"/>
      <c r="AB1032" s="59"/>
      <c r="AC1032" s="59"/>
      <c r="AD1032" s="59"/>
      <c r="AE1032" s="59"/>
      <c r="AF1032" s="59"/>
      <c r="AG1032" s="59"/>
      <c r="AH1032" s="59"/>
      <c r="AI1032" s="59"/>
      <c r="AJ1032" s="59"/>
      <c r="AK1032" s="59"/>
      <c r="AL1032" s="59"/>
      <c r="AM1032" s="59"/>
      <c r="AN1032" s="59"/>
      <c r="AO1032" s="59"/>
      <c r="AP1032" s="59"/>
      <c r="AQ1032" s="59"/>
      <c r="AR1032" s="59"/>
      <c r="AS1032" s="59"/>
      <c r="AT1032" s="59"/>
      <c r="AU1032" s="59"/>
      <c r="AV1032" s="59"/>
      <c r="AW1032" s="59"/>
      <c r="AX1032" s="59"/>
      <c r="AY1032" s="59"/>
      <c r="AZ1032" s="59"/>
      <c r="BA1032" s="59"/>
      <c r="BB1032" s="59"/>
      <c r="BC1032" s="59"/>
      <c r="BD1032" s="59"/>
      <c r="BE1032" s="59"/>
      <c r="BF1032" s="59"/>
      <c r="BG1032" s="59"/>
      <c r="BH1032" s="59"/>
      <c r="BI1032" s="59"/>
      <c r="BJ1032" s="59"/>
      <c r="BK1032" s="59"/>
      <c r="BL1032" s="59"/>
      <c r="BM1032" s="59"/>
      <c r="BN1032" s="59"/>
      <c r="BO1032" s="59"/>
      <c r="BP1032" s="59"/>
      <c r="BQ1032" s="59"/>
      <c r="BR1032" s="59"/>
      <c r="BS1032" s="59"/>
      <c r="BT1032" s="59"/>
      <c r="BU1032" s="59"/>
      <c r="BV1032" s="59"/>
      <c r="BW1032" s="59"/>
      <c r="BX1032" s="59"/>
      <c r="BY1032" s="59"/>
      <c r="BZ1032" s="59"/>
      <c r="CA1032" s="59"/>
      <c r="CB1032" s="59"/>
      <c r="CC1032" s="59"/>
      <c r="CD1032" s="59"/>
      <c r="CE1032" s="59"/>
      <c r="CF1032" s="59"/>
      <c r="CG1032" s="59"/>
      <c r="CH1032" s="59"/>
      <c r="CI1032" s="59"/>
      <c r="CJ1032" s="59"/>
      <c r="CK1032" s="59"/>
      <c r="CL1032" s="59"/>
      <c r="CM1032" s="59"/>
      <c r="CN1032" s="59"/>
      <c r="CO1032" s="59"/>
      <c r="CP1032" s="59"/>
      <c r="CQ1032" s="59"/>
      <c r="CR1032" s="59"/>
      <c r="CS1032" s="59"/>
      <c r="CT1032" s="59"/>
      <c r="CU1032" s="59"/>
      <c r="CV1032" s="59"/>
      <c r="CW1032" s="59"/>
      <c r="CX1032" s="59"/>
      <c r="CY1032" s="59"/>
      <c r="CZ1032" s="59"/>
      <c r="DA1032" s="59"/>
      <c r="DB1032" s="59"/>
      <c r="DC1032" s="59"/>
      <c r="DD1032" s="59"/>
      <c r="DE1032" s="59"/>
      <c r="DF1032" s="59"/>
      <c r="DG1032" s="59"/>
      <c r="DH1032" s="59"/>
      <c r="DI1032" s="59"/>
      <c r="DJ1032" s="59"/>
      <c r="DK1032" s="59"/>
      <c r="DL1032" s="59"/>
      <c r="DM1032" s="59"/>
      <c r="DN1032" s="59"/>
      <c r="DO1032" s="59"/>
      <c r="DP1032" s="59"/>
      <c r="DQ1032" s="59"/>
      <c r="DR1032" s="59"/>
      <c r="DS1032" s="59"/>
      <c r="DT1032" s="59"/>
      <c r="DU1032" s="59"/>
      <c r="DV1032" s="59"/>
    </row>
    <row r="1033" spans="1:126" s="3" customFormat="1" x14ac:dyDescent="0.3">
      <c r="A1033" s="21"/>
      <c r="B1033" s="21" t="s">
        <v>310</v>
      </c>
      <c r="C1033" s="21"/>
      <c r="D1033" s="21" t="s">
        <v>14</v>
      </c>
      <c r="E1033" s="22">
        <v>20</v>
      </c>
      <c r="F1033" s="22"/>
      <c r="G1033" s="22"/>
      <c r="H1033" s="59"/>
      <c r="I1033" s="59"/>
      <c r="J1033" s="59"/>
      <c r="K1033" s="59"/>
      <c r="L1033" s="59"/>
      <c r="M1033" s="59"/>
      <c r="N1033" s="59"/>
      <c r="O1033" s="59"/>
      <c r="P1033" s="59"/>
      <c r="Q1033" s="59"/>
      <c r="R1033" s="59"/>
      <c r="S1033" s="59"/>
      <c r="T1033" s="59"/>
      <c r="U1033" s="59"/>
      <c r="V1033" s="59"/>
      <c r="W1033" s="59"/>
      <c r="X1033" s="59"/>
      <c r="Y1033" s="59"/>
      <c r="Z1033" s="59"/>
      <c r="AA1033" s="59"/>
      <c r="AB1033" s="59"/>
      <c r="AC1033" s="59"/>
      <c r="AD1033" s="59"/>
      <c r="AE1033" s="59"/>
      <c r="AF1033" s="59"/>
      <c r="AG1033" s="59"/>
      <c r="AH1033" s="59"/>
      <c r="AI1033" s="59"/>
      <c r="AJ1033" s="59"/>
      <c r="AK1033" s="59"/>
      <c r="AL1033" s="59"/>
      <c r="AM1033" s="59"/>
      <c r="AN1033" s="59"/>
      <c r="AO1033" s="59"/>
      <c r="AP1033" s="59"/>
      <c r="AQ1033" s="59"/>
      <c r="AR1033" s="59"/>
      <c r="AS1033" s="59"/>
      <c r="AT1033" s="59"/>
      <c r="AU1033" s="59"/>
      <c r="AV1033" s="59"/>
      <c r="AW1033" s="59"/>
      <c r="AX1033" s="59"/>
      <c r="AY1033" s="59"/>
      <c r="AZ1033" s="59"/>
      <c r="BA1033" s="59"/>
      <c r="BB1033" s="59"/>
      <c r="BC1033" s="59"/>
      <c r="BD1033" s="59"/>
      <c r="BE1033" s="59"/>
      <c r="BF1033" s="59"/>
      <c r="BG1033" s="59"/>
      <c r="BH1033" s="59"/>
      <c r="BI1033" s="59"/>
      <c r="BJ1033" s="59"/>
      <c r="BK1033" s="59"/>
      <c r="BL1033" s="59"/>
      <c r="BM1033" s="59"/>
      <c r="BN1033" s="59"/>
      <c r="BO1033" s="59"/>
      <c r="BP1033" s="59"/>
      <c r="BQ1033" s="59"/>
      <c r="BR1033" s="59"/>
      <c r="BS1033" s="59"/>
      <c r="BT1033" s="59"/>
      <c r="BU1033" s="59"/>
      <c r="BV1033" s="59"/>
      <c r="BW1033" s="59"/>
      <c r="BX1033" s="59"/>
      <c r="BY1033" s="59"/>
      <c r="BZ1033" s="59"/>
      <c r="CA1033" s="59"/>
      <c r="CB1033" s="59"/>
      <c r="CC1033" s="59"/>
      <c r="CD1033" s="59"/>
      <c r="CE1033" s="59"/>
      <c r="CF1033" s="59"/>
      <c r="CG1033" s="59"/>
      <c r="CH1033" s="59"/>
      <c r="CI1033" s="59"/>
      <c r="CJ1033" s="59"/>
      <c r="CK1033" s="59"/>
      <c r="CL1033" s="59"/>
      <c r="CM1033" s="59"/>
      <c r="CN1033" s="59"/>
      <c r="CO1033" s="59"/>
      <c r="CP1033" s="59"/>
      <c r="CQ1033" s="59"/>
      <c r="CR1033" s="59"/>
      <c r="CS1033" s="59"/>
      <c r="CT1033" s="59"/>
      <c r="CU1033" s="59"/>
      <c r="CV1033" s="59"/>
      <c r="CW1033" s="59"/>
      <c r="CX1033" s="59"/>
      <c r="CY1033" s="59"/>
      <c r="CZ1033" s="59"/>
      <c r="DA1033" s="59"/>
      <c r="DB1033" s="59"/>
      <c r="DC1033" s="59"/>
      <c r="DD1033" s="59"/>
      <c r="DE1033" s="59"/>
      <c r="DF1033" s="59"/>
      <c r="DG1033" s="59"/>
      <c r="DH1033" s="59"/>
      <c r="DI1033" s="59"/>
      <c r="DJ1033" s="59"/>
      <c r="DK1033" s="59"/>
      <c r="DL1033" s="59"/>
      <c r="DM1033" s="59"/>
      <c r="DN1033" s="59"/>
      <c r="DO1033" s="59"/>
      <c r="DP1033" s="59"/>
      <c r="DQ1033" s="59"/>
      <c r="DR1033" s="59"/>
      <c r="DS1033" s="59"/>
      <c r="DT1033" s="59"/>
      <c r="DU1033" s="59"/>
      <c r="DV1033" s="59"/>
    </row>
    <row r="1034" spans="1:126" x14ac:dyDescent="0.3">
      <c r="A1034" s="5"/>
      <c r="B1034" s="5" t="s">
        <v>122</v>
      </c>
      <c r="C1034" s="5"/>
      <c r="D1034" s="5" t="s">
        <v>10</v>
      </c>
      <c r="E1034" s="15">
        <f>1081.5</f>
        <v>1081.5</v>
      </c>
      <c r="F1034" s="15"/>
      <c r="G1034" s="15"/>
    </row>
    <row r="1035" spans="1:126" x14ac:dyDescent="0.3">
      <c r="A1035" s="5"/>
      <c r="B1035" s="5" t="s">
        <v>123</v>
      </c>
      <c r="C1035" s="5"/>
      <c r="D1035" s="5" t="s">
        <v>8</v>
      </c>
      <c r="E1035" s="15">
        <f>233.1</f>
        <v>233.1</v>
      </c>
      <c r="F1035" s="15"/>
      <c r="G1035" s="15"/>
    </row>
    <row r="1036" spans="1:126" x14ac:dyDescent="0.3">
      <c r="A1036" s="5"/>
      <c r="B1036" s="5" t="s">
        <v>124</v>
      </c>
      <c r="C1036" s="5"/>
      <c r="D1036" s="5" t="s">
        <v>8</v>
      </c>
      <c r="E1036" s="15">
        <f>1.9</f>
        <v>1.9</v>
      </c>
      <c r="F1036" s="15"/>
      <c r="G1036" s="15"/>
    </row>
    <row r="1037" spans="1:126" x14ac:dyDescent="0.3">
      <c r="A1037" s="5"/>
      <c r="B1037" s="5" t="s">
        <v>205</v>
      </c>
      <c r="C1037" s="5"/>
      <c r="D1037" s="5" t="s">
        <v>8</v>
      </c>
      <c r="E1037" s="15">
        <f>15.8</f>
        <v>15.8</v>
      </c>
      <c r="F1037" s="15"/>
      <c r="G1037" s="15"/>
    </row>
    <row r="1038" spans="1:126" x14ac:dyDescent="0.3">
      <c r="A1038" s="5"/>
      <c r="B1038" s="5" t="s">
        <v>206</v>
      </c>
      <c r="C1038" s="5"/>
      <c r="D1038" s="5" t="s">
        <v>8</v>
      </c>
      <c r="E1038" s="15">
        <f>13</f>
        <v>13</v>
      </c>
      <c r="F1038" s="15"/>
      <c r="G1038" s="15"/>
    </row>
    <row r="1039" spans="1:126" x14ac:dyDescent="0.3">
      <c r="A1039" s="5"/>
      <c r="B1039" s="5" t="s">
        <v>223</v>
      </c>
      <c r="C1039" s="5"/>
      <c r="D1039" s="5" t="s">
        <v>8</v>
      </c>
      <c r="E1039" s="15">
        <f>3.5</f>
        <v>3.5</v>
      </c>
      <c r="F1039" s="15"/>
      <c r="G1039" s="15"/>
    </row>
    <row r="1040" spans="1:126" x14ac:dyDescent="0.3">
      <c r="A1040" s="5"/>
      <c r="B1040" s="5" t="s">
        <v>209</v>
      </c>
      <c r="C1040" s="5"/>
      <c r="D1040" s="5" t="s">
        <v>8</v>
      </c>
      <c r="E1040" s="15">
        <f>1.4*0.4</f>
        <v>0.55999999999999994</v>
      </c>
      <c r="F1040" s="15"/>
      <c r="G1040" s="15"/>
    </row>
    <row r="1041" spans="1:126" s="3" customFormat="1" x14ac:dyDescent="0.3">
      <c r="A1041" s="21"/>
      <c r="B1041" s="21" t="s">
        <v>127</v>
      </c>
      <c r="C1041" s="21"/>
      <c r="D1041" s="21" t="s">
        <v>14</v>
      </c>
      <c r="E1041" s="22">
        <f>1</f>
        <v>1</v>
      </c>
      <c r="F1041" s="22"/>
      <c r="G1041" s="22"/>
      <c r="H1041" s="59"/>
      <c r="I1041" s="59"/>
      <c r="J1041" s="59"/>
      <c r="K1041" s="59"/>
      <c r="L1041" s="59"/>
      <c r="M1041" s="59"/>
      <c r="N1041" s="59"/>
      <c r="O1041" s="59"/>
      <c r="P1041" s="59"/>
      <c r="Q1041" s="59"/>
      <c r="R1041" s="59"/>
      <c r="S1041" s="59"/>
      <c r="T1041" s="59"/>
      <c r="U1041" s="59"/>
      <c r="V1041" s="59"/>
      <c r="W1041" s="59"/>
      <c r="X1041" s="59"/>
      <c r="Y1041" s="59"/>
      <c r="Z1041" s="59"/>
      <c r="AA1041" s="59"/>
      <c r="AB1041" s="59"/>
      <c r="AC1041" s="59"/>
      <c r="AD1041" s="59"/>
      <c r="AE1041" s="59"/>
      <c r="AF1041" s="59"/>
      <c r="AG1041" s="59"/>
      <c r="AH1041" s="59"/>
      <c r="AI1041" s="59"/>
      <c r="AJ1041" s="59"/>
      <c r="AK1041" s="59"/>
      <c r="AL1041" s="59"/>
      <c r="AM1041" s="59"/>
      <c r="AN1041" s="59"/>
      <c r="AO1041" s="59"/>
      <c r="AP1041" s="59"/>
      <c r="AQ1041" s="59"/>
      <c r="AR1041" s="59"/>
      <c r="AS1041" s="59"/>
      <c r="AT1041" s="59"/>
      <c r="AU1041" s="59"/>
      <c r="AV1041" s="59"/>
      <c r="AW1041" s="59"/>
      <c r="AX1041" s="59"/>
      <c r="AY1041" s="59"/>
      <c r="AZ1041" s="59"/>
      <c r="BA1041" s="59"/>
      <c r="BB1041" s="59"/>
      <c r="BC1041" s="59"/>
      <c r="BD1041" s="59"/>
      <c r="BE1041" s="59"/>
      <c r="BF1041" s="59"/>
      <c r="BG1041" s="59"/>
      <c r="BH1041" s="59"/>
      <c r="BI1041" s="59"/>
      <c r="BJ1041" s="59"/>
      <c r="BK1041" s="59"/>
      <c r="BL1041" s="59"/>
      <c r="BM1041" s="59"/>
      <c r="BN1041" s="59"/>
      <c r="BO1041" s="59"/>
      <c r="BP1041" s="59"/>
      <c r="BQ1041" s="59"/>
      <c r="BR1041" s="59"/>
      <c r="BS1041" s="59"/>
      <c r="BT1041" s="59"/>
      <c r="BU1041" s="59"/>
      <c r="BV1041" s="59"/>
      <c r="BW1041" s="59"/>
      <c r="BX1041" s="59"/>
      <c r="BY1041" s="59"/>
      <c r="BZ1041" s="59"/>
      <c r="CA1041" s="59"/>
      <c r="CB1041" s="59"/>
      <c r="CC1041" s="59"/>
      <c r="CD1041" s="59"/>
      <c r="CE1041" s="59"/>
      <c r="CF1041" s="59"/>
      <c r="CG1041" s="59"/>
      <c r="CH1041" s="59"/>
      <c r="CI1041" s="59"/>
      <c r="CJ1041" s="59"/>
      <c r="CK1041" s="59"/>
      <c r="CL1041" s="59"/>
      <c r="CM1041" s="59"/>
      <c r="CN1041" s="59"/>
      <c r="CO1041" s="59"/>
      <c r="CP1041" s="59"/>
      <c r="CQ1041" s="59"/>
      <c r="CR1041" s="59"/>
      <c r="CS1041" s="59"/>
      <c r="CT1041" s="59"/>
      <c r="CU1041" s="59"/>
      <c r="CV1041" s="59"/>
      <c r="CW1041" s="59"/>
      <c r="CX1041" s="59"/>
      <c r="CY1041" s="59"/>
      <c r="CZ1041" s="59"/>
      <c r="DA1041" s="59"/>
      <c r="DB1041" s="59"/>
      <c r="DC1041" s="59"/>
      <c r="DD1041" s="59"/>
      <c r="DE1041" s="59"/>
      <c r="DF1041" s="59"/>
      <c r="DG1041" s="59"/>
      <c r="DH1041" s="59"/>
      <c r="DI1041" s="59"/>
      <c r="DJ1041" s="59"/>
      <c r="DK1041" s="59"/>
      <c r="DL1041" s="59"/>
      <c r="DM1041" s="59"/>
      <c r="DN1041" s="59"/>
      <c r="DO1041" s="59"/>
      <c r="DP1041" s="59"/>
      <c r="DQ1041" s="59"/>
      <c r="DR1041" s="59"/>
      <c r="DS1041" s="59"/>
      <c r="DT1041" s="59"/>
      <c r="DU1041" s="59"/>
      <c r="DV1041" s="59"/>
    </row>
    <row r="1042" spans="1:126" x14ac:dyDescent="0.3">
      <c r="A1042" s="5"/>
      <c r="B1042" s="5" t="s">
        <v>308</v>
      </c>
      <c r="C1042" s="5"/>
      <c r="D1042" s="5" t="s">
        <v>10</v>
      </c>
      <c r="E1042" s="15">
        <f>14.4</f>
        <v>14.4</v>
      </c>
      <c r="F1042" s="15"/>
      <c r="G1042" s="15"/>
    </row>
    <row r="1043" spans="1:126" x14ac:dyDescent="0.3">
      <c r="A1043" s="5"/>
      <c r="B1043" s="5" t="s">
        <v>213</v>
      </c>
      <c r="C1043" s="5"/>
      <c r="D1043" s="5" t="s">
        <v>10</v>
      </c>
      <c r="E1043" s="15">
        <f>457.7</f>
        <v>457.7</v>
      </c>
      <c r="F1043" s="15"/>
      <c r="G1043" s="15"/>
    </row>
    <row r="1044" spans="1:126" x14ac:dyDescent="0.3">
      <c r="A1044" s="5"/>
      <c r="B1044" s="5" t="s">
        <v>129</v>
      </c>
      <c r="C1044" s="5"/>
      <c r="D1044" s="5" t="s">
        <v>8</v>
      </c>
      <c r="E1044" s="15">
        <f>36.1</f>
        <v>36.1</v>
      </c>
      <c r="F1044" s="15"/>
      <c r="G1044" s="15"/>
    </row>
    <row r="1045" spans="1:126" x14ac:dyDescent="0.3">
      <c r="A1045" s="5"/>
      <c r="B1045" s="5" t="s">
        <v>131</v>
      </c>
      <c r="C1045" s="5"/>
      <c r="D1045" s="5" t="s">
        <v>8</v>
      </c>
      <c r="E1045" s="15">
        <f>14.7</f>
        <v>14.7</v>
      </c>
      <c r="F1045" s="15"/>
      <c r="G1045" s="15"/>
    </row>
    <row r="1046" spans="1:126" x14ac:dyDescent="0.3">
      <c r="A1046" s="5"/>
      <c r="B1046" s="5" t="s">
        <v>124</v>
      </c>
      <c r="C1046" s="5"/>
      <c r="D1046" s="5" t="s">
        <v>8</v>
      </c>
      <c r="E1046" s="15">
        <f>10.2</f>
        <v>10.199999999999999</v>
      </c>
      <c r="F1046" s="15"/>
      <c r="G1046" s="15"/>
    </row>
    <row r="1047" spans="1:126" x14ac:dyDescent="0.3">
      <c r="A1047" s="5"/>
      <c r="B1047" s="5" t="s">
        <v>205</v>
      </c>
      <c r="C1047" s="5"/>
      <c r="D1047" s="5" t="s">
        <v>8</v>
      </c>
      <c r="E1047" s="15">
        <f>1</f>
        <v>1</v>
      </c>
      <c r="F1047" s="15"/>
      <c r="G1047" s="15"/>
    </row>
    <row r="1048" spans="1:126" x14ac:dyDescent="0.3">
      <c r="A1048" s="5"/>
      <c r="B1048" s="5" t="s">
        <v>211</v>
      </c>
      <c r="C1048" s="5"/>
      <c r="D1048" s="5" t="s">
        <v>8</v>
      </c>
      <c r="E1048" s="15">
        <f>0.4</f>
        <v>0.4</v>
      </c>
      <c r="F1048" s="15"/>
      <c r="G1048" s="15"/>
    </row>
    <row r="1049" spans="1:126" x14ac:dyDescent="0.3">
      <c r="A1049" s="21"/>
      <c r="B1049" s="21" t="s">
        <v>134</v>
      </c>
      <c r="C1049" s="21"/>
      <c r="D1049" s="21" t="s">
        <v>14</v>
      </c>
      <c r="E1049" s="22">
        <f>60</f>
        <v>60</v>
      </c>
      <c r="F1049" s="22"/>
      <c r="G1049" s="22"/>
    </row>
    <row r="1050" spans="1:126" x14ac:dyDescent="0.3">
      <c r="A1050" s="5"/>
      <c r="B1050" s="5" t="s">
        <v>135</v>
      </c>
      <c r="C1050" s="5"/>
      <c r="D1050" s="5" t="s">
        <v>10</v>
      </c>
      <c r="E1050" s="15">
        <f>63.6</f>
        <v>63.6</v>
      </c>
      <c r="F1050" s="15"/>
      <c r="G1050" s="15"/>
    </row>
    <row r="1051" spans="1:126" x14ac:dyDescent="0.3">
      <c r="A1051" s="5"/>
      <c r="B1051" s="5" t="s">
        <v>136</v>
      </c>
      <c r="C1051" s="5"/>
      <c r="D1051" s="5" t="s">
        <v>8</v>
      </c>
      <c r="E1051" s="15">
        <f>1.9/66*60</f>
        <v>1.7272727272727271</v>
      </c>
      <c r="F1051" s="15"/>
      <c r="G1051" s="15"/>
    </row>
    <row r="1052" spans="1:126" x14ac:dyDescent="0.3">
      <c r="A1052" s="5"/>
      <c r="B1052" s="5" t="s">
        <v>137</v>
      </c>
      <c r="C1052" s="5"/>
      <c r="D1052" s="5" t="s">
        <v>8</v>
      </c>
      <c r="E1052" s="15">
        <f>1.4/66*60</f>
        <v>1.2727272727272725</v>
      </c>
      <c r="F1052" s="15"/>
      <c r="G1052" s="15"/>
    </row>
    <row r="1053" spans="1:126" x14ac:dyDescent="0.3">
      <c r="A1053" s="5"/>
      <c r="B1053" s="5" t="s">
        <v>138</v>
      </c>
      <c r="C1053" s="5"/>
      <c r="D1053" s="5" t="s">
        <v>8</v>
      </c>
      <c r="E1053" s="15">
        <f>0.8/66*60</f>
        <v>0.72727272727272729</v>
      </c>
      <c r="F1053" s="15"/>
      <c r="G1053" s="15"/>
    </row>
    <row r="1054" spans="1:126" x14ac:dyDescent="0.3">
      <c r="A1054" s="5"/>
      <c r="B1054" s="5" t="s">
        <v>139</v>
      </c>
      <c r="C1054" s="5"/>
      <c r="D1054" s="5" t="s">
        <v>8</v>
      </c>
      <c r="E1054" s="15">
        <f>1.3</f>
        <v>1.3</v>
      </c>
      <c r="F1054" s="15"/>
      <c r="G1054" s="15"/>
    </row>
    <row r="1055" spans="1:126" x14ac:dyDescent="0.3">
      <c r="A1055" s="21"/>
      <c r="B1055" s="21" t="s">
        <v>140</v>
      </c>
      <c r="C1055" s="21"/>
      <c r="D1055" s="21" t="s">
        <v>10</v>
      </c>
      <c r="E1055" s="22">
        <f>124.9</f>
        <v>124.9</v>
      </c>
      <c r="F1055" s="22"/>
      <c r="G1055" s="22"/>
    </row>
    <row r="1056" spans="1:126" x14ac:dyDescent="0.3">
      <c r="A1056" s="5"/>
      <c r="B1056" s="5" t="s">
        <v>141</v>
      </c>
      <c r="C1056" s="5"/>
      <c r="D1056" s="5" t="s">
        <v>10</v>
      </c>
      <c r="E1056" s="15">
        <f>124.9</f>
        <v>124.9</v>
      </c>
      <c r="F1056" s="15"/>
      <c r="G1056" s="15"/>
    </row>
    <row r="1057" spans="1:126" x14ac:dyDescent="0.3">
      <c r="A1057" s="5"/>
      <c r="B1057" s="5" t="s">
        <v>123</v>
      </c>
      <c r="C1057" s="5"/>
      <c r="D1057" s="5" t="s">
        <v>8</v>
      </c>
      <c r="E1057" s="15">
        <f>46.7</f>
        <v>46.7</v>
      </c>
      <c r="F1057" s="15"/>
      <c r="G1057" s="15"/>
    </row>
    <row r="1058" spans="1:126" x14ac:dyDescent="0.3">
      <c r="A1058" s="5"/>
      <c r="B1058" s="5" t="s">
        <v>131</v>
      </c>
      <c r="C1058" s="5"/>
      <c r="D1058" s="5" t="s">
        <v>8</v>
      </c>
      <c r="E1058" s="15">
        <f>2.9</f>
        <v>2.9</v>
      </c>
      <c r="F1058" s="15"/>
      <c r="G1058" s="15"/>
    </row>
    <row r="1059" spans="1:126" x14ac:dyDescent="0.3">
      <c r="A1059" s="5"/>
      <c r="B1059" s="5" t="s">
        <v>124</v>
      </c>
      <c r="C1059" s="5"/>
      <c r="D1059" s="5" t="s">
        <v>8</v>
      </c>
      <c r="E1059" s="15">
        <f>0.7</f>
        <v>0.7</v>
      </c>
      <c r="F1059" s="15"/>
      <c r="G1059" s="15"/>
    </row>
    <row r="1060" spans="1:126" x14ac:dyDescent="0.3">
      <c r="A1060" s="5"/>
      <c r="B1060" s="5" t="s">
        <v>205</v>
      </c>
      <c r="C1060" s="5"/>
      <c r="D1060" s="5" t="s">
        <v>8</v>
      </c>
      <c r="E1060" s="15">
        <f>1.7</f>
        <v>1.7</v>
      </c>
      <c r="F1060" s="15"/>
      <c r="G1060" s="15"/>
    </row>
    <row r="1061" spans="1:126" ht="31.2" x14ac:dyDescent="0.3">
      <c r="A1061" s="5"/>
      <c r="B1061" s="11" t="s">
        <v>143</v>
      </c>
      <c r="C1061" s="5"/>
      <c r="D1061" s="5" t="s">
        <v>14</v>
      </c>
      <c r="E1061" s="15">
        <f>240</f>
        <v>240</v>
      </c>
      <c r="F1061" s="15"/>
      <c r="G1061" s="15"/>
    </row>
    <row r="1062" spans="1:126" x14ac:dyDescent="0.3">
      <c r="A1062" s="21"/>
      <c r="B1062" s="21" t="s">
        <v>144</v>
      </c>
      <c r="C1062" s="21"/>
      <c r="D1062" s="21" t="s">
        <v>14</v>
      </c>
      <c r="E1062" s="22">
        <f>1</f>
        <v>1</v>
      </c>
      <c r="F1062" s="22"/>
      <c r="G1062" s="22"/>
    </row>
    <row r="1063" spans="1:126" x14ac:dyDescent="0.3">
      <c r="A1063" s="5"/>
      <c r="B1063" s="5" t="s">
        <v>145</v>
      </c>
      <c r="C1063" s="5"/>
      <c r="D1063" s="5" t="s">
        <v>10</v>
      </c>
      <c r="E1063" s="15">
        <f>90.2</f>
        <v>90.2</v>
      </c>
      <c r="F1063" s="15"/>
      <c r="G1063" s="15"/>
    </row>
    <row r="1064" spans="1:126" x14ac:dyDescent="0.3">
      <c r="A1064" s="5"/>
      <c r="B1064" s="5" t="s">
        <v>129</v>
      </c>
      <c r="C1064" s="5"/>
      <c r="D1064" s="5" t="s">
        <v>8</v>
      </c>
      <c r="E1064" s="15">
        <f>2.9</f>
        <v>2.9</v>
      </c>
      <c r="F1064" s="15"/>
      <c r="G1064" s="15"/>
    </row>
    <row r="1065" spans="1:126" x14ac:dyDescent="0.3">
      <c r="A1065" s="5"/>
      <c r="B1065" s="5" t="s">
        <v>131</v>
      </c>
      <c r="C1065" s="5"/>
      <c r="D1065" s="5" t="s">
        <v>8</v>
      </c>
      <c r="E1065" s="15">
        <f>2</f>
        <v>2</v>
      </c>
      <c r="F1065" s="15"/>
      <c r="G1065" s="15"/>
    </row>
    <row r="1066" spans="1:126" x14ac:dyDescent="0.3">
      <c r="A1066" s="5"/>
      <c r="B1066" s="5" t="s">
        <v>142</v>
      </c>
      <c r="C1066" s="5"/>
      <c r="D1066" s="5" t="s">
        <v>8</v>
      </c>
      <c r="E1066" s="15">
        <f>2.7</f>
        <v>2.7</v>
      </c>
      <c r="F1066" s="15"/>
      <c r="G1066" s="15"/>
    </row>
    <row r="1067" spans="1:126" x14ac:dyDescent="0.3">
      <c r="A1067" s="21"/>
      <c r="B1067" s="21" t="s">
        <v>171</v>
      </c>
      <c r="C1067" s="21"/>
      <c r="D1067" s="21" t="s">
        <v>14</v>
      </c>
      <c r="E1067" s="22">
        <f>2</f>
        <v>2</v>
      </c>
      <c r="F1067" s="22"/>
      <c r="G1067" s="22"/>
    </row>
    <row r="1068" spans="1:126" x14ac:dyDescent="0.3">
      <c r="A1068" s="5"/>
      <c r="B1068" s="5" t="s">
        <v>145</v>
      </c>
      <c r="C1068" s="5"/>
      <c r="D1068" s="5" t="s">
        <v>10</v>
      </c>
      <c r="E1068" s="15">
        <f>1</f>
        <v>1</v>
      </c>
      <c r="F1068" s="15"/>
      <c r="G1068" s="15"/>
    </row>
    <row r="1069" spans="1:126" x14ac:dyDescent="0.3">
      <c r="A1069" s="5"/>
      <c r="B1069" s="5" t="s">
        <v>142</v>
      </c>
      <c r="C1069" s="5"/>
      <c r="D1069" s="5" t="s">
        <v>8</v>
      </c>
      <c r="E1069" s="15">
        <f>0.2</f>
        <v>0.2</v>
      </c>
      <c r="F1069" s="15"/>
      <c r="G1069" s="15"/>
    </row>
    <row r="1070" spans="1:126" x14ac:dyDescent="0.3">
      <c r="A1070" s="21"/>
      <c r="B1070" s="21" t="s">
        <v>219</v>
      </c>
      <c r="C1070" s="21"/>
      <c r="D1070" s="21" t="s">
        <v>69</v>
      </c>
      <c r="E1070" s="22">
        <f>356.9</f>
        <v>356.9</v>
      </c>
      <c r="F1070" s="22"/>
      <c r="G1070" s="22"/>
    </row>
    <row r="1071" spans="1:126" x14ac:dyDescent="0.3">
      <c r="A1071" s="5"/>
      <c r="B1071" s="5" t="s">
        <v>220</v>
      </c>
      <c r="C1071" s="5"/>
      <c r="D1071" s="5" t="s">
        <v>72</v>
      </c>
      <c r="E1071" s="15">
        <v>1606.05</v>
      </c>
      <c r="F1071" s="15"/>
      <c r="G1071" s="15"/>
    </row>
    <row r="1072" spans="1:126" s="25" customFormat="1" x14ac:dyDescent="0.3">
      <c r="A1072" s="23"/>
      <c r="B1072" s="23" t="s">
        <v>315</v>
      </c>
      <c r="C1072" s="23"/>
      <c r="D1072" s="23"/>
      <c r="E1072" s="24"/>
      <c r="F1072" s="24"/>
      <c r="G1072" s="24"/>
      <c r="H1072" s="59"/>
      <c r="I1072" s="59"/>
      <c r="J1072" s="59"/>
      <c r="K1072" s="59"/>
      <c r="L1072" s="59"/>
      <c r="M1072" s="59"/>
      <c r="N1072" s="59"/>
      <c r="O1072" s="59"/>
      <c r="P1072" s="59"/>
      <c r="Q1072" s="59"/>
      <c r="R1072" s="59"/>
      <c r="S1072" s="59"/>
      <c r="T1072" s="59"/>
      <c r="U1072" s="59"/>
      <c r="V1072" s="59"/>
      <c r="W1072" s="59"/>
      <c r="X1072" s="59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9"/>
      <c r="AM1072" s="59"/>
      <c r="AN1072" s="59"/>
      <c r="AO1072" s="59"/>
      <c r="AP1072" s="59"/>
      <c r="AQ1072" s="59"/>
      <c r="AR1072" s="59"/>
      <c r="AS1072" s="59"/>
      <c r="AT1072" s="59"/>
      <c r="AU1072" s="59"/>
      <c r="AV1072" s="59"/>
      <c r="AW1072" s="59"/>
      <c r="AX1072" s="59"/>
      <c r="AY1072" s="59"/>
      <c r="AZ1072" s="59"/>
      <c r="BA1072" s="59"/>
      <c r="BB1072" s="59"/>
      <c r="BC1072" s="59"/>
      <c r="BD1072" s="59"/>
      <c r="BE1072" s="59"/>
      <c r="BF1072" s="59"/>
      <c r="BG1072" s="59"/>
      <c r="BH1072" s="59"/>
      <c r="BI1072" s="59"/>
      <c r="BJ1072" s="59"/>
      <c r="BK1072" s="59"/>
      <c r="BL1072" s="59"/>
      <c r="BM1072" s="59"/>
      <c r="BN1072" s="59"/>
      <c r="BO1072" s="59"/>
      <c r="BP1072" s="59"/>
      <c r="BQ1072" s="59"/>
      <c r="BR1072" s="59"/>
      <c r="BS1072" s="59"/>
      <c r="BT1072" s="59"/>
      <c r="BU1072" s="59"/>
      <c r="BV1072" s="59"/>
      <c r="BW1072" s="59"/>
      <c r="BX1072" s="59"/>
      <c r="BY1072" s="59"/>
      <c r="BZ1072" s="59"/>
      <c r="CA1072" s="59"/>
      <c r="CB1072" s="59"/>
      <c r="CC1072" s="59"/>
      <c r="CD1072" s="59"/>
      <c r="CE1072" s="59"/>
      <c r="CF1072" s="59"/>
      <c r="CG1072" s="59"/>
      <c r="CH1072" s="59"/>
      <c r="CI1072" s="59"/>
      <c r="CJ1072" s="59"/>
      <c r="CK1072" s="59"/>
      <c r="CL1072" s="59"/>
      <c r="CM1072" s="59"/>
      <c r="CN1072" s="59"/>
      <c r="CO1072" s="59"/>
      <c r="CP1072" s="59"/>
      <c r="CQ1072" s="59"/>
      <c r="CR1072" s="59"/>
      <c r="CS1072" s="59"/>
      <c r="CT1072" s="59"/>
      <c r="CU1072" s="59"/>
      <c r="CV1072" s="59"/>
      <c r="CW1072" s="59"/>
      <c r="CX1072" s="59"/>
      <c r="CY1072" s="59"/>
      <c r="CZ1072" s="59"/>
      <c r="DA1072" s="59"/>
      <c r="DB1072" s="59"/>
      <c r="DC1072" s="59"/>
      <c r="DD1072" s="59"/>
      <c r="DE1072" s="59"/>
      <c r="DF1072" s="59"/>
      <c r="DG1072" s="59"/>
      <c r="DH1072" s="59"/>
      <c r="DI1072" s="59"/>
      <c r="DJ1072" s="59"/>
      <c r="DK1072" s="59"/>
      <c r="DL1072" s="59"/>
      <c r="DM1072" s="59"/>
      <c r="DN1072" s="59"/>
      <c r="DO1072" s="59"/>
      <c r="DP1072" s="59"/>
      <c r="DQ1072" s="59"/>
      <c r="DR1072" s="59"/>
      <c r="DS1072" s="59"/>
      <c r="DT1072" s="59"/>
      <c r="DU1072" s="59"/>
      <c r="DV1072" s="59"/>
    </row>
    <row r="1073" spans="1:126" s="3" customFormat="1" x14ac:dyDescent="0.3">
      <c r="A1073" s="21"/>
      <c r="B1073" s="21" t="s">
        <v>316</v>
      </c>
      <c r="C1073" s="21"/>
      <c r="D1073" s="21" t="s">
        <v>14</v>
      </c>
      <c r="E1073" s="22">
        <v>20</v>
      </c>
      <c r="F1073" s="22"/>
      <c r="G1073" s="22"/>
      <c r="H1073" s="59"/>
      <c r="I1073" s="59"/>
      <c r="J1073" s="59"/>
      <c r="K1073" s="59"/>
      <c r="L1073" s="59"/>
      <c r="M1073" s="59"/>
      <c r="N1073" s="59"/>
      <c r="O1073" s="59"/>
      <c r="P1073" s="59"/>
      <c r="Q1073" s="59"/>
      <c r="R1073" s="59"/>
      <c r="S1073" s="59"/>
      <c r="T1073" s="59"/>
      <c r="U1073" s="59"/>
      <c r="V1073" s="59"/>
      <c r="W1073" s="59"/>
      <c r="X1073" s="59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9"/>
      <c r="AM1073" s="59"/>
      <c r="AN1073" s="59"/>
      <c r="AO1073" s="59"/>
      <c r="AP1073" s="59"/>
      <c r="AQ1073" s="59"/>
      <c r="AR1073" s="59"/>
      <c r="AS1073" s="59"/>
      <c r="AT1073" s="59"/>
      <c r="AU1073" s="59"/>
      <c r="AV1073" s="59"/>
      <c r="AW1073" s="59"/>
      <c r="AX1073" s="59"/>
      <c r="AY1073" s="59"/>
      <c r="AZ1073" s="59"/>
      <c r="BA1073" s="59"/>
      <c r="BB1073" s="59"/>
      <c r="BC1073" s="59"/>
      <c r="BD1073" s="59"/>
      <c r="BE1073" s="59"/>
      <c r="BF1073" s="59"/>
      <c r="BG1073" s="59"/>
      <c r="BH1073" s="59"/>
      <c r="BI1073" s="59"/>
      <c r="BJ1073" s="59"/>
      <c r="BK1073" s="59"/>
      <c r="BL1073" s="59"/>
      <c r="BM1073" s="59"/>
      <c r="BN1073" s="59"/>
      <c r="BO1073" s="59"/>
      <c r="BP1073" s="59"/>
      <c r="BQ1073" s="59"/>
      <c r="BR1073" s="59"/>
      <c r="BS1073" s="59"/>
      <c r="BT1073" s="59"/>
      <c r="BU1073" s="59"/>
      <c r="BV1073" s="59"/>
      <c r="BW1073" s="59"/>
      <c r="BX1073" s="59"/>
      <c r="BY1073" s="59"/>
      <c r="BZ1073" s="59"/>
      <c r="CA1073" s="59"/>
      <c r="CB1073" s="59"/>
      <c r="CC1073" s="59"/>
      <c r="CD1073" s="59"/>
      <c r="CE1073" s="59"/>
      <c r="CF1073" s="59"/>
      <c r="CG1073" s="59"/>
      <c r="CH1073" s="59"/>
      <c r="CI1073" s="59"/>
      <c r="CJ1073" s="59"/>
      <c r="CK1073" s="59"/>
      <c r="CL1073" s="59"/>
      <c r="CM1073" s="59"/>
      <c r="CN1073" s="59"/>
      <c r="CO1073" s="59"/>
      <c r="CP1073" s="59"/>
      <c r="CQ1073" s="59"/>
      <c r="CR1073" s="59"/>
      <c r="CS1073" s="59"/>
      <c r="CT1073" s="59"/>
      <c r="CU1073" s="59"/>
      <c r="CV1073" s="59"/>
      <c r="CW1073" s="59"/>
      <c r="CX1073" s="59"/>
      <c r="CY1073" s="59"/>
      <c r="CZ1073" s="59"/>
      <c r="DA1073" s="59"/>
      <c r="DB1073" s="59"/>
      <c r="DC1073" s="59"/>
      <c r="DD1073" s="59"/>
      <c r="DE1073" s="59"/>
      <c r="DF1073" s="59"/>
      <c r="DG1073" s="59"/>
      <c r="DH1073" s="59"/>
      <c r="DI1073" s="59"/>
      <c r="DJ1073" s="59"/>
      <c r="DK1073" s="59"/>
      <c r="DL1073" s="59"/>
      <c r="DM1073" s="59"/>
      <c r="DN1073" s="59"/>
      <c r="DO1073" s="59"/>
      <c r="DP1073" s="59"/>
      <c r="DQ1073" s="59"/>
      <c r="DR1073" s="59"/>
      <c r="DS1073" s="59"/>
      <c r="DT1073" s="59"/>
      <c r="DU1073" s="59"/>
      <c r="DV1073" s="59"/>
    </row>
    <row r="1074" spans="1:126" x14ac:dyDescent="0.3">
      <c r="A1074" s="5"/>
      <c r="B1074" s="5" t="s">
        <v>122</v>
      </c>
      <c r="C1074" s="5"/>
      <c r="D1074" s="5" t="s">
        <v>10</v>
      </c>
      <c r="E1074" s="15">
        <f>1063.8</f>
        <v>1063.8</v>
      </c>
      <c r="F1074" s="15"/>
      <c r="G1074" s="15"/>
    </row>
    <row r="1075" spans="1:126" x14ac:dyDescent="0.3">
      <c r="A1075" s="5"/>
      <c r="B1075" s="5" t="s">
        <v>123</v>
      </c>
      <c r="C1075" s="5"/>
      <c r="D1075" s="5" t="s">
        <v>8</v>
      </c>
      <c r="E1075" s="15">
        <f>229.3</f>
        <v>229.3</v>
      </c>
      <c r="F1075" s="15"/>
      <c r="G1075" s="15"/>
    </row>
    <row r="1076" spans="1:126" x14ac:dyDescent="0.3">
      <c r="A1076" s="5"/>
      <c r="B1076" s="5" t="s">
        <v>124</v>
      </c>
      <c r="C1076" s="5"/>
      <c r="D1076" s="5" t="s">
        <v>8</v>
      </c>
      <c r="E1076" s="15">
        <f>1.8</f>
        <v>1.8</v>
      </c>
      <c r="F1076" s="15"/>
      <c r="G1076" s="15"/>
    </row>
    <row r="1077" spans="1:126" x14ac:dyDescent="0.3">
      <c r="A1077" s="5"/>
      <c r="B1077" s="5" t="s">
        <v>205</v>
      </c>
      <c r="C1077" s="5"/>
      <c r="D1077" s="5" t="s">
        <v>8</v>
      </c>
      <c r="E1077" s="15">
        <f>15.5</f>
        <v>15.5</v>
      </c>
      <c r="F1077" s="15"/>
      <c r="G1077" s="15"/>
    </row>
    <row r="1078" spans="1:126" x14ac:dyDescent="0.3">
      <c r="A1078" s="5"/>
      <c r="B1078" s="5" t="s">
        <v>206</v>
      </c>
      <c r="C1078" s="5"/>
      <c r="D1078" s="5" t="s">
        <v>8</v>
      </c>
      <c r="E1078" s="15">
        <f>12.8</f>
        <v>12.8</v>
      </c>
      <c r="F1078" s="15"/>
      <c r="G1078" s="15"/>
    </row>
    <row r="1079" spans="1:126" x14ac:dyDescent="0.3">
      <c r="A1079" s="5"/>
      <c r="B1079" s="5" t="s">
        <v>223</v>
      </c>
      <c r="C1079" s="5"/>
      <c r="D1079" s="5" t="s">
        <v>8</v>
      </c>
      <c r="E1079" s="15">
        <f>3.4</f>
        <v>3.4</v>
      </c>
      <c r="F1079" s="15"/>
      <c r="G1079" s="15"/>
    </row>
    <row r="1080" spans="1:126" x14ac:dyDescent="0.3">
      <c r="A1080" s="5"/>
      <c r="B1080" s="5" t="s">
        <v>209</v>
      </c>
      <c r="C1080" s="5"/>
      <c r="D1080" s="5" t="s">
        <v>8</v>
      </c>
      <c r="E1080" s="15">
        <f>1.3*0.4</f>
        <v>0.52</v>
      </c>
      <c r="F1080" s="15"/>
      <c r="G1080" s="15"/>
    </row>
    <row r="1081" spans="1:126" s="3" customFormat="1" x14ac:dyDescent="0.3">
      <c r="A1081" s="21"/>
      <c r="B1081" s="21" t="s">
        <v>127</v>
      </c>
      <c r="C1081" s="21"/>
      <c r="D1081" s="21" t="s">
        <v>14</v>
      </c>
      <c r="E1081" s="22">
        <f>1</f>
        <v>1</v>
      </c>
      <c r="F1081" s="22"/>
      <c r="G1081" s="22"/>
      <c r="H1081" s="59"/>
      <c r="I1081" s="59"/>
      <c r="J1081" s="59"/>
      <c r="K1081" s="59"/>
      <c r="L1081" s="59"/>
      <c r="M1081" s="59"/>
      <c r="N1081" s="59"/>
      <c r="O1081" s="59"/>
      <c r="P1081" s="59"/>
      <c r="Q1081" s="59"/>
      <c r="R1081" s="59"/>
      <c r="S1081" s="59"/>
      <c r="T1081" s="59"/>
      <c r="U1081" s="59"/>
      <c r="V1081" s="59"/>
      <c r="W1081" s="59"/>
      <c r="X1081" s="59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9"/>
      <c r="AM1081" s="59"/>
      <c r="AN1081" s="59"/>
      <c r="AO1081" s="59"/>
      <c r="AP1081" s="59"/>
      <c r="AQ1081" s="59"/>
      <c r="AR1081" s="59"/>
      <c r="AS1081" s="59"/>
      <c r="AT1081" s="59"/>
      <c r="AU1081" s="59"/>
      <c r="AV1081" s="59"/>
      <c r="AW1081" s="59"/>
      <c r="AX1081" s="59"/>
      <c r="AY1081" s="59"/>
      <c r="AZ1081" s="59"/>
      <c r="BA1081" s="59"/>
      <c r="BB1081" s="59"/>
      <c r="BC1081" s="59"/>
      <c r="BD1081" s="59"/>
      <c r="BE1081" s="59"/>
      <c r="BF1081" s="59"/>
      <c r="BG1081" s="59"/>
      <c r="BH1081" s="59"/>
      <c r="BI1081" s="59"/>
      <c r="BJ1081" s="59"/>
      <c r="BK1081" s="59"/>
      <c r="BL1081" s="59"/>
      <c r="BM1081" s="59"/>
      <c r="BN1081" s="59"/>
      <c r="BO1081" s="59"/>
      <c r="BP1081" s="59"/>
      <c r="BQ1081" s="59"/>
      <c r="BR1081" s="59"/>
      <c r="BS1081" s="59"/>
      <c r="BT1081" s="59"/>
      <c r="BU1081" s="59"/>
      <c r="BV1081" s="59"/>
      <c r="BW1081" s="59"/>
      <c r="BX1081" s="59"/>
      <c r="BY1081" s="59"/>
      <c r="BZ1081" s="59"/>
      <c r="CA1081" s="59"/>
      <c r="CB1081" s="59"/>
      <c r="CC1081" s="59"/>
      <c r="CD1081" s="59"/>
      <c r="CE1081" s="59"/>
      <c r="CF1081" s="59"/>
      <c r="CG1081" s="59"/>
      <c r="CH1081" s="59"/>
      <c r="CI1081" s="59"/>
      <c r="CJ1081" s="59"/>
      <c r="CK1081" s="59"/>
      <c r="CL1081" s="59"/>
      <c r="CM1081" s="59"/>
      <c r="CN1081" s="59"/>
      <c r="CO1081" s="59"/>
      <c r="CP1081" s="59"/>
      <c r="CQ1081" s="59"/>
      <c r="CR1081" s="59"/>
      <c r="CS1081" s="59"/>
      <c r="CT1081" s="59"/>
      <c r="CU1081" s="59"/>
      <c r="CV1081" s="59"/>
      <c r="CW1081" s="59"/>
      <c r="CX1081" s="59"/>
      <c r="CY1081" s="59"/>
      <c r="CZ1081" s="59"/>
      <c r="DA1081" s="59"/>
      <c r="DB1081" s="59"/>
      <c r="DC1081" s="59"/>
      <c r="DD1081" s="59"/>
      <c r="DE1081" s="59"/>
      <c r="DF1081" s="59"/>
      <c r="DG1081" s="59"/>
      <c r="DH1081" s="59"/>
      <c r="DI1081" s="59"/>
      <c r="DJ1081" s="59"/>
      <c r="DK1081" s="59"/>
      <c r="DL1081" s="59"/>
      <c r="DM1081" s="59"/>
      <c r="DN1081" s="59"/>
      <c r="DO1081" s="59"/>
      <c r="DP1081" s="59"/>
      <c r="DQ1081" s="59"/>
      <c r="DR1081" s="59"/>
      <c r="DS1081" s="59"/>
      <c r="DT1081" s="59"/>
      <c r="DU1081" s="59"/>
      <c r="DV1081" s="59"/>
    </row>
    <row r="1082" spans="1:126" x14ac:dyDescent="0.3">
      <c r="A1082" s="5"/>
      <c r="B1082" s="5" t="s">
        <v>308</v>
      </c>
      <c r="C1082" s="5"/>
      <c r="D1082" s="5" t="s">
        <v>10</v>
      </c>
      <c r="E1082" s="15">
        <f>14.4</f>
        <v>14.4</v>
      </c>
      <c r="F1082" s="15"/>
      <c r="G1082" s="15"/>
    </row>
    <row r="1083" spans="1:126" x14ac:dyDescent="0.3">
      <c r="A1083" s="5"/>
      <c r="B1083" s="5" t="s">
        <v>213</v>
      </c>
      <c r="C1083" s="5"/>
      <c r="D1083" s="5" t="s">
        <v>10</v>
      </c>
      <c r="E1083" s="15">
        <f>457.7</f>
        <v>457.7</v>
      </c>
      <c r="F1083" s="15"/>
      <c r="G1083" s="15"/>
    </row>
    <row r="1084" spans="1:126" x14ac:dyDescent="0.3">
      <c r="A1084" s="5"/>
      <c r="B1084" s="5" t="s">
        <v>129</v>
      </c>
      <c r="C1084" s="5"/>
      <c r="D1084" s="5" t="s">
        <v>8</v>
      </c>
      <c r="E1084" s="15">
        <f>36.1</f>
        <v>36.1</v>
      </c>
      <c r="F1084" s="15"/>
      <c r="G1084" s="15"/>
    </row>
    <row r="1085" spans="1:126" x14ac:dyDescent="0.3">
      <c r="A1085" s="5"/>
      <c r="B1085" s="5" t="s">
        <v>131</v>
      </c>
      <c r="C1085" s="5"/>
      <c r="D1085" s="5" t="s">
        <v>8</v>
      </c>
      <c r="E1085" s="15">
        <f>14.7</f>
        <v>14.7</v>
      </c>
      <c r="F1085" s="15"/>
      <c r="G1085" s="15"/>
    </row>
    <row r="1086" spans="1:126" x14ac:dyDescent="0.3">
      <c r="A1086" s="5"/>
      <c r="B1086" s="5" t="s">
        <v>124</v>
      </c>
      <c r="C1086" s="5"/>
      <c r="D1086" s="5" t="s">
        <v>8</v>
      </c>
      <c r="E1086" s="15">
        <f>10.2</f>
        <v>10.199999999999999</v>
      </c>
      <c r="F1086" s="15"/>
      <c r="G1086" s="15"/>
    </row>
    <row r="1087" spans="1:126" x14ac:dyDescent="0.3">
      <c r="A1087" s="5"/>
      <c r="B1087" s="5" t="s">
        <v>205</v>
      </c>
      <c r="C1087" s="5"/>
      <c r="D1087" s="5" t="s">
        <v>8</v>
      </c>
      <c r="E1087" s="15">
        <f>1</f>
        <v>1</v>
      </c>
      <c r="F1087" s="15"/>
      <c r="G1087" s="15"/>
    </row>
    <row r="1088" spans="1:126" x14ac:dyDescent="0.3">
      <c r="A1088" s="5"/>
      <c r="B1088" s="5" t="s">
        <v>211</v>
      </c>
      <c r="C1088" s="5"/>
      <c r="D1088" s="5" t="s">
        <v>8</v>
      </c>
      <c r="E1088" s="15">
        <f>0.4</f>
        <v>0.4</v>
      </c>
      <c r="F1088" s="15"/>
      <c r="G1088" s="15"/>
    </row>
    <row r="1089" spans="1:7" x14ac:dyDescent="0.3">
      <c r="A1089" s="21"/>
      <c r="B1089" s="21" t="s">
        <v>134</v>
      </c>
      <c r="C1089" s="21"/>
      <c r="D1089" s="21" t="s">
        <v>14</v>
      </c>
      <c r="E1089" s="22">
        <f>60</f>
        <v>60</v>
      </c>
      <c r="F1089" s="22"/>
      <c r="G1089" s="22"/>
    </row>
    <row r="1090" spans="1:7" x14ac:dyDescent="0.3">
      <c r="A1090" s="5"/>
      <c r="B1090" s="5" t="s">
        <v>135</v>
      </c>
      <c r="C1090" s="5"/>
      <c r="D1090" s="5" t="s">
        <v>10</v>
      </c>
      <c r="E1090" s="15">
        <f>63.6</f>
        <v>63.6</v>
      </c>
      <c r="F1090" s="15"/>
      <c r="G1090" s="15"/>
    </row>
    <row r="1091" spans="1:7" x14ac:dyDescent="0.3">
      <c r="A1091" s="5"/>
      <c r="B1091" s="5" t="s">
        <v>136</v>
      </c>
      <c r="C1091" s="5"/>
      <c r="D1091" s="5" t="s">
        <v>8</v>
      </c>
      <c r="E1091" s="15">
        <f>1.9/66*60</f>
        <v>1.7272727272727271</v>
      </c>
      <c r="F1091" s="15"/>
      <c r="G1091" s="15"/>
    </row>
    <row r="1092" spans="1:7" x14ac:dyDescent="0.3">
      <c r="A1092" s="5"/>
      <c r="B1092" s="5" t="s">
        <v>137</v>
      </c>
      <c r="C1092" s="5"/>
      <c r="D1092" s="5" t="s">
        <v>8</v>
      </c>
      <c r="E1092" s="15">
        <f>1.4/66*60</f>
        <v>1.2727272727272725</v>
      </c>
      <c r="F1092" s="15"/>
      <c r="G1092" s="15"/>
    </row>
    <row r="1093" spans="1:7" x14ac:dyDescent="0.3">
      <c r="A1093" s="5"/>
      <c r="B1093" s="5" t="s">
        <v>138</v>
      </c>
      <c r="C1093" s="5"/>
      <c r="D1093" s="5" t="s">
        <v>8</v>
      </c>
      <c r="E1093" s="15">
        <f>0.8/66*60</f>
        <v>0.72727272727272729</v>
      </c>
      <c r="F1093" s="15"/>
      <c r="G1093" s="15"/>
    </row>
    <row r="1094" spans="1:7" x14ac:dyDescent="0.3">
      <c r="A1094" s="5"/>
      <c r="B1094" s="5" t="s">
        <v>139</v>
      </c>
      <c r="C1094" s="5"/>
      <c r="D1094" s="5" t="s">
        <v>8</v>
      </c>
      <c r="E1094" s="15">
        <f>1.3</f>
        <v>1.3</v>
      </c>
      <c r="F1094" s="15"/>
      <c r="G1094" s="15"/>
    </row>
    <row r="1095" spans="1:7" x14ac:dyDescent="0.3">
      <c r="A1095" s="21"/>
      <c r="B1095" s="21" t="s">
        <v>140</v>
      </c>
      <c r="C1095" s="21"/>
      <c r="D1095" s="21" t="s">
        <v>10</v>
      </c>
      <c r="E1095" s="22">
        <f>124.9</f>
        <v>124.9</v>
      </c>
      <c r="F1095" s="22"/>
      <c r="G1095" s="22"/>
    </row>
    <row r="1096" spans="1:7" x14ac:dyDescent="0.3">
      <c r="A1096" s="5"/>
      <c r="B1096" s="5" t="s">
        <v>141</v>
      </c>
      <c r="C1096" s="5"/>
      <c r="D1096" s="5" t="s">
        <v>10</v>
      </c>
      <c r="E1096" s="15">
        <f>124.9</f>
        <v>124.9</v>
      </c>
      <c r="F1096" s="15"/>
      <c r="G1096" s="15"/>
    </row>
    <row r="1097" spans="1:7" x14ac:dyDescent="0.3">
      <c r="A1097" s="5"/>
      <c r="B1097" s="5" t="s">
        <v>123</v>
      </c>
      <c r="C1097" s="5"/>
      <c r="D1097" s="5" t="s">
        <v>8</v>
      </c>
      <c r="E1097" s="15">
        <f>46.7</f>
        <v>46.7</v>
      </c>
      <c r="F1097" s="15"/>
      <c r="G1097" s="15"/>
    </row>
    <row r="1098" spans="1:7" x14ac:dyDescent="0.3">
      <c r="A1098" s="5"/>
      <c r="B1098" s="5" t="s">
        <v>131</v>
      </c>
      <c r="C1098" s="5"/>
      <c r="D1098" s="5" t="s">
        <v>8</v>
      </c>
      <c r="E1098" s="15">
        <f>2.9</f>
        <v>2.9</v>
      </c>
      <c r="F1098" s="15"/>
      <c r="G1098" s="15"/>
    </row>
    <row r="1099" spans="1:7" x14ac:dyDescent="0.3">
      <c r="A1099" s="5"/>
      <c r="B1099" s="5" t="s">
        <v>124</v>
      </c>
      <c r="C1099" s="5"/>
      <c r="D1099" s="5" t="s">
        <v>8</v>
      </c>
      <c r="E1099" s="15">
        <f>0.7</f>
        <v>0.7</v>
      </c>
      <c r="F1099" s="15"/>
      <c r="G1099" s="15"/>
    </row>
    <row r="1100" spans="1:7" x14ac:dyDescent="0.3">
      <c r="A1100" s="5"/>
      <c r="B1100" s="5" t="s">
        <v>205</v>
      </c>
      <c r="C1100" s="5"/>
      <c r="D1100" s="5" t="s">
        <v>8</v>
      </c>
      <c r="E1100" s="15">
        <f>1.7</f>
        <v>1.7</v>
      </c>
      <c r="F1100" s="15"/>
      <c r="G1100" s="15"/>
    </row>
    <row r="1101" spans="1:7" ht="31.2" x14ac:dyDescent="0.3">
      <c r="A1101" s="5"/>
      <c r="B1101" s="11" t="s">
        <v>143</v>
      </c>
      <c r="C1101" s="5"/>
      <c r="D1101" s="5" t="s">
        <v>14</v>
      </c>
      <c r="E1101" s="15">
        <f>240</f>
        <v>240</v>
      </c>
      <c r="F1101" s="15"/>
      <c r="G1101" s="15"/>
    </row>
    <row r="1102" spans="1:7" x14ac:dyDescent="0.3">
      <c r="A1102" s="21"/>
      <c r="B1102" s="21" t="s">
        <v>144</v>
      </c>
      <c r="C1102" s="21"/>
      <c r="D1102" s="21" t="s">
        <v>14</v>
      </c>
      <c r="E1102" s="22">
        <f>1</f>
        <v>1</v>
      </c>
      <c r="F1102" s="22"/>
      <c r="G1102" s="22"/>
    </row>
    <row r="1103" spans="1:7" x14ac:dyDescent="0.3">
      <c r="A1103" s="5"/>
      <c r="B1103" s="5" t="s">
        <v>145</v>
      </c>
      <c r="C1103" s="5"/>
      <c r="D1103" s="5" t="s">
        <v>10</v>
      </c>
      <c r="E1103" s="15">
        <f>89.4</f>
        <v>89.4</v>
      </c>
      <c r="F1103" s="15"/>
      <c r="G1103" s="15"/>
    </row>
    <row r="1104" spans="1:7" x14ac:dyDescent="0.3">
      <c r="A1104" s="5"/>
      <c r="B1104" s="5" t="s">
        <v>129</v>
      </c>
      <c r="C1104" s="5"/>
      <c r="D1104" s="5" t="s">
        <v>8</v>
      </c>
      <c r="E1104" s="15">
        <f>2.9</f>
        <v>2.9</v>
      </c>
      <c r="F1104" s="15"/>
      <c r="G1104" s="15"/>
    </row>
    <row r="1105" spans="1:126" x14ac:dyDescent="0.3">
      <c r="A1105" s="5"/>
      <c r="B1105" s="5" t="s">
        <v>131</v>
      </c>
      <c r="C1105" s="5"/>
      <c r="D1105" s="5" t="s">
        <v>8</v>
      </c>
      <c r="E1105" s="15">
        <f>2</f>
        <v>2</v>
      </c>
      <c r="F1105" s="15"/>
      <c r="G1105" s="15"/>
    </row>
    <row r="1106" spans="1:126" x14ac:dyDescent="0.3">
      <c r="A1106" s="5"/>
      <c r="B1106" s="5" t="s">
        <v>142</v>
      </c>
      <c r="C1106" s="5"/>
      <c r="D1106" s="5" t="s">
        <v>8</v>
      </c>
      <c r="E1106" s="15">
        <f>2.7</f>
        <v>2.7</v>
      </c>
      <c r="F1106" s="15"/>
      <c r="G1106" s="15"/>
    </row>
    <row r="1107" spans="1:126" x14ac:dyDescent="0.3">
      <c r="A1107" s="21"/>
      <c r="B1107" s="21" t="s">
        <v>171</v>
      </c>
      <c r="C1107" s="21"/>
      <c r="D1107" s="21" t="s">
        <v>14</v>
      </c>
      <c r="E1107" s="22">
        <f>2</f>
        <v>2</v>
      </c>
      <c r="F1107" s="22"/>
      <c r="G1107" s="22"/>
    </row>
    <row r="1108" spans="1:126" x14ac:dyDescent="0.3">
      <c r="A1108" s="5"/>
      <c r="B1108" s="5" t="s">
        <v>145</v>
      </c>
      <c r="C1108" s="5"/>
      <c r="D1108" s="5" t="s">
        <v>10</v>
      </c>
      <c r="E1108" s="15">
        <f>3.4</f>
        <v>3.4</v>
      </c>
      <c r="F1108" s="15"/>
      <c r="G1108" s="15"/>
    </row>
    <row r="1109" spans="1:126" x14ac:dyDescent="0.3">
      <c r="A1109" s="5"/>
      <c r="B1109" s="5" t="s">
        <v>142</v>
      </c>
      <c r="C1109" s="5"/>
      <c r="D1109" s="5" t="s">
        <v>8</v>
      </c>
      <c r="E1109" s="15">
        <f>0.5</f>
        <v>0.5</v>
      </c>
      <c r="F1109" s="15"/>
      <c r="G1109" s="15"/>
    </row>
    <row r="1110" spans="1:126" x14ac:dyDescent="0.3">
      <c r="A1110" s="21"/>
      <c r="B1110" s="21" t="s">
        <v>219</v>
      </c>
      <c r="C1110" s="21"/>
      <c r="D1110" s="21" t="s">
        <v>69</v>
      </c>
      <c r="E1110" s="22">
        <f>354.1</f>
        <v>354.1</v>
      </c>
      <c r="F1110" s="22"/>
      <c r="G1110" s="22"/>
    </row>
    <row r="1111" spans="1:126" x14ac:dyDescent="0.3">
      <c r="A1111" s="5"/>
      <c r="B1111" s="5" t="s">
        <v>220</v>
      </c>
      <c r="C1111" s="5"/>
      <c r="D1111" s="5" t="s">
        <v>72</v>
      </c>
      <c r="E1111" s="15">
        <v>1593.45</v>
      </c>
      <c r="F1111" s="15"/>
      <c r="G1111" s="15"/>
    </row>
    <row r="1112" spans="1:126" s="25" customFormat="1" x14ac:dyDescent="0.3">
      <c r="A1112" s="23"/>
      <c r="B1112" s="23" t="s">
        <v>317</v>
      </c>
      <c r="C1112" s="23"/>
      <c r="D1112" s="23"/>
      <c r="E1112" s="24"/>
      <c r="F1112" s="24"/>
      <c r="G1112" s="24"/>
      <c r="H1112" s="59"/>
      <c r="I1112" s="59"/>
      <c r="J1112" s="59"/>
      <c r="K1112" s="59"/>
      <c r="L1112" s="59"/>
      <c r="M1112" s="59"/>
      <c r="N1112" s="59"/>
      <c r="O1112" s="59"/>
      <c r="P1112" s="59"/>
      <c r="Q1112" s="59"/>
      <c r="R1112" s="59"/>
      <c r="S1112" s="59"/>
      <c r="T1112" s="59"/>
      <c r="U1112" s="59"/>
      <c r="V1112" s="59"/>
      <c r="W1112" s="59"/>
      <c r="X1112" s="59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9"/>
      <c r="AM1112" s="59"/>
      <c r="AN1112" s="59"/>
      <c r="AO1112" s="59"/>
      <c r="AP1112" s="59"/>
      <c r="AQ1112" s="59"/>
      <c r="AR1112" s="59"/>
      <c r="AS1112" s="59"/>
      <c r="AT1112" s="59"/>
      <c r="AU1112" s="59"/>
      <c r="AV1112" s="59"/>
      <c r="AW1112" s="59"/>
      <c r="AX1112" s="59"/>
      <c r="AY1112" s="59"/>
      <c r="AZ1112" s="59"/>
      <c r="BA1112" s="59"/>
      <c r="BB1112" s="59"/>
      <c r="BC1112" s="59"/>
      <c r="BD1112" s="59"/>
      <c r="BE1112" s="59"/>
      <c r="BF1112" s="59"/>
      <c r="BG1112" s="59"/>
      <c r="BH1112" s="59"/>
      <c r="BI1112" s="59"/>
      <c r="BJ1112" s="59"/>
      <c r="BK1112" s="59"/>
      <c r="BL1112" s="59"/>
      <c r="BM1112" s="59"/>
      <c r="BN1112" s="59"/>
      <c r="BO1112" s="59"/>
      <c r="BP1112" s="59"/>
      <c r="BQ1112" s="59"/>
      <c r="BR1112" s="59"/>
      <c r="BS1112" s="59"/>
      <c r="BT1112" s="59"/>
      <c r="BU1112" s="59"/>
      <c r="BV1112" s="59"/>
      <c r="BW1112" s="59"/>
      <c r="BX1112" s="59"/>
      <c r="BY1112" s="59"/>
      <c r="BZ1112" s="59"/>
      <c r="CA1112" s="59"/>
      <c r="CB1112" s="59"/>
      <c r="CC1112" s="59"/>
      <c r="CD1112" s="59"/>
      <c r="CE1112" s="59"/>
      <c r="CF1112" s="59"/>
      <c r="CG1112" s="59"/>
      <c r="CH1112" s="59"/>
      <c r="CI1112" s="59"/>
      <c r="CJ1112" s="59"/>
      <c r="CK1112" s="59"/>
      <c r="CL1112" s="59"/>
      <c r="CM1112" s="59"/>
      <c r="CN1112" s="59"/>
      <c r="CO1112" s="59"/>
      <c r="CP1112" s="59"/>
      <c r="CQ1112" s="59"/>
      <c r="CR1112" s="59"/>
      <c r="CS1112" s="59"/>
      <c r="CT1112" s="59"/>
      <c r="CU1112" s="59"/>
      <c r="CV1112" s="59"/>
      <c r="CW1112" s="59"/>
      <c r="CX1112" s="59"/>
      <c r="CY1112" s="59"/>
      <c r="CZ1112" s="59"/>
      <c r="DA1112" s="59"/>
      <c r="DB1112" s="59"/>
      <c r="DC1112" s="59"/>
      <c r="DD1112" s="59"/>
      <c r="DE1112" s="59"/>
      <c r="DF1112" s="59"/>
      <c r="DG1112" s="59"/>
      <c r="DH1112" s="59"/>
      <c r="DI1112" s="59"/>
      <c r="DJ1112" s="59"/>
      <c r="DK1112" s="59"/>
      <c r="DL1112" s="59"/>
      <c r="DM1112" s="59"/>
      <c r="DN1112" s="59"/>
      <c r="DO1112" s="59"/>
      <c r="DP1112" s="59"/>
      <c r="DQ1112" s="59"/>
      <c r="DR1112" s="59"/>
      <c r="DS1112" s="59"/>
      <c r="DT1112" s="59"/>
      <c r="DU1112" s="59"/>
      <c r="DV1112" s="59"/>
    </row>
    <row r="1113" spans="1:126" s="3" customFormat="1" x14ac:dyDescent="0.3">
      <c r="A1113" s="21"/>
      <c r="B1113" s="21" t="s">
        <v>318</v>
      </c>
      <c r="C1113" s="21"/>
      <c r="D1113" s="21" t="s">
        <v>14</v>
      </c>
      <c r="E1113" s="22">
        <v>20</v>
      </c>
      <c r="F1113" s="22"/>
      <c r="G1113" s="22"/>
      <c r="H1113" s="59"/>
      <c r="I1113" s="59"/>
      <c r="J1113" s="59"/>
      <c r="K1113" s="59"/>
      <c r="L1113" s="59"/>
      <c r="M1113" s="59"/>
      <c r="N1113" s="59"/>
      <c r="O1113" s="59"/>
      <c r="P1113" s="59"/>
      <c r="Q1113" s="59"/>
      <c r="R1113" s="59"/>
      <c r="S1113" s="59"/>
      <c r="T1113" s="59"/>
      <c r="U1113" s="59"/>
      <c r="V1113" s="59"/>
      <c r="W1113" s="59"/>
      <c r="X1113" s="59"/>
      <c r="Y1113" s="59"/>
      <c r="Z1113" s="59"/>
      <c r="AA1113" s="59"/>
      <c r="AB1113" s="59"/>
      <c r="AC1113" s="59"/>
      <c r="AD1113" s="59"/>
      <c r="AE1113" s="59"/>
      <c r="AF1113" s="59"/>
      <c r="AG1113" s="59"/>
      <c r="AH1113" s="59"/>
      <c r="AI1113" s="59"/>
      <c r="AJ1113" s="59"/>
      <c r="AK1113" s="59"/>
      <c r="AL1113" s="59"/>
      <c r="AM1113" s="59"/>
      <c r="AN1113" s="59"/>
      <c r="AO1113" s="59"/>
      <c r="AP1113" s="59"/>
      <c r="AQ1113" s="59"/>
      <c r="AR1113" s="59"/>
      <c r="AS1113" s="59"/>
      <c r="AT1113" s="59"/>
      <c r="AU1113" s="59"/>
      <c r="AV1113" s="59"/>
      <c r="AW1113" s="59"/>
      <c r="AX1113" s="59"/>
      <c r="AY1113" s="59"/>
      <c r="AZ1113" s="59"/>
      <c r="BA1113" s="59"/>
      <c r="BB1113" s="59"/>
      <c r="BC1113" s="59"/>
      <c r="BD1113" s="59"/>
      <c r="BE1113" s="59"/>
      <c r="BF1113" s="59"/>
      <c r="BG1113" s="59"/>
      <c r="BH1113" s="59"/>
      <c r="BI1113" s="59"/>
      <c r="BJ1113" s="59"/>
      <c r="BK1113" s="59"/>
      <c r="BL1113" s="59"/>
      <c r="BM1113" s="59"/>
      <c r="BN1113" s="59"/>
      <c r="BO1113" s="59"/>
      <c r="BP1113" s="59"/>
      <c r="BQ1113" s="59"/>
      <c r="BR1113" s="59"/>
      <c r="BS1113" s="59"/>
      <c r="BT1113" s="59"/>
      <c r="BU1113" s="59"/>
      <c r="BV1113" s="59"/>
      <c r="BW1113" s="59"/>
      <c r="BX1113" s="59"/>
      <c r="BY1113" s="59"/>
      <c r="BZ1113" s="59"/>
      <c r="CA1113" s="59"/>
      <c r="CB1113" s="59"/>
      <c r="CC1113" s="59"/>
      <c r="CD1113" s="59"/>
      <c r="CE1113" s="59"/>
      <c r="CF1113" s="59"/>
      <c r="CG1113" s="59"/>
      <c r="CH1113" s="59"/>
      <c r="CI1113" s="59"/>
      <c r="CJ1113" s="59"/>
      <c r="CK1113" s="59"/>
      <c r="CL1113" s="59"/>
      <c r="CM1113" s="59"/>
      <c r="CN1113" s="59"/>
      <c r="CO1113" s="59"/>
      <c r="CP1113" s="59"/>
      <c r="CQ1113" s="59"/>
      <c r="CR1113" s="59"/>
      <c r="CS1113" s="59"/>
      <c r="CT1113" s="59"/>
      <c r="CU1113" s="59"/>
      <c r="CV1113" s="59"/>
      <c r="CW1113" s="59"/>
      <c r="CX1113" s="59"/>
      <c r="CY1113" s="59"/>
      <c r="CZ1113" s="59"/>
      <c r="DA1113" s="59"/>
      <c r="DB1113" s="59"/>
      <c r="DC1113" s="59"/>
      <c r="DD1113" s="59"/>
      <c r="DE1113" s="59"/>
      <c r="DF1113" s="59"/>
      <c r="DG1113" s="59"/>
      <c r="DH1113" s="59"/>
      <c r="DI1113" s="59"/>
      <c r="DJ1113" s="59"/>
      <c r="DK1113" s="59"/>
      <c r="DL1113" s="59"/>
      <c r="DM1113" s="59"/>
      <c r="DN1113" s="59"/>
      <c r="DO1113" s="59"/>
      <c r="DP1113" s="59"/>
      <c r="DQ1113" s="59"/>
      <c r="DR1113" s="59"/>
      <c r="DS1113" s="59"/>
      <c r="DT1113" s="59"/>
      <c r="DU1113" s="59"/>
      <c r="DV1113" s="59"/>
    </row>
    <row r="1114" spans="1:126" x14ac:dyDescent="0.3">
      <c r="A1114" s="5"/>
      <c r="B1114" s="5" t="s">
        <v>122</v>
      </c>
      <c r="C1114" s="5"/>
      <c r="D1114" s="5" t="s">
        <v>10</v>
      </c>
      <c r="E1114" s="15">
        <f>1169.8</f>
        <v>1169.8</v>
      </c>
      <c r="F1114" s="15"/>
      <c r="G1114" s="15"/>
    </row>
    <row r="1115" spans="1:126" x14ac:dyDescent="0.3">
      <c r="A1115" s="5"/>
      <c r="B1115" s="5" t="s">
        <v>123</v>
      </c>
      <c r="C1115" s="5"/>
      <c r="D1115" s="5" t="s">
        <v>8</v>
      </c>
      <c r="E1115" s="15">
        <f>252.1</f>
        <v>252.1</v>
      </c>
      <c r="F1115" s="15"/>
      <c r="G1115" s="15"/>
    </row>
    <row r="1116" spans="1:126" x14ac:dyDescent="0.3">
      <c r="A1116" s="5"/>
      <c r="B1116" s="5" t="s">
        <v>124</v>
      </c>
      <c r="C1116" s="5"/>
      <c r="D1116" s="5" t="s">
        <v>8</v>
      </c>
      <c r="E1116" s="15">
        <f>2</f>
        <v>2</v>
      </c>
      <c r="F1116" s="15"/>
      <c r="G1116" s="15"/>
    </row>
    <row r="1117" spans="1:126" x14ac:dyDescent="0.3">
      <c r="A1117" s="5"/>
      <c r="B1117" s="5" t="s">
        <v>205</v>
      </c>
      <c r="C1117" s="5"/>
      <c r="D1117" s="5" t="s">
        <v>8</v>
      </c>
      <c r="E1117" s="15">
        <f>17.1</f>
        <v>17.100000000000001</v>
      </c>
      <c r="F1117" s="15"/>
      <c r="G1117" s="15"/>
    </row>
    <row r="1118" spans="1:126" x14ac:dyDescent="0.3">
      <c r="A1118" s="5"/>
      <c r="B1118" s="5" t="s">
        <v>206</v>
      </c>
      <c r="C1118" s="5"/>
      <c r="D1118" s="5" t="s">
        <v>8</v>
      </c>
      <c r="E1118" s="15">
        <f>14.1</f>
        <v>14.1</v>
      </c>
      <c r="F1118" s="15"/>
      <c r="G1118" s="15"/>
    </row>
    <row r="1119" spans="1:126" x14ac:dyDescent="0.3">
      <c r="A1119" s="5"/>
      <c r="B1119" s="5" t="s">
        <v>223</v>
      </c>
      <c r="C1119" s="5"/>
      <c r="D1119" s="5" t="s">
        <v>8</v>
      </c>
      <c r="E1119" s="15">
        <f>3.8</f>
        <v>3.8</v>
      </c>
      <c r="F1119" s="15"/>
      <c r="G1119" s="15"/>
    </row>
    <row r="1120" spans="1:126" x14ac:dyDescent="0.3">
      <c r="A1120" s="5"/>
      <c r="B1120" s="5" t="s">
        <v>209</v>
      </c>
      <c r="C1120" s="5"/>
      <c r="D1120" s="5" t="s">
        <v>8</v>
      </c>
      <c r="E1120" s="15">
        <f>1.5*0.4</f>
        <v>0.60000000000000009</v>
      </c>
      <c r="F1120" s="15"/>
      <c r="G1120" s="15"/>
    </row>
    <row r="1121" spans="1:126" s="3" customFormat="1" x14ac:dyDescent="0.3">
      <c r="A1121" s="21"/>
      <c r="B1121" s="21" t="s">
        <v>127</v>
      </c>
      <c r="C1121" s="21"/>
      <c r="D1121" s="21" t="s">
        <v>14</v>
      </c>
      <c r="E1121" s="22">
        <f>1</f>
        <v>1</v>
      </c>
      <c r="F1121" s="22"/>
      <c r="G1121" s="22"/>
      <c r="H1121" s="59"/>
      <c r="I1121" s="59"/>
      <c r="J1121" s="59"/>
      <c r="K1121" s="59"/>
      <c r="L1121" s="59"/>
      <c r="M1121" s="59"/>
      <c r="N1121" s="59"/>
      <c r="O1121" s="59"/>
      <c r="P1121" s="59"/>
      <c r="Q1121" s="59"/>
      <c r="R1121" s="59"/>
      <c r="S1121" s="59"/>
      <c r="T1121" s="59"/>
      <c r="U1121" s="59"/>
      <c r="V1121" s="59"/>
      <c r="W1121" s="59"/>
      <c r="X1121" s="59"/>
      <c r="Y1121" s="59"/>
      <c r="Z1121" s="59"/>
      <c r="AA1121" s="59"/>
      <c r="AB1121" s="59"/>
      <c r="AC1121" s="59"/>
      <c r="AD1121" s="59"/>
      <c r="AE1121" s="59"/>
      <c r="AF1121" s="59"/>
      <c r="AG1121" s="59"/>
      <c r="AH1121" s="59"/>
      <c r="AI1121" s="59"/>
      <c r="AJ1121" s="59"/>
      <c r="AK1121" s="59"/>
      <c r="AL1121" s="59"/>
      <c r="AM1121" s="59"/>
      <c r="AN1121" s="59"/>
      <c r="AO1121" s="59"/>
      <c r="AP1121" s="59"/>
      <c r="AQ1121" s="59"/>
      <c r="AR1121" s="59"/>
      <c r="AS1121" s="59"/>
      <c r="AT1121" s="59"/>
      <c r="AU1121" s="59"/>
      <c r="AV1121" s="59"/>
      <c r="AW1121" s="59"/>
      <c r="AX1121" s="59"/>
      <c r="AY1121" s="59"/>
      <c r="AZ1121" s="59"/>
      <c r="BA1121" s="59"/>
      <c r="BB1121" s="59"/>
      <c r="BC1121" s="59"/>
      <c r="BD1121" s="59"/>
      <c r="BE1121" s="59"/>
      <c r="BF1121" s="59"/>
      <c r="BG1121" s="59"/>
      <c r="BH1121" s="59"/>
      <c r="BI1121" s="59"/>
      <c r="BJ1121" s="59"/>
      <c r="BK1121" s="59"/>
      <c r="BL1121" s="59"/>
      <c r="BM1121" s="59"/>
      <c r="BN1121" s="59"/>
      <c r="BO1121" s="59"/>
      <c r="BP1121" s="59"/>
      <c r="BQ1121" s="59"/>
      <c r="BR1121" s="59"/>
      <c r="BS1121" s="59"/>
      <c r="BT1121" s="59"/>
      <c r="BU1121" s="59"/>
      <c r="BV1121" s="59"/>
      <c r="BW1121" s="59"/>
      <c r="BX1121" s="59"/>
      <c r="BY1121" s="59"/>
      <c r="BZ1121" s="59"/>
      <c r="CA1121" s="59"/>
      <c r="CB1121" s="59"/>
      <c r="CC1121" s="59"/>
      <c r="CD1121" s="59"/>
      <c r="CE1121" s="59"/>
      <c r="CF1121" s="59"/>
      <c r="CG1121" s="59"/>
      <c r="CH1121" s="59"/>
      <c r="CI1121" s="59"/>
      <c r="CJ1121" s="59"/>
      <c r="CK1121" s="59"/>
      <c r="CL1121" s="59"/>
      <c r="CM1121" s="59"/>
      <c r="CN1121" s="59"/>
      <c r="CO1121" s="59"/>
      <c r="CP1121" s="59"/>
      <c r="CQ1121" s="59"/>
      <c r="CR1121" s="59"/>
      <c r="CS1121" s="59"/>
      <c r="CT1121" s="59"/>
      <c r="CU1121" s="59"/>
      <c r="CV1121" s="59"/>
      <c r="CW1121" s="59"/>
      <c r="CX1121" s="59"/>
      <c r="CY1121" s="59"/>
      <c r="CZ1121" s="59"/>
      <c r="DA1121" s="59"/>
      <c r="DB1121" s="59"/>
      <c r="DC1121" s="59"/>
      <c r="DD1121" s="59"/>
      <c r="DE1121" s="59"/>
      <c r="DF1121" s="59"/>
      <c r="DG1121" s="59"/>
      <c r="DH1121" s="59"/>
      <c r="DI1121" s="59"/>
      <c r="DJ1121" s="59"/>
      <c r="DK1121" s="59"/>
      <c r="DL1121" s="59"/>
      <c r="DM1121" s="59"/>
      <c r="DN1121" s="59"/>
      <c r="DO1121" s="59"/>
      <c r="DP1121" s="59"/>
      <c r="DQ1121" s="59"/>
      <c r="DR1121" s="59"/>
      <c r="DS1121" s="59"/>
      <c r="DT1121" s="59"/>
      <c r="DU1121" s="59"/>
      <c r="DV1121" s="59"/>
    </row>
    <row r="1122" spans="1:126" x14ac:dyDescent="0.3">
      <c r="A1122" s="5"/>
      <c r="B1122" s="5" t="s">
        <v>308</v>
      </c>
      <c r="C1122" s="5"/>
      <c r="D1122" s="5" t="s">
        <v>10</v>
      </c>
      <c r="E1122" s="15">
        <f>14.4</f>
        <v>14.4</v>
      </c>
      <c r="F1122" s="15"/>
      <c r="G1122" s="15"/>
    </row>
    <row r="1123" spans="1:126" x14ac:dyDescent="0.3">
      <c r="A1123" s="5"/>
      <c r="B1123" s="5" t="s">
        <v>213</v>
      </c>
      <c r="C1123" s="5"/>
      <c r="D1123" s="5" t="s">
        <v>10</v>
      </c>
      <c r="E1123" s="15">
        <f>457.7</f>
        <v>457.7</v>
      </c>
      <c r="F1123" s="15"/>
      <c r="G1123" s="15"/>
    </row>
    <row r="1124" spans="1:126" x14ac:dyDescent="0.3">
      <c r="A1124" s="5"/>
      <c r="B1124" s="5" t="s">
        <v>129</v>
      </c>
      <c r="C1124" s="5"/>
      <c r="D1124" s="5" t="s">
        <v>8</v>
      </c>
      <c r="E1124" s="15">
        <f>36.1</f>
        <v>36.1</v>
      </c>
      <c r="F1124" s="15"/>
      <c r="G1124" s="15"/>
    </row>
    <row r="1125" spans="1:126" x14ac:dyDescent="0.3">
      <c r="A1125" s="5"/>
      <c r="B1125" s="5" t="s">
        <v>131</v>
      </c>
      <c r="C1125" s="5"/>
      <c r="D1125" s="5" t="s">
        <v>8</v>
      </c>
      <c r="E1125" s="15">
        <f>14.7</f>
        <v>14.7</v>
      </c>
      <c r="F1125" s="15"/>
      <c r="G1125" s="15"/>
    </row>
    <row r="1126" spans="1:126" x14ac:dyDescent="0.3">
      <c r="A1126" s="5"/>
      <c r="B1126" s="5" t="s">
        <v>124</v>
      </c>
      <c r="C1126" s="5"/>
      <c r="D1126" s="5" t="s">
        <v>8</v>
      </c>
      <c r="E1126" s="15">
        <f>10.2</f>
        <v>10.199999999999999</v>
      </c>
      <c r="F1126" s="15"/>
      <c r="G1126" s="15"/>
    </row>
    <row r="1127" spans="1:126" x14ac:dyDescent="0.3">
      <c r="A1127" s="5"/>
      <c r="B1127" s="5" t="s">
        <v>205</v>
      </c>
      <c r="C1127" s="5"/>
      <c r="D1127" s="5" t="s">
        <v>8</v>
      </c>
      <c r="E1127" s="15">
        <f>1</f>
        <v>1</v>
      </c>
      <c r="F1127" s="15"/>
      <c r="G1127" s="15"/>
    </row>
    <row r="1128" spans="1:126" x14ac:dyDescent="0.3">
      <c r="A1128" s="5"/>
      <c r="B1128" s="5" t="s">
        <v>211</v>
      </c>
      <c r="C1128" s="5"/>
      <c r="D1128" s="5" t="s">
        <v>8</v>
      </c>
      <c r="E1128" s="15">
        <f>0.4</f>
        <v>0.4</v>
      </c>
      <c r="F1128" s="15"/>
      <c r="G1128" s="15"/>
    </row>
    <row r="1129" spans="1:126" x14ac:dyDescent="0.3">
      <c r="A1129" s="21"/>
      <c r="B1129" s="21" t="s">
        <v>134</v>
      </c>
      <c r="C1129" s="21"/>
      <c r="D1129" s="21" t="s">
        <v>14</v>
      </c>
      <c r="E1129" s="22">
        <f>60</f>
        <v>60</v>
      </c>
      <c r="F1129" s="22"/>
      <c r="G1129" s="22"/>
    </row>
    <row r="1130" spans="1:126" x14ac:dyDescent="0.3">
      <c r="A1130" s="5"/>
      <c r="B1130" s="5" t="s">
        <v>135</v>
      </c>
      <c r="C1130" s="5"/>
      <c r="D1130" s="5" t="s">
        <v>10</v>
      </c>
      <c r="E1130" s="15">
        <f>63.6</f>
        <v>63.6</v>
      </c>
      <c r="F1130" s="15"/>
      <c r="G1130" s="15"/>
    </row>
    <row r="1131" spans="1:126" x14ac:dyDescent="0.3">
      <c r="A1131" s="5"/>
      <c r="B1131" s="5" t="s">
        <v>136</v>
      </c>
      <c r="C1131" s="5"/>
      <c r="D1131" s="5" t="s">
        <v>8</v>
      </c>
      <c r="E1131" s="15">
        <f>1.9/66*60</f>
        <v>1.7272727272727271</v>
      </c>
      <c r="F1131" s="15"/>
      <c r="G1131" s="15"/>
    </row>
    <row r="1132" spans="1:126" x14ac:dyDescent="0.3">
      <c r="A1132" s="5"/>
      <c r="B1132" s="5" t="s">
        <v>137</v>
      </c>
      <c r="C1132" s="5"/>
      <c r="D1132" s="5" t="s">
        <v>8</v>
      </c>
      <c r="E1132" s="15">
        <f>1.4/66*60</f>
        <v>1.2727272727272725</v>
      </c>
      <c r="F1132" s="15"/>
      <c r="G1132" s="15"/>
    </row>
    <row r="1133" spans="1:126" x14ac:dyDescent="0.3">
      <c r="A1133" s="5"/>
      <c r="B1133" s="5" t="s">
        <v>138</v>
      </c>
      <c r="C1133" s="5"/>
      <c r="D1133" s="5" t="s">
        <v>8</v>
      </c>
      <c r="E1133" s="15">
        <f>0.8/66*60</f>
        <v>0.72727272727272729</v>
      </c>
      <c r="F1133" s="15"/>
      <c r="G1133" s="15"/>
    </row>
    <row r="1134" spans="1:126" x14ac:dyDescent="0.3">
      <c r="A1134" s="5"/>
      <c r="B1134" s="5" t="s">
        <v>139</v>
      </c>
      <c r="C1134" s="5"/>
      <c r="D1134" s="5" t="s">
        <v>8</v>
      </c>
      <c r="E1134" s="15">
        <f>1.3</f>
        <v>1.3</v>
      </c>
      <c r="F1134" s="15"/>
      <c r="G1134" s="15"/>
    </row>
    <row r="1135" spans="1:126" x14ac:dyDescent="0.3">
      <c r="A1135" s="21"/>
      <c r="B1135" s="21" t="s">
        <v>140</v>
      </c>
      <c r="C1135" s="21"/>
      <c r="D1135" s="21" t="s">
        <v>10</v>
      </c>
      <c r="E1135" s="22">
        <f>124.9</f>
        <v>124.9</v>
      </c>
      <c r="F1135" s="22"/>
      <c r="G1135" s="22"/>
    </row>
    <row r="1136" spans="1:126" x14ac:dyDescent="0.3">
      <c r="A1136" s="5"/>
      <c r="B1136" s="5" t="s">
        <v>141</v>
      </c>
      <c r="C1136" s="5"/>
      <c r="D1136" s="5" t="s">
        <v>10</v>
      </c>
      <c r="E1136" s="15">
        <f>124.9</f>
        <v>124.9</v>
      </c>
      <c r="F1136" s="15"/>
      <c r="G1136" s="15"/>
    </row>
    <row r="1137" spans="1:126" x14ac:dyDescent="0.3">
      <c r="A1137" s="5"/>
      <c r="B1137" s="5" t="s">
        <v>123</v>
      </c>
      <c r="C1137" s="5"/>
      <c r="D1137" s="5" t="s">
        <v>8</v>
      </c>
      <c r="E1137" s="15">
        <f>46.7</f>
        <v>46.7</v>
      </c>
      <c r="F1137" s="15"/>
      <c r="G1137" s="15"/>
    </row>
    <row r="1138" spans="1:126" x14ac:dyDescent="0.3">
      <c r="A1138" s="5"/>
      <c r="B1138" s="5" t="s">
        <v>131</v>
      </c>
      <c r="C1138" s="5"/>
      <c r="D1138" s="5" t="s">
        <v>8</v>
      </c>
      <c r="E1138" s="15">
        <f>2.9</f>
        <v>2.9</v>
      </c>
      <c r="F1138" s="15"/>
      <c r="G1138" s="15"/>
    </row>
    <row r="1139" spans="1:126" x14ac:dyDescent="0.3">
      <c r="A1139" s="5"/>
      <c r="B1139" s="5" t="s">
        <v>124</v>
      </c>
      <c r="C1139" s="5"/>
      <c r="D1139" s="5" t="s">
        <v>8</v>
      </c>
      <c r="E1139" s="15">
        <f>0.7</f>
        <v>0.7</v>
      </c>
      <c r="F1139" s="15"/>
      <c r="G1139" s="15"/>
    </row>
    <row r="1140" spans="1:126" x14ac:dyDescent="0.3">
      <c r="A1140" s="5"/>
      <c r="B1140" s="5" t="s">
        <v>205</v>
      </c>
      <c r="C1140" s="5"/>
      <c r="D1140" s="5" t="s">
        <v>8</v>
      </c>
      <c r="E1140" s="15">
        <f>1.7</f>
        <v>1.7</v>
      </c>
      <c r="F1140" s="15"/>
      <c r="G1140" s="15"/>
    </row>
    <row r="1141" spans="1:126" ht="31.2" x14ac:dyDescent="0.3">
      <c r="A1141" s="5"/>
      <c r="B1141" s="11" t="s">
        <v>143</v>
      </c>
      <c r="C1141" s="5"/>
      <c r="D1141" s="5" t="s">
        <v>14</v>
      </c>
      <c r="E1141" s="15">
        <f>240</f>
        <v>240</v>
      </c>
      <c r="F1141" s="15"/>
      <c r="G1141" s="15"/>
    </row>
    <row r="1142" spans="1:126" x14ac:dyDescent="0.3">
      <c r="A1142" s="21"/>
      <c r="B1142" s="21" t="s">
        <v>144</v>
      </c>
      <c r="C1142" s="21"/>
      <c r="D1142" s="21" t="s">
        <v>14</v>
      </c>
      <c r="E1142" s="22">
        <f>1</f>
        <v>1</v>
      </c>
      <c r="F1142" s="22"/>
      <c r="G1142" s="22"/>
    </row>
    <row r="1143" spans="1:126" x14ac:dyDescent="0.3">
      <c r="A1143" s="5"/>
      <c r="B1143" s="5" t="s">
        <v>145</v>
      </c>
      <c r="C1143" s="5"/>
      <c r="D1143" s="5" t="s">
        <v>10</v>
      </c>
      <c r="E1143" s="15">
        <f>90.2</f>
        <v>90.2</v>
      </c>
      <c r="F1143" s="15"/>
      <c r="G1143" s="15"/>
    </row>
    <row r="1144" spans="1:126" x14ac:dyDescent="0.3">
      <c r="A1144" s="5"/>
      <c r="B1144" s="5" t="s">
        <v>129</v>
      </c>
      <c r="C1144" s="5"/>
      <c r="D1144" s="5" t="s">
        <v>8</v>
      </c>
      <c r="E1144" s="15">
        <f>2.9</f>
        <v>2.9</v>
      </c>
      <c r="F1144" s="15"/>
      <c r="G1144" s="15"/>
    </row>
    <row r="1145" spans="1:126" x14ac:dyDescent="0.3">
      <c r="A1145" s="5"/>
      <c r="B1145" s="5" t="s">
        <v>131</v>
      </c>
      <c r="C1145" s="5"/>
      <c r="D1145" s="5" t="s">
        <v>8</v>
      </c>
      <c r="E1145" s="15">
        <f>2</f>
        <v>2</v>
      </c>
      <c r="F1145" s="15"/>
      <c r="G1145" s="15"/>
    </row>
    <row r="1146" spans="1:126" x14ac:dyDescent="0.3">
      <c r="A1146" s="5"/>
      <c r="B1146" s="5" t="s">
        <v>142</v>
      </c>
      <c r="C1146" s="5"/>
      <c r="D1146" s="5" t="s">
        <v>8</v>
      </c>
      <c r="E1146" s="15">
        <f>2.7</f>
        <v>2.7</v>
      </c>
      <c r="F1146" s="15"/>
      <c r="G1146" s="15"/>
    </row>
    <row r="1147" spans="1:126" x14ac:dyDescent="0.3">
      <c r="A1147" s="21"/>
      <c r="B1147" s="21" t="s">
        <v>171</v>
      </c>
      <c r="C1147" s="21"/>
      <c r="D1147" s="21" t="s">
        <v>14</v>
      </c>
      <c r="E1147" s="22">
        <f>2</f>
        <v>2</v>
      </c>
      <c r="F1147" s="22"/>
      <c r="G1147" s="22"/>
    </row>
    <row r="1148" spans="1:126" x14ac:dyDescent="0.3">
      <c r="A1148" s="5"/>
      <c r="B1148" s="5" t="s">
        <v>145</v>
      </c>
      <c r="C1148" s="5"/>
      <c r="D1148" s="5" t="s">
        <v>10</v>
      </c>
      <c r="E1148" s="15">
        <f>2.4</f>
        <v>2.4</v>
      </c>
      <c r="F1148" s="15"/>
      <c r="G1148" s="15"/>
    </row>
    <row r="1149" spans="1:126" x14ac:dyDescent="0.3">
      <c r="A1149" s="5"/>
      <c r="B1149" s="5" t="s">
        <v>142</v>
      </c>
      <c r="C1149" s="5"/>
      <c r="D1149" s="5" t="s">
        <v>8</v>
      </c>
      <c r="E1149" s="15">
        <f>0.4</f>
        <v>0.4</v>
      </c>
      <c r="F1149" s="15"/>
      <c r="G1149" s="15"/>
    </row>
    <row r="1150" spans="1:126" x14ac:dyDescent="0.3">
      <c r="A1150" s="21"/>
      <c r="B1150" s="21" t="s">
        <v>219</v>
      </c>
      <c r="C1150" s="21"/>
      <c r="D1150" s="21" t="s">
        <v>69</v>
      </c>
      <c r="E1150" s="22">
        <f>338</f>
        <v>338</v>
      </c>
      <c r="F1150" s="22"/>
      <c r="G1150" s="22"/>
    </row>
    <row r="1151" spans="1:126" x14ac:dyDescent="0.3">
      <c r="A1151" s="5"/>
      <c r="B1151" s="5" t="s">
        <v>220</v>
      </c>
      <c r="C1151" s="5"/>
      <c r="D1151" s="5" t="s">
        <v>72</v>
      </c>
      <c r="E1151" s="15">
        <v>1521</v>
      </c>
      <c r="F1151" s="15"/>
      <c r="G1151" s="15"/>
    </row>
    <row r="1152" spans="1:126" s="25" customFormat="1" x14ac:dyDescent="0.3">
      <c r="A1152" s="23"/>
      <c r="B1152" s="23" t="s">
        <v>319</v>
      </c>
      <c r="C1152" s="23"/>
      <c r="D1152" s="23"/>
      <c r="E1152" s="24"/>
      <c r="F1152" s="24"/>
      <c r="G1152" s="24"/>
      <c r="H1152" s="59"/>
      <c r="I1152" s="59"/>
      <c r="J1152" s="59"/>
      <c r="K1152" s="59"/>
      <c r="L1152" s="59"/>
      <c r="M1152" s="59"/>
      <c r="N1152" s="59"/>
      <c r="O1152" s="59"/>
      <c r="P1152" s="59"/>
      <c r="Q1152" s="59"/>
      <c r="R1152" s="59"/>
      <c r="S1152" s="59"/>
      <c r="T1152" s="59"/>
      <c r="U1152" s="59"/>
      <c r="V1152" s="59"/>
      <c r="W1152" s="59"/>
      <c r="X1152" s="59"/>
      <c r="Y1152" s="59"/>
      <c r="Z1152" s="59"/>
      <c r="AA1152" s="59"/>
      <c r="AB1152" s="59"/>
      <c r="AC1152" s="59"/>
      <c r="AD1152" s="59"/>
      <c r="AE1152" s="59"/>
      <c r="AF1152" s="59"/>
      <c r="AG1152" s="59"/>
      <c r="AH1152" s="59"/>
      <c r="AI1152" s="59"/>
      <c r="AJ1152" s="59"/>
      <c r="AK1152" s="59"/>
      <c r="AL1152" s="59"/>
      <c r="AM1152" s="59"/>
      <c r="AN1152" s="59"/>
      <c r="AO1152" s="59"/>
      <c r="AP1152" s="59"/>
      <c r="AQ1152" s="59"/>
      <c r="AR1152" s="59"/>
      <c r="AS1152" s="59"/>
      <c r="AT1152" s="59"/>
      <c r="AU1152" s="59"/>
      <c r="AV1152" s="59"/>
      <c r="AW1152" s="59"/>
      <c r="AX1152" s="59"/>
      <c r="AY1152" s="59"/>
      <c r="AZ1152" s="59"/>
      <c r="BA1152" s="59"/>
      <c r="BB1152" s="59"/>
      <c r="BC1152" s="59"/>
      <c r="BD1152" s="59"/>
      <c r="BE1152" s="59"/>
      <c r="BF1152" s="59"/>
      <c r="BG1152" s="59"/>
      <c r="BH1152" s="59"/>
      <c r="BI1152" s="59"/>
      <c r="BJ1152" s="59"/>
      <c r="BK1152" s="59"/>
      <c r="BL1152" s="59"/>
      <c r="BM1152" s="59"/>
      <c r="BN1152" s="59"/>
      <c r="BO1152" s="59"/>
      <c r="BP1152" s="59"/>
      <c r="BQ1152" s="59"/>
      <c r="BR1152" s="59"/>
      <c r="BS1152" s="59"/>
      <c r="BT1152" s="59"/>
      <c r="BU1152" s="59"/>
      <c r="BV1152" s="59"/>
      <c r="BW1152" s="59"/>
      <c r="BX1152" s="59"/>
      <c r="BY1152" s="59"/>
      <c r="BZ1152" s="59"/>
      <c r="CA1152" s="59"/>
      <c r="CB1152" s="59"/>
      <c r="CC1152" s="59"/>
      <c r="CD1152" s="59"/>
      <c r="CE1152" s="59"/>
      <c r="CF1152" s="59"/>
      <c r="CG1152" s="59"/>
      <c r="CH1152" s="59"/>
      <c r="CI1152" s="59"/>
      <c r="CJ1152" s="59"/>
      <c r="CK1152" s="59"/>
      <c r="CL1152" s="59"/>
      <c r="CM1152" s="59"/>
      <c r="CN1152" s="59"/>
      <c r="CO1152" s="59"/>
      <c r="CP1152" s="59"/>
      <c r="CQ1152" s="59"/>
      <c r="CR1152" s="59"/>
      <c r="CS1152" s="59"/>
      <c r="CT1152" s="59"/>
      <c r="CU1152" s="59"/>
      <c r="CV1152" s="59"/>
      <c r="CW1152" s="59"/>
      <c r="CX1152" s="59"/>
      <c r="CY1152" s="59"/>
      <c r="CZ1152" s="59"/>
      <c r="DA1152" s="59"/>
      <c r="DB1152" s="59"/>
      <c r="DC1152" s="59"/>
      <c r="DD1152" s="59"/>
      <c r="DE1152" s="59"/>
      <c r="DF1152" s="59"/>
      <c r="DG1152" s="59"/>
      <c r="DH1152" s="59"/>
      <c r="DI1152" s="59"/>
      <c r="DJ1152" s="59"/>
      <c r="DK1152" s="59"/>
      <c r="DL1152" s="59"/>
      <c r="DM1152" s="59"/>
      <c r="DN1152" s="59"/>
      <c r="DO1152" s="59"/>
      <c r="DP1152" s="59"/>
      <c r="DQ1152" s="59"/>
      <c r="DR1152" s="59"/>
      <c r="DS1152" s="59"/>
      <c r="DT1152" s="59"/>
      <c r="DU1152" s="59"/>
      <c r="DV1152" s="59"/>
    </row>
    <row r="1153" spans="1:126" s="3" customFormat="1" x14ac:dyDescent="0.3">
      <c r="A1153" s="21"/>
      <c r="B1153" s="21" t="s">
        <v>320</v>
      </c>
      <c r="C1153" s="21"/>
      <c r="D1153" s="21" t="s">
        <v>14</v>
      </c>
      <c r="E1153" s="22">
        <v>20</v>
      </c>
      <c r="F1153" s="22"/>
      <c r="G1153" s="22"/>
      <c r="H1153" s="59"/>
      <c r="I1153" s="59"/>
      <c r="J1153" s="59"/>
      <c r="K1153" s="59"/>
      <c r="L1153" s="59"/>
      <c r="M1153" s="59"/>
      <c r="N1153" s="59"/>
      <c r="O1153" s="59"/>
      <c r="P1153" s="59"/>
      <c r="Q1153" s="59"/>
      <c r="R1153" s="59"/>
      <c r="S1153" s="59"/>
      <c r="T1153" s="59"/>
      <c r="U1153" s="59"/>
      <c r="V1153" s="59"/>
      <c r="W1153" s="59"/>
      <c r="X1153" s="59"/>
      <c r="Y1153" s="59"/>
      <c r="Z1153" s="59"/>
      <c r="AA1153" s="59"/>
      <c r="AB1153" s="59"/>
      <c r="AC1153" s="59"/>
      <c r="AD1153" s="59"/>
      <c r="AE1153" s="59"/>
      <c r="AF1153" s="59"/>
      <c r="AG1153" s="59"/>
      <c r="AH1153" s="59"/>
      <c r="AI1153" s="59"/>
      <c r="AJ1153" s="59"/>
      <c r="AK1153" s="59"/>
      <c r="AL1153" s="59"/>
      <c r="AM1153" s="59"/>
      <c r="AN1153" s="59"/>
      <c r="AO1153" s="59"/>
      <c r="AP1153" s="59"/>
      <c r="AQ1153" s="59"/>
      <c r="AR1153" s="59"/>
      <c r="AS1153" s="59"/>
      <c r="AT1153" s="59"/>
      <c r="AU1153" s="59"/>
      <c r="AV1153" s="59"/>
      <c r="AW1153" s="59"/>
      <c r="AX1153" s="59"/>
      <c r="AY1153" s="59"/>
      <c r="AZ1153" s="59"/>
      <c r="BA1153" s="59"/>
      <c r="BB1153" s="59"/>
      <c r="BC1153" s="59"/>
      <c r="BD1153" s="59"/>
      <c r="BE1153" s="59"/>
      <c r="BF1153" s="59"/>
      <c r="BG1153" s="59"/>
      <c r="BH1153" s="59"/>
      <c r="BI1153" s="59"/>
      <c r="BJ1153" s="59"/>
      <c r="BK1153" s="59"/>
      <c r="BL1153" s="59"/>
      <c r="BM1153" s="59"/>
      <c r="BN1153" s="59"/>
      <c r="BO1153" s="59"/>
      <c r="BP1153" s="59"/>
      <c r="BQ1153" s="59"/>
      <c r="BR1153" s="59"/>
      <c r="BS1153" s="59"/>
      <c r="BT1153" s="59"/>
      <c r="BU1153" s="59"/>
      <c r="BV1153" s="59"/>
      <c r="BW1153" s="59"/>
      <c r="BX1153" s="59"/>
      <c r="BY1153" s="59"/>
      <c r="BZ1153" s="59"/>
      <c r="CA1153" s="59"/>
      <c r="CB1153" s="59"/>
      <c r="CC1153" s="59"/>
      <c r="CD1153" s="59"/>
      <c r="CE1153" s="59"/>
      <c r="CF1153" s="59"/>
      <c r="CG1153" s="59"/>
      <c r="CH1153" s="59"/>
      <c r="CI1153" s="59"/>
      <c r="CJ1153" s="59"/>
      <c r="CK1153" s="59"/>
      <c r="CL1153" s="59"/>
      <c r="CM1153" s="59"/>
      <c r="CN1153" s="59"/>
      <c r="CO1153" s="59"/>
      <c r="CP1153" s="59"/>
      <c r="CQ1153" s="59"/>
      <c r="CR1153" s="59"/>
      <c r="CS1153" s="59"/>
      <c r="CT1153" s="59"/>
      <c r="CU1153" s="59"/>
      <c r="CV1153" s="59"/>
      <c r="CW1153" s="59"/>
      <c r="CX1153" s="59"/>
      <c r="CY1153" s="59"/>
      <c r="CZ1153" s="59"/>
      <c r="DA1153" s="59"/>
      <c r="DB1153" s="59"/>
      <c r="DC1153" s="59"/>
      <c r="DD1153" s="59"/>
      <c r="DE1153" s="59"/>
      <c r="DF1153" s="59"/>
      <c r="DG1153" s="59"/>
      <c r="DH1153" s="59"/>
      <c r="DI1153" s="59"/>
      <c r="DJ1153" s="59"/>
      <c r="DK1153" s="59"/>
      <c r="DL1153" s="59"/>
      <c r="DM1153" s="59"/>
      <c r="DN1153" s="59"/>
      <c r="DO1153" s="59"/>
      <c r="DP1153" s="59"/>
      <c r="DQ1153" s="59"/>
      <c r="DR1153" s="59"/>
      <c r="DS1153" s="59"/>
      <c r="DT1153" s="59"/>
      <c r="DU1153" s="59"/>
      <c r="DV1153" s="59"/>
    </row>
    <row r="1154" spans="1:126" x14ac:dyDescent="0.3">
      <c r="A1154" s="5"/>
      <c r="B1154" s="5" t="s">
        <v>122</v>
      </c>
      <c r="C1154" s="5"/>
      <c r="D1154" s="5" t="s">
        <v>10</v>
      </c>
      <c r="E1154" s="15">
        <f>1275.9</f>
        <v>1275.9000000000001</v>
      </c>
      <c r="F1154" s="15"/>
      <c r="G1154" s="15"/>
    </row>
    <row r="1155" spans="1:126" x14ac:dyDescent="0.3">
      <c r="A1155" s="5"/>
      <c r="B1155" s="5" t="s">
        <v>123</v>
      </c>
      <c r="C1155" s="5"/>
      <c r="D1155" s="5" t="s">
        <v>8</v>
      </c>
      <c r="E1155" s="15">
        <f>275</f>
        <v>275</v>
      </c>
      <c r="F1155" s="15"/>
      <c r="G1155" s="15"/>
    </row>
    <row r="1156" spans="1:126" x14ac:dyDescent="0.3">
      <c r="A1156" s="5"/>
      <c r="B1156" s="5" t="s">
        <v>124</v>
      </c>
      <c r="C1156" s="5"/>
      <c r="D1156" s="5" t="s">
        <v>8</v>
      </c>
      <c r="E1156" s="15">
        <f>2.2</f>
        <v>2.2000000000000002</v>
      </c>
      <c r="F1156" s="15"/>
      <c r="G1156" s="15"/>
    </row>
    <row r="1157" spans="1:126" x14ac:dyDescent="0.3">
      <c r="A1157" s="5"/>
      <c r="B1157" s="5" t="s">
        <v>205</v>
      </c>
      <c r="C1157" s="5"/>
      <c r="D1157" s="5" t="s">
        <v>8</v>
      </c>
      <c r="E1157" s="15">
        <f>18.6</f>
        <v>18.600000000000001</v>
      </c>
      <c r="F1157" s="15"/>
      <c r="G1157" s="15"/>
    </row>
    <row r="1158" spans="1:126" x14ac:dyDescent="0.3">
      <c r="A1158" s="5"/>
      <c r="B1158" s="5" t="s">
        <v>206</v>
      </c>
      <c r="C1158" s="5"/>
      <c r="D1158" s="5" t="s">
        <v>8</v>
      </c>
      <c r="E1158" s="15">
        <f>15.4</f>
        <v>15.4</v>
      </c>
      <c r="F1158" s="15"/>
      <c r="G1158" s="15"/>
    </row>
    <row r="1159" spans="1:126" x14ac:dyDescent="0.3">
      <c r="A1159" s="5"/>
      <c r="B1159" s="5" t="s">
        <v>223</v>
      </c>
      <c r="C1159" s="5"/>
      <c r="D1159" s="5" t="s">
        <v>8</v>
      </c>
      <c r="E1159" s="15">
        <f>4.1</f>
        <v>4.0999999999999996</v>
      </c>
      <c r="F1159" s="15"/>
      <c r="G1159" s="15"/>
    </row>
    <row r="1160" spans="1:126" x14ac:dyDescent="0.3">
      <c r="A1160" s="5"/>
      <c r="B1160" s="5" t="s">
        <v>209</v>
      </c>
      <c r="C1160" s="5"/>
      <c r="D1160" s="5" t="s">
        <v>8</v>
      </c>
      <c r="E1160" s="15">
        <f>1.6*0.4</f>
        <v>0.64000000000000012</v>
      </c>
      <c r="F1160" s="15"/>
      <c r="G1160" s="15"/>
    </row>
    <row r="1161" spans="1:126" s="3" customFormat="1" x14ac:dyDescent="0.3">
      <c r="A1161" s="21"/>
      <c r="B1161" s="21" t="s">
        <v>127</v>
      </c>
      <c r="C1161" s="21"/>
      <c r="D1161" s="21" t="s">
        <v>14</v>
      </c>
      <c r="E1161" s="22">
        <f>1</f>
        <v>1</v>
      </c>
      <c r="F1161" s="22"/>
      <c r="G1161" s="22"/>
      <c r="H1161" s="59"/>
      <c r="I1161" s="59"/>
      <c r="J1161" s="59"/>
      <c r="K1161" s="59"/>
      <c r="L1161" s="59"/>
      <c r="M1161" s="59"/>
      <c r="N1161" s="59"/>
      <c r="O1161" s="59"/>
      <c r="P1161" s="59"/>
      <c r="Q1161" s="59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59"/>
      <c r="AC1161" s="59"/>
      <c r="AD1161" s="59"/>
      <c r="AE1161" s="59"/>
      <c r="AF1161" s="59"/>
      <c r="AG1161" s="59"/>
      <c r="AH1161" s="59"/>
      <c r="AI1161" s="59"/>
      <c r="AJ1161" s="59"/>
      <c r="AK1161" s="59"/>
      <c r="AL1161" s="59"/>
      <c r="AM1161" s="59"/>
      <c r="AN1161" s="59"/>
      <c r="AO1161" s="59"/>
      <c r="AP1161" s="59"/>
      <c r="AQ1161" s="59"/>
      <c r="AR1161" s="59"/>
      <c r="AS1161" s="59"/>
      <c r="AT1161" s="59"/>
      <c r="AU1161" s="59"/>
      <c r="AV1161" s="59"/>
      <c r="AW1161" s="59"/>
      <c r="AX1161" s="59"/>
      <c r="AY1161" s="59"/>
      <c r="AZ1161" s="59"/>
      <c r="BA1161" s="59"/>
      <c r="BB1161" s="59"/>
      <c r="BC1161" s="59"/>
      <c r="BD1161" s="59"/>
      <c r="BE1161" s="59"/>
      <c r="BF1161" s="59"/>
      <c r="BG1161" s="59"/>
      <c r="BH1161" s="59"/>
      <c r="BI1161" s="59"/>
      <c r="BJ1161" s="59"/>
      <c r="BK1161" s="59"/>
      <c r="BL1161" s="59"/>
      <c r="BM1161" s="59"/>
      <c r="BN1161" s="59"/>
      <c r="BO1161" s="59"/>
      <c r="BP1161" s="59"/>
      <c r="BQ1161" s="59"/>
      <c r="BR1161" s="59"/>
      <c r="BS1161" s="59"/>
      <c r="BT1161" s="59"/>
      <c r="BU1161" s="59"/>
      <c r="BV1161" s="59"/>
      <c r="BW1161" s="59"/>
      <c r="BX1161" s="59"/>
      <c r="BY1161" s="59"/>
      <c r="BZ1161" s="59"/>
      <c r="CA1161" s="59"/>
      <c r="CB1161" s="59"/>
      <c r="CC1161" s="59"/>
      <c r="CD1161" s="59"/>
      <c r="CE1161" s="59"/>
      <c r="CF1161" s="59"/>
      <c r="CG1161" s="59"/>
      <c r="CH1161" s="59"/>
      <c r="CI1161" s="59"/>
      <c r="CJ1161" s="59"/>
      <c r="CK1161" s="59"/>
      <c r="CL1161" s="59"/>
      <c r="CM1161" s="59"/>
      <c r="CN1161" s="59"/>
      <c r="CO1161" s="59"/>
      <c r="CP1161" s="59"/>
      <c r="CQ1161" s="59"/>
      <c r="CR1161" s="59"/>
      <c r="CS1161" s="59"/>
      <c r="CT1161" s="59"/>
      <c r="CU1161" s="59"/>
      <c r="CV1161" s="59"/>
      <c r="CW1161" s="59"/>
      <c r="CX1161" s="59"/>
      <c r="CY1161" s="59"/>
      <c r="CZ1161" s="59"/>
      <c r="DA1161" s="59"/>
      <c r="DB1161" s="59"/>
      <c r="DC1161" s="59"/>
      <c r="DD1161" s="59"/>
      <c r="DE1161" s="59"/>
      <c r="DF1161" s="59"/>
      <c r="DG1161" s="59"/>
      <c r="DH1161" s="59"/>
      <c r="DI1161" s="59"/>
      <c r="DJ1161" s="59"/>
      <c r="DK1161" s="59"/>
      <c r="DL1161" s="59"/>
      <c r="DM1161" s="59"/>
      <c r="DN1161" s="59"/>
      <c r="DO1161" s="59"/>
      <c r="DP1161" s="59"/>
      <c r="DQ1161" s="59"/>
      <c r="DR1161" s="59"/>
      <c r="DS1161" s="59"/>
      <c r="DT1161" s="59"/>
      <c r="DU1161" s="59"/>
      <c r="DV1161" s="59"/>
    </row>
    <row r="1162" spans="1:126" x14ac:dyDescent="0.3">
      <c r="A1162" s="5"/>
      <c r="B1162" s="5" t="s">
        <v>308</v>
      </c>
      <c r="C1162" s="5"/>
      <c r="D1162" s="5" t="s">
        <v>10</v>
      </c>
      <c r="E1162" s="15">
        <f>14.4</f>
        <v>14.4</v>
      </c>
      <c r="F1162" s="15"/>
      <c r="G1162" s="15"/>
    </row>
    <row r="1163" spans="1:126" x14ac:dyDescent="0.3">
      <c r="A1163" s="5"/>
      <c r="B1163" s="5" t="s">
        <v>213</v>
      </c>
      <c r="C1163" s="5"/>
      <c r="D1163" s="5" t="s">
        <v>10</v>
      </c>
      <c r="E1163" s="15">
        <f>457.7</f>
        <v>457.7</v>
      </c>
      <c r="F1163" s="15"/>
      <c r="G1163" s="15"/>
    </row>
    <row r="1164" spans="1:126" x14ac:dyDescent="0.3">
      <c r="A1164" s="5"/>
      <c r="B1164" s="5" t="s">
        <v>129</v>
      </c>
      <c r="C1164" s="5"/>
      <c r="D1164" s="5" t="s">
        <v>8</v>
      </c>
      <c r="E1164" s="15">
        <f>36.1</f>
        <v>36.1</v>
      </c>
      <c r="F1164" s="15"/>
      <c r="G1164" s="15"/>
    </row>
    <row r="1165" spans="1:126" x14ac:dyDescent="0.3">
      <c r="A1165" s="5"/>
      <c r="B1165" s="5" t="s">
        <v>131</v>
      </c>
      <c r="C1165" s="5"/>
      <c r="D1165" s="5" t="s">
        <v>8</v>
      </c>
      <c r="E1165" s="15">
        <f>14.7</f>
        <v>14.7</v>
      </c>
      <c r="F1165" s="15"/>
      <c r="G1165" s="15"/>
    </row>
    <row r="1166" spans="1:126" x14ac:dyDescent="0.3">
      <c r="A1166" s="5"/>
      <c r="B1166" s="5" t="s">
        <v>124</v>
      </c>
      <c r="C1166" s="5"/>
      <c r="D1166" s="5" t="s">
        <v>8</v>
      </c>
      <c r="E1166" s="15">
        <f>10.2</f>
        <v>10.199999999999999</v>
      </c>
      <c r="F1166" s="15"/>
      <c r="G1166" s="15"/>
    </row>
    <row r="1167" spans="1:126" x14ac:dyDescent="0.3">
      <c r="A1167" s="5"/>
      <c r="B1167" s="5" t="s">
        <v>205</v>
      </c>
      <c r="C1167" s="5"/>
      <c r="D1167" s="5" t="s">
        <v>8</v>
      </c>
      <c r="E1167" s="15">
        <f>1</f>
        <v>1</v>
      </c>
      <c r="F1167" s="15"/>
      <c r="G1167" s="15"/>
    </row>
    <row r="1168" spans="1:126" x14ac:dyDescent="0.3">
      <c r="A1168" s="5"/>
      <c r="B1168" s="5" t="s">
        <v>211</v>
      </c>
      <c r="C1168" s="5"/>
      <c r="D1168" s="5" t="s">
        <v>8</v>
      </c>
      <c r="E1168" s="15">
        <f>0.4</f>
        <v>0.4</v>
      </c>
      <c r="F1168" s="15"/>
      <c r="G1168" s="15"/>
    </row>
    <row r="1169" spans="1:7" x14ac:dyDescent="0.3">
      <c r="A1169" s="21"/>
      <c r="B1169" s="21" t="s">
        <v>134</v>
      </c>
      <c r="C1169" s="21"/>
      <c r="D1169" s="21" t="s">
        <v>14</v>
      </c>
      <c r="E1169" s="22">
        <f>66</f>
        <v>66</v>
      </c>
      <c r="F1169" s="22"/>
      <c r="G1169" s="22"/>
    </row>
    <row r="1170" spans="1:7" x14ac:dyDescent="0.3">
      <c r="A1170" s="5"/>
      <c r="B1170" s="5" t="s">
        <v>135</v>
      </c>
      <c r="C1170" s="5"/>
      <c r="D1170" s="5" t="s">
        <v>10</v>
      </c>
      <c r="E1170" s="15">
        <f>70</f>
        <v>70</v>
      </c>
      <c r="F1170" s="15"/>
      <c r="G1170" s="15"/>
    </row>
    <row r="1171" spans="1:7" x14ac:dyDescent="0.3">
      <c r="A1171" s="5"/>
      <c r="B1171" s="5" t="s">
        <v>136</v>
      </c>
      <c r="C1171" s="5"/>
      <c r="D1171" s="5" t="s">
        <v>8</v>
      </c>
      <c r="E1171" s="15">
        <f>1.9</f>
        <v>1.9</v>
      </c>
      <c r="F1171" s="15"/>
      <c r="G1171" s="15"/>
    </row>
    <row r="1172" spans="1:7" x14ac:dyDescent="0.3">
      <c r="A1172" s="5"/>
      <c r="B1172" s="5" t="s">
        <v>137</v>
      </c>
      <c r="C1172" s="5"/>
      <c r="D1172" s="5" t="s">
        <v>8</v>
      </c>
      <c r="E1172" s="15">
        <f>1.4</f>
        <v>1.4</v>
      </c>
      <c r="F1172" s="15"/>
      <c r="G1172" s="15"/>
    </row>
    <row r="1173" spans="1:7" x14ac:dyDescent="0.3">
      <c r="A1173" s="5"/>
      <c r="B1173" s="5" t="s">
        <v>138</v>
      </c>
      <c r="C1173" s="5"/>
      <c r="D1173" s="5" t="s">
        <v>8</v>
      </c>
      <c r="E1173" s="15">
        <f>0.8</f>
        <v>0.8</v>
      </c>
      <c r="F1173" s="15"/>
      <c r="G1173" s="15"/>
    </row>
    <row r="1174" spans="1:7" x14ac:dyDescent="0.3">
      <c r="A1174" s="5"/>
      <c r="B1174" s="5" t="s">
        <v>139</v>
      </c>
      <c r="C1174" s="5"/>
      <c r="D1174" s="5" t="s">
        <v>8</v>
      </c>
      <c r="E1174" s="15">
        <f>1.4</f>
        <v>1.4</v>
      </c>
      <c r="F1174" s="15"/>
      <c r="G1174" s="15"/>
    </row>
    <row r="1175" spans="1:7" x14ac:dyDescent="0.3">
      <c r="A1175" s="21"/>
      <c r="B1175" s="21" t="s">
        <v>140</v>
      </c>
      <c r="C1175" s="21"/>
      <c r="D1175" s="21" t="s">
        <v>10</v>
      </c>
      <c r="E1175" s="22">
        <f>137.3</f>
        <v>137.30000000000001</v>
      </c>
      <c r="F1175" s="22"/>
      <c r="G1175" s="22"/>
    </row>
    <row r="1176" spans="1:7" x14ac:dyDescent="0.3">
      <c r="A1176" s="5"/>
      <c r="B1176" s="5" t="s">
        <v>141</v>
      </c>
      <c r="C1176" s="5"/>
      <c r="D1176" s="5" t="s">
        <v>10</v>
      </c>
      <c r="E1176" s="15">
        <f>137.3</f>
        <v>137.30000000000001</v>
      </c>
      <c r="F1176" s="15"/>
      <c r="G1176" s="15"/>
    </row>
    <row r="1177" spans="1:7" x14ac:dyDescent="0.3">
      <c r="A1177" s="5"/>
      <c r="B1177" s="5" t="s">
        <v>123</v>
      </c>
      <c r="C1177" s="5"/>
      <c r="D1177" s="5" t="s">
        <v>8</v>
      </c>
      <c r="E1177" s="15">
        <f>50.2</f>
        <v>50.2</v>
      </c>
      <c r="F1177" s="15"/>
      <c r="G1177" s="15"/>
    </row>
    <row r="1178" spans="1:7" x14ac:dyDescent="0.3">
      <c r="A1178" s="5"/>
      <c r="B1178" s="5" t="s">
        <v>131</v>
      </c>
      <c r="C1178" s="5"/>
      <c r="D1178" s="5" t="s">
        <v>8</v>
      </c>
      <c r="E1178" s="15">
        <f>3.3</f>
        <v>3.3</v>
      </c>
      <c r="F1178" s="15"/>
      <c r="G1178" s="15"/>
    </row>
    <row r="1179" spans="1:7" x14ac:dyDescent="0.3">
      <c r="A1179" s="5"/>
      <c r="B1179" s="5" t="s">
        <v>124</v>
      </c>
      <c r="C1179" s="5"/>
      <c r="D1179" s="5" t="s">
        <v>8</v>
      </c>
      <c r="E1179" s="15">
        <f>0.8</f>
        <v>0.8</v>
      </c>
      <c r="F1179" s="15"/>
      <c r="G1179" s="15"/>
    </row>
    <row r="1180" spans="1:7" x14ac:dyDescent="0.3">
      <c r="A1180" s="5"/>
      <c r="B1180" s="5" t="s">
        <v>205</v>
      </c>
      <c r="C1180" s="5"/>
      <c r="D1180" s="5" t="s">
        <v>8</v>
      </c>
      <c r="E1180" s="15">
        <f>1.9</f>
        <v>1.9</v>
      </c>
      <c r="F1180" s="15"/>
      <c r="G1180" s="15"/>
    </row>
    <row r="1181" spans="1:7" ht="31.2" x14ac:dyDescent="0.3">
      <c r="A1181" s="5"/>
      <c r="B1181" s="11" t="s">
        <v>143</v>
      </c>
      <c r="C1181" s="5"/>
      <c r="D1181" s="5" t="s">
        <v>14</v>
      </c>
      <c r="E1181" s="15">
        <f>240</f>
        <v>240</v>
      </c>
      <c r="F1181" s="15"/>
      <c r="G1181" s="15"/>
    </row>
    <row r="1182" spans="1:7" x14ac:dyDescent="0.3">
      <c r="A1182" s="21"/>
      <c r="B1182" s="21" t="s">
        <v>144</v>
      </c>
      <c r="C1182" s="21"/>
      <c r="D1182" s="21" t="s">
        <v>14</v>
      </c>
      <c r="E1182" s="22">
        <f>1</f>
        <v>1</v>
      </c>
      <c r="F1182" s="22"/>
      <c r="G1182" s="22"/>
    </row>
    <row r="1183" spans="1:7" x14ac:dyDescent="0.3">
      <c r="A1183" s="5"/>
      <c r="B1183" s="5" t="s">
        <v>145</v>
      </c>
      <c r="C1183" s="5"/>
      <c r="D1183" s="5" t="s">
        <v>10</v>
      </c>
      <c r="E1183" s="15">
        <f>90.2</f>
        <v>90.2</v>
      </c>
      <c r="F1183" s="15"/>
      <c r="G1183" s="15"/>
    </row>
    <row r="1184" spans="1:7" x14ac:dyDescent="0.3">
      <c r="A1184" s="5"/>
      <c r="B1184" s="5" t="s">
        <v>129</v>
      </c>
      <c r="C1184" s="5"/>
      <c r="D1184" s="5" t="s">
        <v>8</v>
      </c>
      <c r="E1184" s="15">
        <f>2.9</f>
        <v>2.9</v>
      </c>
      <c r="F1184" s="15"/>
      <c r="G1184" s="15"/>
    </row>
    <row r="1185" spans="1:126" x14ac:dyDescent="0.3">
      <c r="A1185" s="5"/>
      <c r="B1185" s="5" t="s">
        <v>131</v>
      </c>
      <c r="C1185" s="5"/>
      <c r="D1185" s="5" t="s">
        <v>8</v>
      </c>
      <c r="E1185" s="15">
        <f>2</f>
        <v>2</v>
      </c>
      <c r="F1185" s="15"/>
      <c r="G1185" s="15"/>
    </row>
    <row r="1186" spans="1:126" x14ac:dyDescent="0.3">
      <c r="A1186" s="5"/>
      <c r="B1186" s="5" t="s">
        <v>142</v>
      </c>
      <c r="C1186" s="5"/>
      <c r="D1186" s="5" t="s">
        <v>8</v>
      </c>
      <c r="E1186" s="15">
        <f>2.7</f>
        <v>2.7</v>
      </c>
      <c r="F1186" s="15"/>
      <c r="G1186" s="15"/>
    </row>
    <row r="1187" spans="1:126" x14ac:dyDescent="0.3">
      <c r="A1187" s="21"/>
      <c r="B1187" s="21" t="s">
        <v>171</v>
      </c>
      <c r="C1187" s="21"/>
      <c r="D1187" s="21" t="s">
        <v>14</v>
      </c>
      <c r="E1187" s="22">
        <f>2</f>
        <v>2</v>
      </c>
      <c r="F1187" s="22"/>
      <c r="G1187" s="22"/>
    </row>
    <row r="1188" spans="1:126" x14ac:dyDescent="0.3">
      <c r="A1188" s="5"/>
      <c r="B1188" s="5" t="s">
        <v>145</v>
      </c>
      <c r="C1188" s="5"/>
      <c r="D1188" s="5" t="s">
        <v>10</v>
      </c>
      <c r="E1188" s="15">
        <f>1</f>
        <v>1</v>
      </c>
      <c r="F1188" s="15"/>
      <c r="G1188" s="15"/>
    </row>
    <row r="1189" spans="1:126" x14ac:dyDescent="0.3">
      <c r="A1189" s="5"/>
      <c r="B1189" s="5" t="s">
        <v>142</v>
      </c>
      <c r="C1189" s="5"/>
      <c r="D1189" s="5" t="s">
        <v>8</v>
      </c>
      <c r="E1189" s="15">
        <v>0.2</v>
      </c>
      <c r="F1189" s="15"/>
      <c r="G1189" s="15"/>
    </row>
    <row r="1190" spans="1:126" x14ac:dyDescent="0.3">
      <c r="A1190" s="21"/>
      <c r="B1190" s="21" t="s">
        <v>219</v>
      </c>
      <c r="C1190" s="21"/>
      <c r="D1190" s="21" t="s">
        <v>69</v>
      </c>
      <c r="E1190" s="22">
        <f>351.5</f>
        <v>351.5</v>
      </c>
      <c r="F1190" s="22"/>
      <c r="G1190" s="22"/>
    </row>
    <row r="1191" spans="1:126" x14ac:dyDescent="0.3">
      <c r="A1191" s="5"/>
      <c r="B1191" s="5" t="s">
        <v>220</v>
      </c>
      <c r="C1191" s="5"/>
      <c r="D1191" s="5" t="s">
        <v>72</v>
      </c>
      <c r="E1191" s="15">
        <v>1581.75</v>
      </c>
      <c r="F1191" s="15"/>
      <c r="G1191" s="15"/>
    </row>
    <row r="1192" spans="1:126" s="25" customFormat="1" x14ac:dyDescent="0.3">
      <c r="A1192" s="23"/>
      <c r="B1192" s="23" t="s">
        <v>321</v>
      </c>
      <c r="C1192" s="23"/>
      <c r="D1192" s="23"/>
      <c r="E1192" s="24"/>
      <c r="F1192" s="24"/>
      <c r="G1192" s="24"/>
      <c r="H1192" s="59"/>
      <c r="I1192" s="59"/>
      <c r="J1192" s="59"/>
      <c r="K1192" s="59"/>
      <c r="L1192" s="59"/>
      <c r="M1192" s="59"/>
      <c r="N1192" s="59"/>
      <c r="O1192" s="59"/>
      <c r="P1192" s="59"/>
      <c r="Q1192" s="59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59"/>
      <c r="AC1192" s="59"/>
      <c r="AD1192" s="59"/>
      <c r="AE1192" s="59"/>
      <c r="AF1192" s="59"/>
      <c r="AG1192" s="59"/>
      <c r="AH1192" s="59"/>
      <c r="AI1192" s="59"/>
      <c r="AJ1192" s="59"/>
      <c r="AK1192" s="59"/>
      <c r="AL1192" s="59"/>
      <c r="AM1192" s="59"/>
      <c r="AN1192" s="59"/>
      <c r="AO1192" s="59"/>
      <c r="AP1192" s="59"/>
      <c r="AQ1192" s="59"/>
      <c r="AR1192" s="59"/>
      <c r="AS1192" s="59"/>
      <c r="AT1192" s="59"/>
      <c r="AU1192" s="59"/>
      <c r="AV1192" s="59"/>
      <c r="AW1192" s="59"/>
      <c r="AX1192" s="59"/>
      <c r="AY1192" s="59"/>
      <c r="AZ1192" s="59"/>
      <c r="BA1192" s="59"/>
      <c r="BB1192" s="59"/>
      <c r="BC1192" s="59"/>
      <c r="BD1192" s="59"/>
      <c r="BE1192" s="59"/>
      <c r="BF1192" s="59"/>
      <c r="BG1192" s="59"/>
      <c r="BH1192" s="59"/>
      <c r="BI1192" s="59"/>
      <c r="BJ1192" s="59"/>
      <c r="BK1192" s="59"/>
      <c r="BL1192" s="59"/>
      <c r="BM1192" s="59"/>
      <c r="BN1192" s="59"/>
      <c r="BO1192" s="59"/>
      <c r="BP1192" s="59"/>
      <c r="BQ1192" s="59"/>
      <c r="BR1192" s="59"/>
      <c r="BS1192" s="59"/>
      <c r="BT1192" s="59"/>
      <c r="BU1192" s="59"/>
      <c r="BV1192" s="59"/>
      <c r="BW1192" s="59"/>
      <c r="BX1192" s="59"/>
      <c r="BY1192" s="59"/>
      <c r="BZ1192" s="59"/>
      <c r="CA1192" s="59"/>
      <c r="CB1192" s="59"/>
      <c r="CC1192" s="59"/>
      <c r="CD1192" s="59"/>
      <c r="CE1192" s="59"/>
      <c r="CF1192" s="59"/>
      <c r="CG1192" s="59"/>
      <c r="CH1192" s="59"/>
      <c r="CI1192" s="59"/>
      <c r="CJ1192" s="59"/>
      <c r="CK1192" s="59"/>
      <c r="CL1192" s="59"/>
      <c r="CM1192" s="59"/>
      <c r="CN1192" s="59"/>
      <c r="CO1192" s="59"/>
      <c r="CP1192" s="59"/>
      <c r="CQ1192" s="59"/>
      <c r="CR1192" s="59"/>
      <c r="CS1192" s="59"/>
      <c r="CT1192" s="59"/>
      <c r="CU1192" s="59"/>
      <c r="CV1192" s="59"/>
      <c r="CW1192" s="59"/>
      <c r="CX1192" s="59"/>
      <c r="CY1192" s="59"/>
      <c r="CZ1192" s="59"/>
      <c r="DA1192" s="59"/>
      <c r="DB1192" s="59"/>
      <c r="DC1192" s="59"/>
      <c r="DD1192" s="59"/>
      <c r="DE1192" s="59"/>
      <c r="DF1192" s="59"/>
      <c r="DG1192" s="59"/>
      <c r="DH1192" s="59"/>
      <c r="DI1192" s="59"/>
      <c r="DJ1192" s="59"/>
      <c r="DK1192" s="59"/>
      <c r="DL1192" s="59"/>
      <c r="DM1192" s="59"/>
      <c r="DN1192" s="59"/>
      <c r="DO1192" s="59"/>
      <c r="DP1192" s="59"/>
      <c r="DQ1192" s="59"/>
      <c r="DR1192" s="59"/>
      <c r="DS1192" s="59"/>
      <c r="DT1192" s="59"/>
      <c r="DU1192" s="59"/>
      <c r="DV1192" s="59"/>
    </row>
    <row r="1193" spans="1:126" s="3" customFormat="1" x14ac:dyDescent="0.3">
      <c r="A1193" s="21"/>
      <c r="B1193" s="21" t="s">
        <v>322</v>
      </c>
      <c r="C1193" s="21"/>
      <c r="D1193" s="21" t="s">
        <v>14</v>
      </c>
      <c r="E1193" s="22">
        <v>20</v>
      </c>
      <c r="F1193" s="22"/>
      <c r="G1193" s="22"/>
      <c r="H1193" s="59"/>
      <c r="I1193" s="59"/>
      <c r="J1193" s="59"/>
      <c r="K1193" s="59"/>
      <c r="L1193" s="59"/>
      <c r="M1193" s="59"/>
      <c r="N1193" s="59"/>
      <c r="O1193" s="59"/>
      <c r="P1193" s="59"/>
      <c r="Q1193" s="59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59"/>
      <c r="AC1193" s="59"/>
      <c r="AD1193" s="59"/>
      <c r="AE1193" s="59"/>
      <c r="AF1193" s="59"/>
      <c r="AG1193" s="59"/>
      <c r="AH1193" s="59"/>
      <c r="AI1193" s="59"/>
      <c r="AJ1193" s="59"/>
      <c r="AK1193" s="59"/>
      <c r="AL1193" s="59"/>
      <c r="AM1193" s="59"/>
      <c r="AN1193" s="59"/>
      <c r="AO1193" s="59"/>
      <c r="AP1193" s="59"/>
      <c r="AQ1193" s="59"/>
      <c r="AR1193" s="59"/>
      <c r="AS1193" s="59"/>
      <c r="AT1193" s="59"/>
      <c r="AU1193" s="59"/>
      <c r="AV1193" s="59"/>
      <c r="AW1193" s="59"/>
      <c r="AX1193" s="59"/>
      <c r="AY1193" s="59"/>
      <c r="AZ1193" s="59"/>
      <c r="BA1193" s="59"/>
      <c r="BB1193" s="59"/>
      <c r="BC1193" s="59"/>
      <c r="BD1193" s="59"/>
      <c r="BE1193" s="59"/>
      <c r="BF1193" s="59"/>
      <c r="BG1193" s="59"/>
      <c r="BH1193" s="59"/>
      <c r="BI1193" s="59"/>
      <c r="BJ1193" s="59"/>
      <c r="BK1193" s="59"/>
      <c r="BL1193" s="59"/>
      <c r="BM1193" s="59"/>
      <c r="BN1193" s="59"/>
      <c r="BO1193" s="59"/>
      <c r="BP1193" s="59"/>
      <c r="BQ1193" s="59"/>
      <c r="BR1193" s="59"/>
      <c r="BS1193" s="59"/>
      <c r="BT1193" s="59"/>
      <c r="BU1193" s="59"/>
      <c r="BV1193" s="59"/>
      <c r="BW1193" s="59"/>
      <c r="BX1193" s="59"/>
      <c r="BY1193" s="59"/>
      <c r="BZ1193" s="59"/>
      <c r="CA1193" s="59"/>
      <c r="CB1193" s="59"/>
      <c r="CC1193" s="59"/>
      <c r="CD1193" s="59"/>
      <c r="CE1193" s="59"/>
      <c r="CF1193" s="59"/>
      <c r="CG1193" s="59"/>
      <c r="CH1193" s="59"/>
      <c r="CI1193" s="59"/>
      <c r="CJ1193" s="59"/>
      <c r="CK1193" s="59"/>
      <c r="CL1193" s="59"/>
      <c r="CM1193" s="59"/>
      <c r="CN1193" s="59"/>
      <c r="CO1193" s="59"/>
      <c r="CP1193" s="59"/>
      <c r="CQ1193" s="59"/>
      <c r="CR1193" s="59"/>
      <c r="CS1193" s="59"/>
      <c r="CT1193" s="59"/>
      <c r="CU1193" s="59"/>
      <c r="CV1193" s="59"/>
      <c r="CW1193" s="59"/>
      <c r="CX1193" s="59"/>
      <c r="CY1193" s="59"/>
      <c r="CZ1193" s="59"/>
      <c r="DA1193" s="59"/>
      <c r="DB1193" s="59"/>
      <c r="DC1193" s="59"/>
      <c r="DD1193" s="59"/>
      <c r="DE1193" s="59"/>
      <c r="DF1193" s="59"/>
      <c r="DG1193" s="59"/>
      <c r="DH1193" s="59"/>
      <c r="DI1193" s="59"/>
      <c r="DJ1193" s="59"/>
      <c r="DK1193" s="59"/>
      <c r="DL1193" s="59"/>
      <c r="DM1193" s="59"/>
      <c r="DN1193" s="59"/>
      <c r="DO1193" s="59"/>
      <c r="DP1193" s="59"/>
      <c r="DQ1193" s="59"/>
      <c r="DR1193" s="59"/>
      <c r="DS1193" s="59"/>
      <c r="DT1193" s="59"/>
      <c r="DU1193" s="59"/>
      <c r="DV1193" s="59"/>
    </row>
    <row r="1194" spans="1:126" x14ac:dyDescent="0.3">
      <c r="A1194" s="5"/>
      <c r="B1194" s="5" t="s">
        <v>122</v>
      </c>
      <c r="C1194" s="5"/>
      <c r="D1194" s="5" t="s">
        <v>10</v>
      </c>
      <c r="E1194" s="15">
        <f>922.3</f>
        <v>922.3</v>
      </c>
      <c r="F1194" s="15"/>
      <c r="G1194" s="15"/>
    </row>
    <row r="1195" spans="1:126" x14ac:dyDescent="0.3">
      <c r="A1195" s="5"/>
      <c r="B1195" s="5" t="s">
        <v>123</v>
      </c>
      <c r="C1195" s="5"/>
      <c r="D1195" s="5" t="s">
        <v>8</v>
      </c>
      <c r="E1195" s="15">
        <f>198.8</f>
        <v>198.8</v>
      </c>
      <c r="F1195" s="15"/>
      <c r="G1195" s="15"/>
    </row>
    <row r="1196" spans="1:126" x14ac:dyDescent="0.3">
      <c r="A1196" s="5"/>
      <c r="B1196" s="5" t="s">
        <v>124</v>
      </c>
      <c r="C1196" s="5"/>
      <c r="D1196" s="5" t="s">
        <v>8</v>
      </c>
      <c r="E1196" s="15">
        <f>1.6</f>
        <v>1.6</v>
      </c>
      <c r="F1196" s="15"/>
      <c r="G1196" s="15"/>
    </row>
    <row r="1197" spans="1:126" x14ac:dyDescent="0.3">
      <c r="A1197" s="5"/>
      <c r="B1197" s="5" t="s">
        <v>205</v>
      </c>
      <c r="C1197" s="5"/>
      <c r="D1197" s="5" t="s">
        <v>8</v>
      </c>
      <c r="E1197" s="15">
        <f>13.4</f>
        <v>13.4</v>
      </c>
      <c r="F1197" s="15"/>
      <c r="G1197" s="15"/>
    </row>
    <row r="1198" spans="1:126" x14ac:dyDescent="0.3">
      <c r="A1198" s="5"/>
      <c r="B1198" s="5" t="s">
        <v>206</v>
      </c>
      <c r="C1198" s="5"/>
      <c r="D1198" s="5" t="s">
        <v>8</v>
      </c>
      <c r="E1198" s="15">
        <f>11.1</f>
        <v>11.1</v>
      </c>
      <c r="F1198" s="15"/>
      <c r="G1198" s="15"/>
    </row>
    <row r="1199" spans="1:126" x14ac:dyDescent="0.3">
      <c r="A1199" s="5"/>
      <c r="B1199" s="5" t="s">
        <v>223</v>
      </c>
      <c r="C1199" s="5"/>
      <c r="D1199" s="5" t="s">
        <v>8</v>
      </c>
      <c r="E1199" s="15">
        <f>3</f>
        <v>3</v>
      </c>
      <c r="F1199" s="15"/>
      <c r="G1199" s="15"/>
    </row>
    <row r="1200" spans="1:126" x14ac:dyDescent="0.3">
      <c r="A1200" s="5"/>
      <c r="B1200" s="5" t="s">
        <v>209</v>
      </c>
      <c r="C1200" s="5"/>
      <c r="D1200" s="5" t="s">
        <v>8</v>
      </c>
      <c r="E1200" s="15">
        <f>1.2*0.4</f>
        <v>0.48</v>
      </c>
      <c r="F1200" s="15"/>
      <c r="G1200" s="15"/>
    </row>
    <row r="1201" spans="1:126" s="3" customFormat="1" x14ac:dyDescent="0.3">
      <c r="A1201" s="21"/>
      <c r="B1201" s="21" t="s">
        <v>127</v>
      </c>
      <c r="C1201" s="21"/>
      <c r="D1201" s="21" t="s">
        <v>14</v>
      </c>
      <c r="E1201" s="22">
        <f>1</f>
        <v>1</v>
      </c>
      <c r="F1201" s="22"/>
      <c r="G1201" s="22"/>
      <c r="H1201" s="59"/>
      <c r="I1201" s="59"/>
      <c r="J1201" s="59"/>
      <c r="K1201" s="59"/>
      <c r="L1201" s="59"/>
      <c r="M1201" s="59"/>
      <c r="N1201" s="59"/>
      <c r="O1201" s="59"/>
      <c r="P1201" s="59"/>
      <c r="Q1201" s="59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59"/>
      <c r="AC1201" s="59"/>
      <c r="AD1201" s="59"/>
      <c r="AE1201" s="59"/>
      <c r="AF1201" s="59"/>
      <c r="AG1201" s="59"/>
      <c r="AH1201" s="59"/>
      <c r="AI1201" s="59"/>
      <c r="AJ1201" s="59"/>
      <c r="AK1201" s="59"/>
      <c r="AL1201" s="59"/>
      <c r="AM1201" s="59"/>
      <c r="AN1201" s="59"/>
      <c r="AO1201" s="59"/>
      <c r="AP1201" s="59"/>
      <c r="AQ1201" s="59"/>
      <c r="AR1201" s="59"/>
      <c r="AS1201" s="59"/>
      <c r="AT1201" s="59"/>
      <c r="AU1201" s="59"/>
      <c r="AV1201" s="59"/>
      <c r="AW1201" s="59"/>
      <c r="AX1201" s="59"/>
      <c r="AY1201" s="59"/>
      <c r="AZ1201" s="59"/>
      <c r="BA1201" s="59"/>
      <c r="BB1201" s="59"/>
      <c r="BC1201" s="59"/>
      <c r="BD1201" s="59"/>
      <c r="BE1201" s="59"/>
      <c r="BF1201" s="59"/>
      <c r="BG1201" s="59"/>
      <c r="BH1201" s="59"/>
      <c r="BI1201" s="59"/>
      <c r="BJ1201" s="59"/>
      <c r="BK1201" s="59"/>
      <c r="BL1201" s="59"/>
      <c r="BM1201" s="59"/>
      <c r="BN1201" s="59"/>
      <c r="BO1201" s="59"/>
      <c r="BP1201" s="59"/>
      <c r="BQ1201" s="59"/>
      <c r="BR1201" s="59"/>
      <c r="BS1201" s="59"/>
      <c r="BT1201" s="59"/>
      <c r="BU1201" s="59"/>
      <c r="BV1201" s="59"/>
      <c r="BW1201" s="59"/>
      <c r="BX1201" s="59"/>
      <c r="BY1201" s="59"/>
      <c r="BZ1201" s="59"/>
      <c r="CA1201" s="59"/>
      <c r="CB1201" s="59"/>
      <c r="CC1201" s="59"/>
      <c r="CD1201" s="59"/>
      <c r="CE1201" s="59"/>
      <c r="CF1201" s="59"/>
      <c r="CG1201" s="59"/>
      <c r="CH1201" s="59"/>
      <c r="CI1201" s="59"/>
      <c r="CJ1201" s="59"/>
      <c r="CK1201" s="59"/>
      <c r="CL1201" s="59"/>
      <c r="CM1201" s="59"/>
      <c r="CN1201" s="59"/>
      <c r="CO1201" s="59"/>
      <c r="CP1201" s="59"/>
      <c r="CQ1201" s="59"/>
      <c r="CR1201" s="59"/>
      <c r="CS1201" s="59"/>
      <c r="CT1201" s="59"/>
      <c r="CU1201" s="59"/>
      <c r="CV1201" s="59"/>
      <c r="CW1201" s="59"/>
      <c r="CX1201" s="59"/>
      <c r="CY1201" s="59"/>
      <c r="CZ1201" s="59"/>
      <c r="DA1201" s="59"/>
      <c r="DB1201" s="59"/>
      <c r="DC1201" s="59"/>
      <c r="DD1201" s="59"/>
      <c r="DE1201" s="59"/>
      <c r="DF1201" s="59"/>
      <c r="DG1201" s="59"/>
      <c r="DH1201" s="59"/>
      <c r="DI1201" s="59"/>
      <c r="DJ1201" s="59"/>
      <c r="DK1201" s="59"/>
      <c r="DL1201" s="59"/>
      <c r="DM1201" s="59"/>
      <c r="DN1201" s="59"/>
      <c r="DO1201" s="59"/>
      <c r="DP1201" s="59"/>
      <c r="DQ1201" s="59"/>
      <c r="DR1201" s="59"/>
      <c r="DS1201" s="59"/>
      <c r="DT1201" s="59"/>
      <c r="DU1201" s="59"/>
      <c r="DV1201" s="59"/>
    </row>
    <row r="1202" spans="1:126" x14ac:dyDescent="0.3">
      <c r="A1202" s="5"/>
      <c r="B1202" s="5" t="s">
        <v>308</v>
      </c>
      <c r="C1202" s="5"/>
      <c r="D1202" s="5" t="s">
        <v>10</v>
      </c>
      <c r="E1202" s="15">
        <f>14.4</f>
        <v>14.4</v>
      </c>
      <c r="F1202" s="15"/>
      <c r="G1202" s="15"/>
    </row>
    <row r="1203" spans="1:126" x14ac:dyDescent="0.3">
      <c r="A1203" s="5"/>
      <c r="B1203" s="5" t="s">
        <v>213</v>
      </c>
      <c r="C1203" s="5"/>
      <c r="D1203" s="5" t="s">
        <v>10</v>
      </c>
      <c r="E1203" s="15">
        <f>457.7</f>
        <v>457.7</v>
      </c>
      <c r="F1203" s="15"/>
      <c r="G1203" s="15"/>
    </row>
    <row r="1204" spans="1:126" x14ac:dyDescent="0.3">
      <c r="A1204" s="5"/>
      <c r="B1204" s="5" t="s">
        <v>129</v>
      </c>
      <c r="C1204" s="5"/>
      <c r="D1204" s="5" t="s">
        <v>8</v>
      </c>
      <c r="E1204" s="15">
        <f>36.1</f>
        <v>36.1</v>
      </c>
      <c r="F1204" s="15"/>
      <c r="G1204" s="15"/>
    </row>
    <row r="1205" spans="1:126" x14ac:dyDescent="0.3">
      <c r="A1205" s="5"/>
      <c r="B1205" s="5" t="s">
        <v>131</v>
      </c>
      <c r="C1205" s="5"/>
      <c r="D1205" s="5" t="s">
        <v>8</v>
      </c>
      <c r="E1205" s="15">
        <f>14.7</f>
        <v>14.7</v>
      </c>
      <c r="F1205" s="15"/>
      <c r="G1205" s="15"/>
    </row>
    <row r="1206" spans="1:126" x14ac:dyDescent="0.3">
      <c r="A1206" s="5"/>
      <c r="B1206" s="5" t="s">
        <v>124</v>
      </c>
      <c r="C1206" s="5"/>
      <c r="D1206" s="5" t="s">
        <v>8</v>
      </c>
      <c r="E1206" s="15">
        <f>10.2</f>
        <v>10.199999999999999</v>
      </c>
      <c r="F1206" s="15"/>
      <c r="G1206" s="15"/>
    </row>
    <row r="1207" spans="1:126" x14ac:dyDescent="0.3">
      <c r="A1207" s="5"/>
      <c r="B1207" s="5" t="s">
        <v>205</v>
      </c>
      <c r="C1207" s="5"/>
      <c r="D1207" s="5" t="s">
        <v>8</v>
      </c>
      <c r="E1207" s="15">
        <f>1</f>
        <v>1</v>
      </c>
      <c r="F1207" s="15"/>
      <c r="G1207" s="15"/>
    </row>
    <row r="1208" spans="1:126" x14ac:dyDescent="0.3">
      <c r="A1208" s="5"/>
      <c r="B1208" s="5" t="s">
        <v>211</v>
      </c>
      <c r="C1208" s="5"/>
      <c r="D1208" s="5" t="s">
        <v>8</v>
      </c>
      <c r="E1208" s="15">
        <f>0.4</f>
        <v>0.4</v>
      </c>
      <c r="F1208" s="15"/>
      <c r="G1208" s="15"/>
    </row>
    <row r="1209" spans="1:126" x14ac:dyDescent="0.3">
      <c r="A1209" s="21"/>
      <c r="B1209" s="21" t="s">
        <v>134</v>
      </c>
      <c r="C1209" s="21"/>
      <c r="D1209" s="21" t="s">
        <v>14</v>
      </c>
      <c r="E1209" s="22">
        <f>66</f>
        <v>66</v>
      </c>
      <c r="F1209" s="22"/>
      <c r="G1209" s="22"/>
    </row>
    <row r="1210" spans="1:126" x14ac:dyDescent="0.3">
      <c r="A1210" s="5"/>
      <c r="B1210" s="5" t="s">
        <v>135</v>
      </c>
      <c r="C1210" s="5"/>
      <c r="D1210" s="5" t="s">
        <v>10</v>
      </c>
      <c r="E1210" s="15">
        <f>70</f>
        <v>70</v>
      </c>
      <c r="F1210" s="15"/>
      <c r="G1210" s="15"/>
    </row>
    <row r="1211" spans="1:126" x14ac:dyDescent="0.3">
      <c r="A1211" s="5"/>
      <c r="B1211" s="5" t="s">
        <v>136</v>
      </c>
      <c r="C1211" s="5"/>
      <c r="D1211" s="5" t="s">
        <v>8</v>
      </c>
      <c r="E1211" s="15">
        <f>1.9</f>
        <v>1.9</v>
      </c>
      <c r="F1211" s="15"/>
      <c r="G1211" s="15"/>
    </row>
    <row r="1212" spans="1:126" x14ac:dyDescent="0.3">
      <c r="A1212" s="5"/>
      <c r="B1212" s="5" t="s">
        <v>137</v>
      </c>
      <c r="C1212" s="5"/>
      <c r="D1212" s="5" t="s">
        <v>8</v>
      </c>
      <c r="E1212" s="15">
        <f>1.4</f>
        <v>1.4</v>
      </c>
      <c r="F1212" s="15"/>
      <c r="G1212" s="15"/>
    </row>
    <row r="1213" spans="1:126" x14ac:dyDescent="0.3">
      <c r="A1213" s="5"/>
      <c r="B1213" s="5" t="s">
        <v>138</v>
      </c>
      <c r="C1213" s="5"/>
      <c r="D1213" s="5" t="s">
        <v>8</v>
      </c>
      <c r="E1213" s="15">
        <f>0.8</f>
        <v>0.8</v>
      </c>
      <c r="F1213" s="15"/>
      <c r="G1213" s="15"/>
    </row>
    <row r="1214" spans="1:126" x14ac:dyDescent="0.3">
      <c r="A1214" s="5"/>
      <c r="B1214" s="5" t="s">
        <v>139</v>
      </c>
      <c r="C1214" s="5"/>
      <c r="D1214" s="5" t="s">
        <v>8</v>
      </c>
      <c r="E1214" s="15">
        <f>1.4</f>
        <v>1.4</v>
      </c>
      <c r="F1214" s="15"/>
      <c r="G1214" s="15"/>
    </row>
    <row r="1215" spans="1:126" x14ac:dyDescent="0.3">
      <c r="A1215" s="21"/>
      <c r="B1215" s="21" t="s">
        <v>140</v>
      </c>
      <c r="C1215" s="21"/>
      <c r="D1215" s="21" t="s">
        <v>10</v>
      </c>
      <c r="E1215" s="22">
        <f>137.3</f>
        <v>137.30000000000001</v>
      </c>
      <c r="F1215" s="22"/>
      <c r="G1215" s="22"/>
    </row>
    <row r="1216" spans="1:126" x14ac:dyDescent="0.3">
      <c r="A1216" s="5"/>
      <c r="B1216" s="5" t="s">
        <v>141</v>
      </c>
      <c r="C1216" s="5"/>
      <c r="D1216" s="5" t="s">
        <v>10</v>
      </c>
      <c r="E1216" s="15">
        <f>137.3</f>
        <v>137.30000000000001</v>
      </c>
      <c r="F1216" s="15"/>
      <c r="G1216" s="15"/>
    </row>
    <row r="1217" spans="1:126" x14ac:dyDescent="0.3">
      <c r="A1217" s="5"/>
      <c r="B1217" s="5" t="s">
        <v>123</v>
      </c>
      <c r="C1217" s="5"/>
      <c r="D1217" s="5" t="s">
        <v>8</v>
      </c>
      <c r="E1217" s="15">
        <f>50.2</f>
        <v>50.2</v>
      </c>
      <c r="F1217" s="15"/>
      <c r="G1217" s="15"/>
    </row>
    <row r="1218" spans="1:126" x14ac:dyDescent="0.3">
      <c r="A1218" s="5"/>
      <c r="B1218" s="5" t="s">
        <v>131</v>
      </c>
      <c r="C1218" s="5"/>
      <c r="D1218" s="5" t="s">
        <v>8</v>
      </c>
      <c r="E1218" s="15">
        <f>3.3</f>
        <v>3.3</v>
      </c>
      <c r="F1218" s="15"/>
      <c r="G1218" s="15"/>
    </row>
    <row r="1219" spans="1:126" x14ac:dyDescent="0.3">
      <c r="A1219" s="5"/>
      <c r="B1219" s="5" t="s">
        <v>124</v>
      </c>
      <c r="C1219" s="5"/>
      <c r="D1219" s="5" t="s">
        <v>8</v>
      </c>
      <c r="E1219" s="15">
        <f>0.8</f>
        <v>0.8</v>
      </c>
      <c r="F1219" s="15"/>
      <c r="G1219" s="15"/>
    </row>
    <row r="1220" spans="1:126" x14ac:dyDescent="0.3">
      <c r="A1220" s="5"/>
      <c r="B1220" s="5" t="s">
        <v>205</v>
      </c>
      <c r="C1220" s="5"/>
      <c r="D1220" s="5" t="s">
        <v>8</v>
      </c>
      <c r="E1220" s="15">
        <f>1.9</f>
        <v>1.9</v>
      </c>
      <c r="F1220" s="15"/>
      <c r="G1220" s="15"/>
    </row>
    <row r="1221" spans="1:126" ht="31.2" x14ac:dyDescent="0.3">
      <c r="A1221" s="5"/>
      <c r="B1221" s="11" t="s">
        <v>143</v>
      </c>
      <c r="C1221" s="5"/>
      <c r="D1221" s="5" t="s">
        <v>14</v>
      </c>
      <c r="E1221" s="15">
        <f>240</f>
        <v>240</v>
      </c>
      <c r="F1221" s="15"/>
      <c r="G1221" s="15"/>
    </row>
    <row r="1222" spans="1:126" x14ac:dyDescent="0.3">
      <c r="A1222" s="21"/>
      <c r="B1222" s="21" t="s">
        <v>144</v>
      </c>
      <c r="C1222" s="21"/>
      <c r="D1222" s="21" t="s">
        <v>14</v>
      </c>
      <c r="E1222" s="22">
        <f>1</f>
        <v>1</v>
      </c>
      <c r="F1222" s="22"/>
      <c r="G1222" s="22"/>
    </row>
    <row r="1223" spans="1:126" x14ac:dyDescent="0.3">
      <c r="A1223" s="5"/>
      <c r="B1223" s="5" t="s">
        <v>145</v>
      </c>
      <c r="C1223" s="5"/>
      <c r="D1223" s="5" t="s">
        <v>10</v>
      </c>
      <c r="E1223" s="15">
        <f>90.2</f>
        <v>90.2</v>
      </c>
      <c r="F1223" s="15"/>
      <c r="G1223" s="15"/>
    </row>
    <row r="1224" spans="1:126" x14ac:dyDescent="0.3">
      <c r="A1224" s="5"/>
      <c r="B1224" s="5" t="s">
        <v>129</v>
      </c>
      <c r="C1224" s="5"/>
      <c r="D1224" s="5" t="s">
        <v>8</v>
      </c>
      <c r="E1224" s="15">
        <f>2.9</f>
        <v>2.9</v>
      </c>
      <c r="F1224" s="15"/>
      <c r="G1224" s="15"/>
    </row>
    <row r="1225" spans="1:126" x14ac:dyDescent="0.3">
      <c r="A1225" s="5"/>
      <c r="B1225" s="5" t="s">
        <v>131</v>
      </c>
      <c r="C1225" s="5"/>
      <c r="D1225" s="5" t="s">
        <v>8</v>
      </c>
      <c r="E1225" s="15">
        <f>2</f>
        <v>2</v>
      </c>
      <c r="F1225" s="15"/>
      <c r="G1225" s="15"/>
    </row>
    <row r="1226" spans="1:126" x14ac:dyDescent="0.3">
      <c r="A1226" s="5"/>
      <c r="B1226" s="5" t="s">
        <v>142</v>
      </c>
      <c r="C1226" s="5"/>
      <c r="D1226" s="5" t="s">
        <v>8</v>
      </c>
      <c r="E1226" s="15">
        <f>2.7</f>
        <v>2.7</v>
      </c>
      <c r="F1226" s="15"/>
      <c r="G1226" s="15"/>
    </row>
    <row r="1227" spans="1:126" x14ac:dyDescent="0.3">
      <c r="A1227" s="21"/>
      <c r="B1227" s="21" t="s">
        <v>171</v>
      </c>
      <c r="C1227" s="21"/>
      <c r="D1227" s="21" t="s">
        <v>14</v>
      </c>
      <c r="E1227" s="22">
        <f>2</f>
        <v>2</v>
      </c>
      <c r="F1227" s="22"/>
      <c r="G1227" s="22"/>
    </row>
    <row r="1228" spans="1:126" x14ac:dyDescent="0.3">
      <c r="A1228" s="5"/>
      <c r="B1228" s="5" t="s">
        <v>145</v>
      </c>
      <c r="C1228" s="5"/>
      <c r="D1228" s="5" t="s">
        <v>10</v>
      </c>
      <c r="E1228" s="15">
        <f>1</f>
        <v>1</v>
      </c>
      <c r="F1228" s="15"/>
      <c r="G1228" s="15"/>
    </row>
    <row r="1229" spans="1:126" x14ac:dyDescent="0.3">
      <c r="A1229" s="5"/>
      <c r="B1229" s="5" t="s">
        <v>142</v>
      </c>
      <c r="C1229" s="5"/>
      <c r="D1229" s="5" t="s">
        <v>8</v>
      </c>
      <c r="E1229" s="15">
        <v>0.2</v>
      </c>
      <c r="F1229" s="15"/>
      <c r="G1229" s="15"/>
    </row>
    <row r="1230" spans="1:126" x14ac:dyDescent="0.3">
      <c r="A1230" s="21"/>
      <c r="B1230" s="21" t="s">
        <v>219</v>
      </c>
      <c r="C1230" s="21"/>
      <c r="D1230" s="21" t="s">
        <v>69</v>
      </c>
      <c r="E1230" s="22">
        <f>342.3</f>
        <v>342.3</v>
      </c>
      <c r="F1230" s="22"/>
      <c r="G1230" s="22"/>
    </row>
    <row r="1231" spans="1:126" x14ac:dyDescent="0.3">
      <c r="A1231" s="5"/>
      <c r="B1231" s="5" t="s">
        <v>220</v>
      </c>
      <c r="C1231" s="5"/>
      <c r="D1231" s="5" t="s">
        <v>72</v>
      </c>
      <c r="E1231" s="15">
        <v>1540.3500000000001</v>
      </c>
      <c r="F1231" s="15"/>
      <c r="G1231" s="15"/>
    </row>
    <row r="1232" spans="1:126" s="25" customFormat="1" x14ac:dyDescent="0.3">
      <c r="A1232" s="23"/>
      <c r="B1232" s="23" t="s">
        <v>323</v>
      </c>
      <c r="C1232" s="23"/>
      <c r="D1232" s="23"/>
      <c r="E1232" s="24"/>
      <c r="F1232" s="24"/>
      <c r="G1232" s="24"/>
      <c r="H1232" s="59"/>
      <c r="I1232" s="59"/>
      <c r="J1232" s="59"/>
      <c r="K1232" s="59"/>
      <c r="L1232" s="59"/>
      <c r="M1232" s="59"/>
      <c r="N1232" s="59"/>
      <c r="O1232" s="59"/>
      <c r="P1232" s="59"/>
      <c r="Q1232" s="59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59"/>
      <c r="AC1232" s="59"/>
      <c r="AD1232" s="59"/>
      <c r="AE1232" s="59"/>
      <c r="AF1232" s="59"/>
      <c r="AG1232" s="59"/>
      <c r="AH1232" s="59"/>
      <c r="AI1232" s="59"/>
      <c r="AJ1232" s="59"/>
      <c r="AK1232" s="59"/>
      <c r="AL1232" s="59"/>
      <c r="AM1232" s="59"/>
      <c r="AN1232" s="59"/>
      <c r="AO1232" s="59"/>
      <c r="AP1232" s="59"/>
      <c r="AQ1232" s="59"/>
      <c r="AR1232" s="59"/>
      <c r="AS1232" s="59"/>
      <c r="AT1232" s="59"/>
      <c r="AU1232" s="59"/>
      <c r="AV1232" s="59"/>
      <c r="AW1232" s="59"/>
      <c r="AX1232" s="59"/>
      <c r="AY1232" s="59"/>
      <c r="AZ1232" s="59"/>
      <c r="BA1232" s="59"/>
      <c r="BB1232" s="59"/>
      <c r="BC1232" s="59"/>
      <c r="BD1232" s="59"/>
      <c r="BE1232" s="59"/>
      <c r="BF1232" s="59"/>
      <c r="BG1232" s="59"/>
      <c r="BH1232" s="59"/>
      <c r="BI1232" s="59"/>
      <c r="BJ1232" s="59"/>
      <c r="BK1232" s="59"/>
      <c r="BL1232" s="59"/>
      <c r="BM1232" s="59"/>
      <c r="BN1232" s="59"/>
      <c r="BO1232" s="59"/>
      <c r="BP1232" s="59"/>
      <c r="BQ1232" s="59"/>
      <c r="BR1232" s="59"/>
      <c r="BS1232" s="59"/>
      <c r="BT1232" s="59"/>
      <c r="BU1232" s="59"/>
      <c r="BV1232" s="59"/>
      <c r="BW1232" s="59"/>
      <c r="BX1232" s="59"/>
      <c r="BY1232" s="59"/>
      <c r="BZ1232" s="59"/>
      <c r="CA1232" s="59"/>
      <c r="CB1232" s="59"/>
      <c r="CC1232" s="59"/>
      <c r="CD1232" s="59"/>
      <c r="CE1232" s="59"/>
      <c r="CF1232" s="59"/>
      <c r="CG1232" s="59"/>
      <c r="CH1232" s="59"/>
      <c r="CI1232" s="59"/>
      <c r="CJ1232" s="59"/>
      <c r="CK1232" s="59"/>
      <c r="CL1232" s="59"/>
      <c r="CM1232" s="59"/>
      <c r="CN1232" s="59"/>
      <c r="CO1232" s="59"/>
      <c r="CP1232" s="59"/>
      <c r="CQ1232" s="59"/>
      <c r="CR1232" s="59"/>
      <c r="CS1232" s="59"/>
      <c r="CT1232" s="59"/>
      <c r="CU1232" s="59"/>
      <c r="CV1232" s="59"/>
      <c r="CW1232" s="59"/>
      <c r="CX1232" s="59"/>
      <c r="CY1232" s="59"/>
      <c r="CZ1232" s="59"/>
      <c r="DA1232" s="59"/>
      <c r="DB1232" s="59"/>
      <c r="DC1232" s="59"/>
      <c r="DD1232" s="59"/>
      <c r="DE1232" s="59"/>
      <c r="DF1232" s="59"/>
      <c r="DG1232" s="59"/>
      <c r="DH1232" s="59"/>
      <c r="DI1232" s="59"/>
      <c r="DJ1232" s="59"/>
      <c r="DK1232" s="59"/>
      <c r="DL1232" s="59"/>
      <c r="DM1232" s="59"/>
      <c r="DN1232" s="59"/>
      <c r="DO1232" s="59"/>
      <c r="DP1232" s="59"/>
      <c r="DQ1232" s="59"/>
      <c r="DR1232" s="59"/>
      <c r="DS1232" s="59"/>
      <c r="DT1232" s="59"/>
      <c r="DU1232" s="59"/>
      <c r="DV1232" s="59"/>
    </row>
    <row r="1233" spans="1:126" s="3" customFormat="1" x14ac:dyDescent="0.3">
      <c r="A1233" s="21"/>
      <c r="B1233" s="21" t="s">
        <v>324</v>
      </c>
      <c r="C1233" s="21"/>
      <c r="D1233" s="21" t="s">
        <v>14</v>
      </c>
      <c r="E1233" s="22">
        <v>22</v>
      </c>
      <c r="F1233" s="22"/>
      <c r="G1233" s="22"/>
      <c r="H1233" s="59"/>
      <c r="I1233" s="59"/>
      <c r="J1233" s="59"/>
      <c r="K1233" s="59"/>
      <c r="L1233" s="59"/>
      <c r="M1233" s="59"/>
      <c r="N1233" s="59"/>
      <c r="O1233" s="59"/>
      <c r="P1233" s="59"/>
      <c r="Q1233" s="59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59"/>
      <c r="AC1233" s="59"/>
      <c r="AD1233" s="59"/>
      <c r="AE1233" s="59"/>
      <c r="AF1233" s="59"/>
      <c r="AG1233" s="59"/>
      <c r="AH1233" s="59"/>
      <c r="AI1233" s="59"/>
      <c r="AJ1233" s="59"/>
      <c r="AK1233" s="59"/>
      <c r="AL1233" s="59"/>
      <c r="AM1233" s="59"/>
      <c r="AN1233" s="59"/>
      <c r="AO1233" s="59"/>
      <c r="AP1233" s="59"/>
      <c r="AQ1233" s="59"/>
      <c r="AR1233" s="59"/>
      <c r="AS1233" s="59"/>
      <c r="AT1233" s="59"/>
      <c r="AU1233" s="59"/>
      <c r="AV1233" s="59"/>
      <c r="AW1233" s="59"/>
      <c r="AX1233" s="59"/>
      <c r="AY1233" s="59"/>
      <c r="AZ1233" s="59"/>
      <c r="BA1233" s="59"/>
      <c r="BB1233" s="59"/>
      <c r="BC1233" s="59"/>
      <c r="BD1233" s="59"/>
      <c r="BE1233" s="59"/>
      <c r="BF1233" s="59"/>
      <c r="BG1233" s="59"/>
      <c r="BH1233" s="59"/>
      <c r="BI1233" s="59"/>
      <c r="BJ1233" s="59"/>
      <c r="BK1233" s="59"/>
      <c r="BL1233" s="59"/>
      <c r="BM1233" s="59"/>
      <c r="BN1233" s="59"/>
      <c r="BO1233" s="59"/>
      <c r="BP1233" s="59"/>
      <c r="BQ1233" s="59"/>
      <c r="BR1233" s="59"/>
      <c r="BS1233" s="59"/>
      <c r="BT1233" s="59"/>
      <c r="BU1233" s="59"/>
      <c r="BV1233" s="59"/>
      <c r="BW1233" s="59"/>
      <c r="BX1233" s="59"/>
      <c r="BY1233" s="59"/>
      <c r="BZ1233" s="59"/>
      <c r="CA1233" s="59"/>
      <c r="CB1233" s="59"/>
      <c r="CC1233" s="59"/>
      <c r="CD1233" s="59"/>
      <c r="CE1233" s="59"/>
      <c r="CF1233" s="59"/>
      <c r="CG1233" s="59"/>
      <c r="CH1233" s="59"/>
      <c r="CI1233" s="59"/>
      <c r="CJ1233" s="59"/>
      <c r="CK1233" s="59"/>
      <c r="CL1233" s="59"/>
      <c r="CM1233" s="59"/>
      <c r="CN1233" s="59"/>
      <c r="CO1233" s="59"/>
      <c r="CP1233" s="59"/>
      <c r="CQ1233" s="59"/>
      <c r="CR1233" s="59"/>
      <c r="CS1233" s="59"/>
      <c r="CT1233" s="59"/>
      <c r="CU1233" s="59"/>
      <c r="CV1233" s="59"/>
      <c r="CW1233" s="59"/>
      <c r="CX1233" s="59"/>
      <c r="CY1233" s="59"/>
      <c r="CZ1233" s="59"/>
      <c r="DA1233" s="59"/>
      <c r="DB1233" s="59"/>
      <c r="DC1233" s="59"/>
      <c r="DD1233" s="59"/>
      <c r="DE1233" s="59"/>
      <c r="DF1233" s="59"/>
      <c r="DG1233" s="59"/>
      <c r="DH1233" s="59"/>
      <c r="DI1233" s="59"/>
      <c r="DJ1233" s="59"/>
      <c r="DK1233" s="59"/>
      <c r="DL1233" s="59"/>
      <c r="DM1233" s="59"/>
      <c r="DN1233" s="59"/>
      <c r="DO1233" s="59"/>
      <c r="DP1233" s="59"/>
      <c r="DQ1233" s="59"/>
      <c r="DR1233" s="59"/>
      <c r="DS1233" s="59"/>
      <c r="DT1233" s="59"/>
      <c r="DU1233" s="59"/>
      <c r="DV1233" s="59"/>
    </row>
    <row r="1234" spans="1:126" x14ac:dyDescent="0.3">
      <c r="A1234" s="5"/>
      <c r="B1234" s="5" t="s">
        <v>122</v>
      </c>
      <c r="C1234" s="5"/>
      <c r="D1234" s="5" t="s">
        <v>10</v>
      </c>
      <c r="E1234" s="15">
        <f>975.8</f>
        <v>975.8</v>
      </c>
      <c r="F1234" s="15"/>
      <c r="G1234" s="15"/>
    </row>
    <row r="1235" spans="1:126" x14ac:dyDescent="0.3">
      <c r="A1235" s="5"/>
      <c r="B1235" s="5" t="s">
        <v>123</v>
      </c>
      <c r="C1235" s="5"/>
      <c r="D1235" s="5" t="s">
        <v>8</v>
      </c>
      <c r="E1235" s="15">
        <f>206.4</f>
        <v>206.4</v>
      </c>
      <c r="F1235" s="15"/>
      <c r="G1235" s="15"/>
    </row>
    <row r="1236" spans="1:126" x14ac:dyDescent="0.3">
      <c r="A1236" s="5"/>
      <c r="B1236" s="5" t="s">
        <v>124</v>
      </c>
      <c r="C1236" s="5"/>
      <c r="D1236" s="5" t="s">
        <v>8</v>
      </c>
      <c r="E1236" s="15">
        <f>1.6</f>
        <v>1.6</v>
      </c>
      <c r="F1236" s="15"/>
      <c r="G1236" s="15"/>
    </row>
    <row r="1237" spans="1:126" x14ac:dyDescent="0.3">
      <c r="A1237" s="5"/>
      <c r="B1237" s="5" t="s">
        <v>205</v>
      </c>
      <c r="C1237" s="5"/>
      <c r="D1237" s="5" t="s">
        <v>8</v>
      </c>
      <c r="E1237" s="15">
        <f>14</f>
        <v>14</v>
      </c>
      <c r="F1237" s="15"/>
      <c r="G1237" s="15"/>
    </row>
    <row r="1238" spans="1:126" x14ac:dyDescent="0.3">
      <c r="A1238" s="5"/>
      <c r="B1238" s="5" t="s">
        <v>206</v>
      </c>
      <c r="C1238" s="5"/>
      <c r="D1238" s="5" t="s">
        <v>8</v>
      </c>
      <c r="E1238" s="15">
        <f>11.5</f>
        <v>11.5</v>
      </c>
      <c r="F1238" s="15"/>
      <c r="G1238" s="15"/>
    </row>
    <row r="1239" spans="1:126" x14ac:dyDescent="0.3">
      <c r="A1239" s="5"/>
      <c r="B1239" s="5" t="s">
        <v>223</v>
      </c>
      <c r="C1239" s="5"/>
      <c r="D1239" s="5" t="s">
        <v>8</v>
      </c>
      <c r="E1239" s="15">
        <f>3.1</f>
        <v>3.1</v>
      </c>
      <c r="F1239" s="15"/>
      <c r="G1239" s="15"/>
    </row>
    <row r="1240" spans="1:126" x14ac:dyDescent="0.3">
      <c r="A1240" s="5"/>
      <c r="B1240" s="5" t="s">
        <v>209</v>
      </c>
      <c r="C1240" s="5"/>
      <c r="D1240" s="5" t="s">
        <v>8</v>
      </c>
      <c r="E1240" s="15">
        <f>1.2*0.4</f>
        <v>0.48</v>
      </c>
      <c r="F1240" s="15"/>
      <c r="G1240" s="15"/>
    </row>
    <row r="1241" spans="1:126" s="3" customFormat="1" x14ac:dyDescent="0.3">
      <c r="A1241" s="21"/>
      <c r="B1241" s="21" t="s">
        <v>127</v>
      </c>
      <c r="C1241" s="21"/>
      <c r="D1241" s="21" t="s">
        <v>14</v>
      </c>
      <c r="E1241" s="22">
        <f>1</f>
        <v>1</v>
      </c>
      <c r="F1241" s="22"/>
      <c r="G1241" s="22"/>
      <c r="H1241" s="59"/>
      <c r="I1241" s="59"/>
      <c r="J1241" s="59"/>
      <c r="K1241" s="59"/>
      <c r="L1241" s="59"/>
      <c r="M1241" s="59"/>
      <c r="N1241" s="59"/>
      <c r="O1241" s="59"/>
      <c r="P1241" s="59"/>
      <c r="Q1241" s="59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59"/>
      <c r="AC1241" s="59"/>
      <c r="AD1241" s="59"/>
      <c r="AE1241" s="59"/>
      <c r="AF1241" s="59"/>
      <c r="AG1241" s="59"/>
      <c r="AH1241" s="59"/>
      <c r="AI1241" s="59"/>
      <c r="AJ1241" s="59"/>
      <c r="AK1241" s="59"/>
      <c r="AL1241" s="59"/>
      <c r="AM1241" s="59"/>
      <c r="AN1241" s="59"/>
      <c r="AO1241" s="59"/>
      <c r="AP1241" s="59"/>
      <c r="AQ1241" s="59"/>
      <c r="AR1241" s="59"/>
      <c r="AS1241" s="59"/>
      <c r="AT1241" s="59"/>
      <c r="AU1241" s="59"/>
      <c r="AV1241" s="59"/>
      <c r="AW1241" s="59"/>
      <c r="AX1241" s="59"/>
      <c r="AY1241" s="59"/>
      <c r="AZ1241" s="59"/>
      <c r="BA1241" s="59"/>
      <c r="BB1241" s="59"/>
      <c r="BC1241" s="59"/>
      <c r="BD1241" s="59"/>
      <c r="BE1241" s="59"/>
      <c r="BF1241" s="59"/>
      <c r="BG1241" s="59"/>
      <c r="BH1241" s="59"/>
      <c r="BI1241" s="59"/>
      <c r="BJ1241" s="59"/>
      <c r="BK1241" s="59"/>
      <c r="BL1241" s="59"/>
      <c r="BM1241" s="59"/>
      <c r="BN1241" s="59"/>
      <c r="BO1241" s="59"/>
      <c r="BP1241" s="59"/>
      <c r="BQ1241" s="59"/>
      <c r="BR1241" s="59"/>
      <c r="BS1241" s="59"/>
      <c r="BT1241" s="59"/>
      <c r="BU1241" s="59"/>
      <c r="BV1241" s="59"/>
      <c r="BW1241" s="59"/>
      <c r="BX1241" s="59"/>
      <c r="BY1241" s="59"/>
      <c r="BZ1241" s="59"/>
      <c r="CA1241" s="59"/>
      <c r="CB1241" s="59"/>
      <c r="CC1241" s="59"/>
      <c r="CD1241" s="59"/>
      <c r="CE1241" s="59"/>
      <c r="CF1241" s="59"/>
      <c r="CG1241" s="59"/>
      <c r="CH1241" s="59"/>
      <c r="CI1241" s="59"/>
      <c r="CJ1241" s="59"/>
      <c r="CK1241" s="59"/>
      <c r="CL1241" s="59"/>
      <c r="CM1241" s="59"/>
      <c r="CN1241" s="59"/>
      <c r="CO1241" s="59"/>
      <c r="CP1241" s="59"/>
      <c r="CQ1241" s="59"/>
      <c r="CR1241" s="59"/>
      <c r="CS1241" s="59"/>
      <c r="CT1241" s="59"/>
      <c r="CU1241" s="59"/>
      <c r="CV1241" s="59"/>
      <c r="CW1241" s="59"/>
      <c r="CX1241" s="59"/>
      <c r="CY1241" s="59"/>
      <c r="CZ1241" s="59"/>
      <c r="DA1241" s="59"/>
      <c r="DB1241" s="59"/>
      <c r="DC1241" s="59"/>
      <c r="DD1241" s="59"/>
      <c r="DE1241" s="59"/>
      <c r="DF1241" s="59"/>
      <c r="DG1241" s="59"/>
      <c r="DH1241" s="59"/>
      <c r="DI1241" s="59"/>
      <c r="DJ1241" s="59"/>
      <c r="DK1241" s="59"/>
      <c r="DL1241" s="59"/>
      <c r="DM1241" s="59"/>
      <c r="DN1241" s="59"/>
      <c r="DO1241" s="59"/>
      <c r="DP1241" s="59"/>
      <c r="DQ1241" s="59"/>
      <c r="DR1241" s="59"/>
      <c r="DS1241" s="59"/>
      <c r="DT1241" s="59"/>
      <c r="DU1241" s="59"/>
      <c r="DV1241" s="59"/>
    </row>
    <row r="1242" spans="1:126" x14ac:dyDescent="0.3">
      <c r="A1242" s="5"/>
      <c r="B1242" s="5" t="s">
        <v>308</v>
      </c>
      <c r="C1242" s="5"/>
      <c r="D1242" s="5" t="s">
        <v>10</v>
      </c>
      <c r="E1242" s="15">
        <f>14.4</f>
        <v>14.4</v>
      </c>
      <c r="F1242" s="15"/>
      <c r="G1242" s="15"/>
    </row>
    <row r="1243" spans="1:126" x14ac:dyDescent="0.3">
      <c r="A1243" s="5"/>
      <c r="B1243" s="5" t="s">
        <v>213</v>
      </c>
      <c r="C1243" s="5"/>
      <c r="D1243" s="5" t="s">
        <v>10</v>
      </c>
      <c r="E1243" s="15">
        <f>457.7</f>
        <v>457.7</v>
      </c>
      <c r="F1243" s="15"/>
      <c r="G1243" s="15"/>
    </row>
    <row r="1244" spans="1:126" x14ac:dyDescent="0.3">
      <c r="A1244" s="5"/>
      <c r="B1244" s="5" t="s">
        <v>129</v>
      </c>
      <c r="C1244" s="5"/>
      <c r="D1244" s="5" t="s">
        <v>8</v>
      </c>
      <c r="E1244" s="15">
        <f>36.1</f>
        <v>36.1</v>
      </c>
      <c r="F1244" s="15"/>
      <c r="G1244" s="15"/>
    </row>
    <row r="1245" spans="1:126" x14ac:dyDescent="0.3">
      <c r="A1245" s="5"/>
      <c r="B1245" s="5" t="s">
        <v>131</v>
      </c>
      <c r="C1245" s="5"/>
      <c r="D1245" s="5" t="s">
        <v>8</v>
      </c>
      <c r="E1245" s="15">
        <f>14.7</f>
        <v>14.7</v>
      </c>
      <c r="F1245" s="15"/>
      <c r="G1245" s="15"/>
    </row>
    <row r="1246" spans="1:126" x14ac:dyDescent="0.3">
      <c r="A1246" s="5"/>
      <c r="B1246" s="5" t="s">
        <v>124</v>
      </c>
      <c r="C1246" s="5"/>
      <c r="D1246" s="5" t="s">
        <v>8</v>
      </c>
      <c r="E1246" s="15">
        <f>10.2</f>
        <v>10.199999999999999</v>
      </c>
      <c r="F1246" s="15"/>
      <c r="G1246" s="15"/>
    </row>
    <row r="1247" spans="1:126" x14ac:dyDescent="0.3">
      <c r="A1247" s="5"/>
      <c r="B1247" s="5" t="s">
        <v>205</v>
      </c>
      <c r="C1247" s="5"/>
      <c r="D1247" s="5" t="s">
        <v>8</v>
      </c>
      <c r="E1247" s="15">
        <f>1</f>
        <v>1</v>
      </c>
      <c r="F1247" s="15"/>
      <c r="G1247" s="15"/>
    </row>
    <row r="1248" spans="1:126" x14ac:dyDescent="0.3">
      <c r="A1248" s="5"/>
      <c r="B1248" s="5" t="s">
        <v>211</v>
      </c>
      <c r="C1248" s="5"/>
      <c r="D1248" s="5" t="s">
        <v>8</v>
      </c>
      <c r="E1248" s="15">
        <f>0.4</f>
        <v>0.4</v>
      </c>
      <c r="F1248" s="15"/>
      <c r="G1248" s="15"/>
    </row>
    <row r="1249" spans="1:7" x14ac:dyDescent="0.3">
      <c r="A1249" s="21"/>
      <c r="B1249" s="21" t="s">
        <v>134</v>
      </c>
      <c r="C1249" s="21"/>
      <c r="D1249" s="21" t="s">
        <v>14</v>
      </c>
      <c r="E1249" s="22">
        <f>66</f>
        <v>66</v>
      </c>
      <c r="F1249" s="22"/>
      <c r="G1249" s="22"/>
    </row>
    <row r="1250" spans="1:7" x14ac:dyDescent="0.3">
      <c r="A1250" s="5"/>
      <c r="B1250" s="5" t="s">
        <v>135</v>
      </c>
      <c r="C1250" s="5"/>
      <c r="D1250" s="5" t="s">
        <v>10</v>
      </c>
      <c r="E1250" s="15">
        <f>70</f>
        <v>70</v>
      </c>
      <c r="F1250" s="15"/>
      <c r="G1250" s="15"/>
    </row>
    <row r="1251" spans="1:7" x14ac:dyDescent="0.3">
      <c r="A1251" s="5"/>
      <c r="B1251" s="5" t="s">
        <v>136</v>
      </c>
      <c r="C1251" s="5"/>
      <c r="D1251" s="5" t="s">
        <v>8</v>
      </c>
      <c r="E1251" s="15">
        <f>1.9</f>
        <v>1.9</v>
      </c>
      <c r="F1251" s="15"/>
      <c r="G1251" s="15"/>
    </row>
    <row r="1252" spans="1:7" x14ac:dyDescent="0.3">
      <c r="A1252" s="5"/>
      <c r="B1252" s="5" t="s">
        <v>137</v>
      </c>
      <c r="C1252" s="5"/>
      <c r="D1252" s="5" t="s">
        <v>8</v>
      </c>
      <c r="E1252" s="15">
        <f>1.4</f>
        <v>1.4</v>
      </c>
      <c r="F1252" s="15"/>
      <c r="G1252" s="15"/>
    </row>
    <row r="1253" spans="1:7" x14ac:dyDescent="0.3">
      <c r="A1253" s="5"/>
      <c r="B1253" s="5" t="s">
        <v>138</v>
      </c>
      <c r="C1253" s="5"/>
      <c r="D1253" s="5" t="s">
        <v>8</v>
      </c>
      <c r="E1253" s="15">
        <f>0.8</f>
        <v>0.8</v>
      </c>
      <c r="F1253" s="15"/>
      <c r="G1253" s="15"/>
    </row>
    <row r="1254" spans="1:7" x14ac:dyDescent="0.3">
      <c r="A1254" s="5"/>
      <c r="B1254" s="5" t="s">
        <v>139</v>
      </c>
      <c r="C1254" s="5"/>
      <c r="D1254" s="5" t="s">
        <v>8</v>
      </c>
      <c r="E1254" s="15">
        <f>1.4</f>
        <v>1.4</v>
      </c>
      <c r="F1254" s="15"/>
      <c r="G1254" s="15"/>
    </row>
    <row r="1255" spans="1:7" x14ac:dyDescent="0.3">
      <c r="A1255" s="21"/>
      <c r="B1255" s="21" t="s">
        <v>140</v>
      </c>
      <c r="C1255" s="21"/>
      <c r="D1255" s="21" t="s">
        <v>10</v>
      </c>
      <c r="E1255" s="22">
        <f>137.3</f>
        <v>137.30000000000001</v>
      </c>
      <c r="F1255" s="22"/>
      <c r="G1255" s="22"/>
    </row>
    <row r="1256" spans="1:7" x14ac:dyDescent="0.3">
      <c r="A1256" s="5"/>
      <c r="B1256" s="5" t="s">
        <v>141</v>
      </c>
      <c r="C1256" s="5"/>
      <c r="D1256" s="5" t="s">
        <v>10</v>
      </c>
      <c r="E1256" s="15">
        <f>137.3</f>
        <v>137.30000000000001</v>
      </c>
      <c r="F1256" s="15"/>
      <c r="G1256" s="15"/>
    </row>
    <row r="1257" spans="1:7" x14ac:dyDescent="0.3">
      <c r="A1257" s="5"/>
      <c r="B1257" s="5" t="s">
        <v>123</v>
      </c>
      <c r="C1257" s="5"/>
      <c r="D1257" s="5" t="s">
        <v>8</v>
      </c>
      <c r="E1257" s="15">
        <f>50.2</f>
        <v>50.2</v>
      </c>
      <c r="F1257" s="15"/>
      <c r="G1257" s="15"/>
    </row>
    <row r="1258" spans="1:7" x14ac:dyDescent="0.3">
      <c r="A1258" s="5"/>
      <c r="B1258" s="5" t="s">
        <v>131</v>
      </c>
      <c r="C1258" s="5"/>
      <c r="D1258" s="5" t="s">
        <v>8</v>
      </c>
      <c r="E1258" s="15">
        <f>3.3</f>
        <v>3.3</v>
      </c>
      <c r="F1258" s="15"/>
      <c r="G1258" s="15"/>
    </row>
    <row r="1259" spans="1:7" x14ac:dyDescent="0.3">
      <c r="A1259" s="5"/>
      <c r="B1259" s="5" t="s">
        <v>124</v>
      </c>
      <c r="C1259" s="5"/>
      <c r="D1259" s="5" t="s">
        <v>8</v>
      </c>
      <c r="E1259" s="15">
        <f>0.8</f>
        <v>0.8</v>
      </c>
      <c r="F1259" s="15"/>
      <c r="G1259" s="15"/>
    </row>
    <row r="1260" spans="1:7" x14ac:dyDescent="0.3">
      <c r="A1260" s="5"/>
      <c r="B1260" s="5" t="s">
        <v>205</v>
      </c>
      <c r="C1260" s="5"/>
      <c r="D1260" s="5" t="s">
        <v>8</v>
      </c>
      <c r="E1260" s="15">
        <f>1.9</f>
        <v>1.9</v>
      </c>
      <c r="F1260" s="15"/>
      <c r="G1260" s="15"/>
    </row>
    <row r="1261" spans="1:7" ht="31.2" x14ac:dyDescent="0.3">
      <c r="A1261" s="5"/>
      <c r="B1261" s="11" t="s">
        <v>143</v>
      </c>
      <c r="C1261" s="5"/>
      <c r="D1261" s="5" t="s">
        <v>14</v>
      </c>
      <c r="E1261" s="15">
        <f>240</f>
        <v>240</v>
      </c>
      <c r="F1261" s="15"/>
      <c r="G1261" s="15"/>
    </row>
    <row r="1262" spans="1:7" x14ac:dyDescent="0.3">
      <c r="A1262" s="21"/>
      <c r="B1262" s="21" t="s">
        <v>144</v>
      </c>
      <c r="C1262" s="21"/>
      <c r="D1262" s="21" t="s">
        <v>14</v>
      </c>
      <c r="E1262" s="22">
        <f>1</f>
        <v>1</v>
      </c>
      <c r="F1262" s="22"/>
      <c r="G1262" s="22"/>
    </row>
    <row r="1263" spans="1:7" x14ac:dyDescent="0.3">
      <c r="A1263" s="5"/>
      <c r="B1263" s="5" t="s">
        <v>145</v>
      </c>
      <c r="C1263" s="5"/>
      <c r="D1263" s="5" t="s">
        <v>10</v>
      </c>
      <c r="E1263" s="15">
        <f>89.4</f>
        <v>89.4</v>
      </c>
      <c r="F1263" s="15"/>
      <c r="G1263" s="15"/>
    </row>
    <row r="1264" spans="1:7" x14ac:dyDescent="0.3">
      <c r="A1264" s="5"/>
      <c r="B1264" s="5" t="s">
        <v>129</v>
      </c>
      <c r="C1264" s="5"/>
      <c r="D1264" s="5" t="s">
        <v>8</v>
      </c>
      <c r="E1264" s="15">
        <f>2.9</f>
        <v>2.9</v>
      </c>
      <c r="F1264" s="15"/>
      <c r="G1264" s="15"/>
    </row>
    <row r="1265" spans="1:126" x14ac:dyDescent="0.3">
      <c r="A1265" s="5"/>
      <c r="B1265" s="5" t="s">
        <v>131</v>
      </c>
      <c r="C1265" s="5"/>
      <c r="D1265" s="5" t="s">
        <v>8</v>
      </c>
      <c r="E1265" s="15">
        <f>2</f>
        <v>2</v>
      </c>
      <c r="F1265" s="15"/>
      <c r="G1265" s="15"/>
    </row>
    <row r="1266" spans="1:126" x14ac:dyDescent="0.3">
      <c r="A1266" s="5"/>
      <c r="B1266" s="5" t="s">
        <v>142</v>
      </c>
      <c r="C1266" s="5"/>
      <c r="D1266" s="5" t="s">
        <v>8</v>
      </c>
      <c r="E1266" s="15">
        <f>2.7</f>
        <v>2.7</v>
      </c>
      <c r="F1266" s="15"/>
      <c r="G1266" s="15"/>
    </row>
    <row r="1267" spans="1:126" x14ac:dyDescent="0.3">
      <c r="A1267" s="21"/>
      <c r="B1267" s="21" t="s">
        <v>171</v>
      </c>
      <c r="C1267" s="21"/>
      <c r="D1267" s="21" t="s">
        <v>14</v>
      </c>
      <c r="E1267" s="22">
        <f>2</f>
        <v>2</v>
      </c>
      <c r="F1267" s="22"/>
      <c r="G1267" s="22"/>
    </row>
    <row r="1268" spans="1:126" x14ac:dyDescent="0.3">
      <c r="A1268" s="5"/>
      <c r="B1268" s="5" t="s">
        <v>145</v>
      </c>
      <c r="C1268" s="5"/>
      <c r="D1268" s="5" t="s">
        <v>10</v>
      </c>
      <c r="E1268" s="15">
        <f>6.6</f>
        <v>6.6</v>
      </c>
      <c r="F1268" s="15"/>
      <c r="G1268" s="15"/>
    </row>
    <row r="1269" spans="1:126" x14ac:dyDescent="0.3">
      <c r="A1269" s="5"/>
      <c r="B1269" s="5" t="s">
        <v>142</v>
      </c>
      <c r="C1269" s="5"/>
      <c r="D1269" s="5" t="s">
        <v>8</v>
      </c>
      <c r="E1269" s="15">
        <f>1</f>
        <v>1</v>
      </c>
      <c r="F1269" s="15"/>
      <c r="G1269" s="15"/>
    </row>
    <row r="1270" spans="1:126" x14ac:dyDescent="0.3">
      <c r="A1270" s="21"/>
      <c r="B1270" s="21" t="s">
        <v>219</v>
      </c>
      <c r="C1270" s="21"/>
      <c r="D1270" s="21" t="s">
        <v>69</v>
      </c>
      <c r="E1270" s="22">
        <f>349.6</f>
        <v>349.6</v>
      </c>
      <c r="F1270" s="22"/>
      <c r="G1270" s="22"/>
    </row>
    <row r="1271" spans="1:126" x14ac:dyDescent="0.3">
      <c r="A1271" s="5"/>
      <c r="B1271" s="5" t="s">
        <v>220</v>
      </c>
      <c r="C1271" s="5"/>
      <c r="D1271" s="5" t="s">
        <v>72</v>
      </c>
      <c r="E1271" s="15">
        <v>1573.2</v>
      </c>
      <c r="F1271" s="15"/>
      <c r="G1271" s="15"/>
    </row>
    <row r="1272" spans="1:126" s="25" customFormat="1" x14ac:dyDescent="0.3">
      <c r="A1272" s="23"/>
      <c r="B1272" s="23" t="s">
        <v>325</v>
      </c>
      <c r="C1272" s="23"/>
      <c r="D1272" s="23"/>
      <c r="E1272" s="24"/>
      <c r="F1272" s="24"/>
      <c r="G1272" s="24"/>
      <c r="H1272" s="59"/>
      <c r="I1272" s="59"/>
      <c r="J1272" s="59"/>
      <c r="K1272" s="59"/>
      <c r="L1272" s="59"/>
      <c r="M1272" s="59"/>
      <c r="N1272" s="59"/>
      <c r="O1272" s="59"/>
      <c r="P1272" s="59"/>
      <c r="Q1272" s="59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59"/>
      <c r="AC1272" s="59"/>
      <c r="AD1272" s="59"/>
      <c r="AE1272" s="59"/>
      <c r="AF1272" s="59"/>
      <c r="AG1272" s="59"/>
      <c r="AH1272" s="59"/>
      <c r="AI1272" s="59"/>
      <c r="AJ1272" s="59"/>
      <c r="AK1272" s="59"/>
      <c r="AL1272" s="59"/>
      <c r="AM1272" s="59"/>
      <c r="AN1272" s="59"/>
      <c r="AO1272" s="59"/>
      <c r="AP1272" s="59"/>
      <c r="AQ1272" s="59"/>
      <c r="AR1272" s="59"/>
      <c r="AS1272" s="59"/>
      <c r="AT1272" s="59"/>
      <c r="AU1272" s="59"/>
      <c r="AV1272" s="59"/>
      <c r="AW1272" s="59"/>
      <c r="AX1272" s="59"/>
      <c r="AY1272" s="59"/>
      <c r="AZ1272" s="59"/>
      <c r="BA1272" s="59"/>
      <c r="BB1272" s="59"/>
      <c r="BC1272" s="59"/>
      <c r="BD1272" s="59"/>
      <c r="BE1272" s="59"/>
      <c r="BF1272" s="59"/>
      <c r="BG1272" s="59"/>
      <c r="BH1272" s="59"/>
      <c r="BI1272" s="59"/>
      <c r="BJ1272" s="59"/>
      <c r="BK1272" s="59"/>
      <c r="BL1272" s="59"/>
      <c r="BM1272" s="59"/>
      <c r="BN1272" s="59"/>
      <c r="BO1272" s="59"/>
      <c r="BP1272" s="59"/>
      <c r="BQ1272" s="59"/>
      <c r="BR1272" s="59"/>
      <c r="BS1272" s="59"/>
      <c r="BT1272" s="59"/>
      <c r="BU1272" s="59"/>
      <c r="BV1272" s="59"/>
      <c r="BW1272" s="59"/>
      <c r="BX1272" s="59"/>
      <c r="BY1272" s="59"/>
      <c r="BZ1272" s="59"/>
      <c r="CA1272" s="59"/>
      <c r="CB1272" s="59"/>
      <c r="CC1272" s="59"/>
      <c r="CD1272" s="59"/>
      <c r="CE1272" s="59"/>
      <c r="CF1272" s="59"/>
      <c r="CG1272" s="59"/>
      <c r="CH1272" s="59"/>
      <c r="CI1272" s="59"/>
      <c r="CJ1272" s="59"/>
      <c r="CK1272" s="59"/>
      <c r="CL1272" s="59"/>
      <c r="CM1272" s="59"/>
      <c r="CN1272" s="59"/>
      <c r="CO1272" s="59"/>
      <c r="CP1272" s="59"/>
      <c r="CQ1272" s="59"/>
      <c r="CR1272" s="59"/>
      <c r="CS1272" s="59"/>
      <c r="CT1272" s="59"/>
      <c r="CU1272" s="59"/>
      <c r="CV1272" s="59"/>
      <c r="CW1272" s="59"/>
      <c r="CX1272" s="59"/>
      <c r="CY1272" s="59"/>
      <c r="CZ1272" s="59"/>
      <c r="DA1272" s="59"/>
      <c r="DB1272" s="59"/>
      <c r="DC1272" s="59"/>
      <c r="DD1272" s="59"/>
      <c r="DE1272" s="59"/>
      <c r="DF1272" s="59"/>
      <c r="DG1272" s="59"/>
      <c r="DH1272" s="59"/>
      <c r="DI1272" s="59"/>
      <c r="DJ1272" s="59"/>
      <c r="DK1272" s="59"/>
      <c r="DL1272" s="59"/>
      <c r="DM1272" s="59"/>
      <c r="DN1272" s="59"/>
      <c r="DO1272" s="59"/>
      <c r="DP1272" s="59"/>
      <c r="DQ1272" s="59"/>
      <c r="DR1272" s="59"/>
      <c r="DS1272" s="59"/>
      <c r="DT1272" s="59"/>
      <c r="DU1272" s="59"/>
      <c r="DV1272" s="59"/>
    </row>
    <row r="1273" spans="1:126" s="3" customFormat="1" x14ac:dyDescent="0.3">
      <c r="A1273" s="21"/>
      <c r="B1273" s="21" t="s">
        <v>186</v>
      </c>
      <c r="C1273" s="21"/>
      <c r="D1273" s="21" t="s">
        <v>14</v>
      </c>
      <c r="E1273" s="22">
        <v>20</v>
      </c>
      <c r="F1273" s="22"/>
      <c r="G1273" s="22"/>
      <c r="H1273" s="59"/>
      <c r="I1273" s="59"/>
      <c r="J1273" s="59"/>
      <c r="K1273" s="59"/>
      <c r="L1273" s="59"/>
      <c r="M1273" s="59"/>
      <c r="N1273" s="59"/>
      <c r="O1273" s="59"/>
      <c r="P1273" s="59"/>
      <c r="Q1273" s="59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59"/>
      <c r="AC1273" s="59"/>
      <c r="AD1273" s="59"/>
      <c r="AE1273" s="59"/>
      <c r="AF1273" s="59"/>
      <c r="AG1273" s="59"/>
      <c r="AH1273" s="59"/>
      <c r="AI1273" s="59"/>
      <c r="AJ1273" s="59"/>
      <c r="AK1273" s="59"/>
      <c r="AL1273" s="59"/>
      <c r="AM1273" s="59"/>
      <c r="AN1273" s="59"/>
      <c r="AO1273" s="59"/>
      <c r="AP1273" s="59"/>
      <c r="AQ1273" s="59"/>
      <c r="AR1273" s="59"/>
      <c r="AS1273" s="59"/>
      <c r="AT1273" s="59"/>
      <c r="AU1273" s="59"/>
      <c r="AV1273" s="59"/>
      <c r="AW1273" s="59"/>
      <c r="AX1273" s="59"/>
      <c r="AY1273" s="59"/>
      <c r="AZ1273" s="59"/>
      <c r="BA1273" s="59"/>
      <c r="BB1273" s="59"/>
      <c r="BC1273" s="59"/>
      <c r="BD1273" s="59"/>
      <c r="BE1273" s="59"/>
      <c r="BF1273" s="59"/>
      <c r="BG1273" s="59"/>
      <c r="BH1273" s="59"/>
      <c r="BI1273" s="59"/>
      <c r="BJ1273" s="59"/>
      <c r="BK1273" s="59"/>
      <c r="BL1273" s="59"/>
      <c r="BM1273" s="59"/>
      <c r="BN1273" s="59"/>
      <c r="BO1273" s="59"/>
      <c r="BP1273" s="59"/>
      <c r="BQ1273" s="59"/>
      <c r="BR1273" s="59"/>
      <c r="BS1273" s="59"/>
      <c r="BT1273" s="59"/>
      <c r="BU1273" s="59"/>
      <c r="BV1273" s="59"/>
      <c r="BW1273" s="59"/>
      <c r="BX1273" s="59"/>
      <c r="BY1273" s="59"/>
      <c r="BZ1273" s="59"/>
      <c r="CA1273" s="59"/>
      <c r="CB1273" s="59"/>
      <c r="CC1273" s="59"/>
      <c r="CD1273" s="59"/>
      <c r="CE1273" s="59"/>
      <c r="CF1273" s="59"/>
      <c r="CG1273" s="59"/>
      <c r="CH1273" s="59"/>
      <c r="CI1273" s="59"/>
      <c r="CJ1273" s="59"/>
      <c r="CK1273" s="59"/>
      <c r="CL1273" s="59"/>
      <c r="CM1273" s="59"/>
      <c r="CN1273" s="59"/>
      <c r="CO1273" s="59"/>
      <c r="CP1273" s="59"/>
      <c r="CQ1273" s="59"/>
      <c r="CR1273" s="59"/>
      <c r="CS1273" s="59"/>
      <c r="CT1273" s="59"/>
      <c r="CU1273" s="59"/>
      <c r="CV1273" s="59"/>
      <c r="CW1273" s="59"/>
      <c r="CX1273" s="59"/>
      <c r="CY1273" s="59"/>
      <c r="CZ1273" s="59"/>
      <c r="DA1273" s="59"/>
      <c r="DB1273" s="59"/>
      <c r="DC1273" s="59"/>
      <c r="DD1273" s="59"/>
      <c r="DE1273" s="59"/>
      <c r="DF1273" s="59"/>
      <c r="DG1273" s="59"/>
      <c r="DH1273" s="59"/>
      <c r="DI1273" s="59"/>
      <c r="DJ1273" s="59"/>
      <c r="DK1273" s="59"/>
      <c r="DL1273" s="59"/>
      <c r="DM1273" s="59"/>
      <c r="DN1273" s="59"/>
      <c r="DO1273" s="59"/>
      <c r="DP1273" s="59"/>
      <c r="DQ1273" s="59"/>
      <c r="DR1273" s="59"/>
      <c r="DS1273" s="59"/>
      <c r="DT1273" s="59"/>
      <c r="DU1273" s="59"/>
      <c r="DV1273" s="59"/>
    </row>
    <row r="1274" spans="1:126" x14ac:dyDescent="0.3">
      <c r="A1274" s="5"/>
      <c r="B1274" s="5" t="s">
        <v>122</v>
      </c>
      <c r="C1274" s="5"/>
      <c r="D1274" s="5" t="s">
        <v>10</v>
      </c>
      <c r="E1274" s="15">
        <f>1010.8</f>
        <v>1010.8</v>
      </c>
      <c r="F1274" s="15"/>
      <c r="G1274" s="15"/>
    </row>
    <row r="1275" spans="1:126" x14ac:dyDescent="0.3">
      <c r="A1275" s="5"/>
      <c r="B1275" s="5" t="s">
        <v>123</v>
      </c>
      <c r="C1275" s="5"/>
      <c r="D1275" s="5" t="s">
        <v>8</v>
      </c>
      <c r="E1275" s="15">
        <f>217.9</f>
        <v>217.9</v>
      </c>
      <c r="F1275" s="15"/>
      <c r="G1275" s="15"/>
    </row>
    <row r="1276" spans="1:126" x14ac:dyDescent="0.3">
      <c r="A1276" s="5"/>
      <c r="B1276" s="5" t="s">
        <v>124</v>
      </c>
      <c r="C1276" s="5"/>
      <c r="D1276" s="5" t="s">
        <v>8</v>
      </c>
      <c r="E1276" s="15">
        <f>1.7</f>
        <v>1.7</v>
      </c>
      <c r="F1276" s="15"/>
      <c r="G1276" s="15"/>
    </row>
    <row r="1277" spans="1:126" x14ac:dyDescent="0.3">
      <c r="A1277" s="5"/>
      <c r="B1277" s="5" t="s">
        <v>205</v>
      </c>
      <c r="C1277" s="5"/>
      <c r="D1277" s="5" t="s">
        <v>8</v>
      </c>
      <c r="E1277" s="15">
        <f>14.7</f>
        <v>14.7</v>
      </c>
      <c r="F1277" s="15"/>
      <c r="G1277" s="15"/>
    </row>
    <row r="1278" spans="1:126" x14ac:dyDescent="0.3">
      <c r="A1278" s="5"/>
      <c r="B1278" s="5" t="s">
        <v>206</v>
      </c>
      <c r="C1278" s="5"/>
      <c r="D1278" s="5" t="s">
        <v>8</v>
      </c>
      <c r="E1278" s="15">
        <f>12.2</f>
        <v>12.2</v>
      </c>
      <c r="F1278" s="15"/>
      <c r="G1278" s="15"/>
    </row>
    <row r="1279" spans="1:126" x14ac:dyDescent="0.3">
      <c r="A1279" s="5"/>
      <c r="B1279" s="5" t="s">
        <v>223</v>
      </c>
      <c r="C1279" s="5"/>
      <c r="D1279" s="5" t="s">
        <v>8</v>
      </c>
      <c r="E1279" s="15">
        <f>3.3</f>
        <v>3.3</v>
      </c>
      <c r="F1279" s="15"/>
      <c r="G1279" s="15"/>
    </row>
    <row r="1280" spans="1:126" x14ac:dyDescent="0.3">
      <c r="A1280" s="5"/>
      <c r="B1280" s="5" t="s">
        <v>209</v>
      </c>
      <c r="C1280" s="5"/>
      <c r="D1280" s="5" t="s">
        <v>8</v>
      </c>
      <c r="E1280" s="15">
        <f>1.3*0.4</f>
        <v>0.52</v>
      </c>
      <c r="F1280" s="15"/>
      <c r="G1280" s="15"/>
    </row>
    <row r="1281" spans="1:126" s="3" customFormat="1" x14ac:dyDescent="0.3">
      <c r="A1281" s="21"/>
      <c r="B1281" s="21" t="s">
        <v>127</v>
      </c>
      <c r="C1281" s="21"/>
      <c r="D1281" s="21" t="s">
        <v>14</v>
      </c>
      <c r="E1281" s="22">
        <f>1</f>
        <v>1</v>
      </c>
      <c r="F1281" s="22"/>
      <c r="G1281" s="22"/>
      <c r="H1281" s="59"/>
      <c r="I1281" s="59"/>
      <c r="J1281" s="59"/>
      <c r="K1281" s="59"/>
      <c r="L1281" s="59"/>
      <c r="M1281" s="59"/>
      <c r="N1281" s="59"/>
      <c r="O1281" s="59"/>
      <c r="P1281" s="59"/>
      <c r="Q1281" s="59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59"/>
      <c r="AC1281" s="59"/>
      <c r="AD1281" s="59"/>
      <c r="AE1281" s="59"/>
      <c r="AF1281" s="59"/>
      <c r="AG1281" s="59"/>
      <c r="AH1281" s="59"/>
      <c r="AI1281" s="59"/>
      <c r="AJ1281" s="59"/>
      <c r="AK1281" s="59"/>
      <c r="AL1281" s="59"/>
      <c r="AM1281" s="59"/>
      <c r="AN1281" s="59"/>
      <c r="AO1281" s="59"/>
      <c r="AP1281" s="59"/>
      <c r="AQ1281" s="59"/>
      <c r="AR1281" s="59"/>
      <c r="AS1281" s="59"/>
      <c r="AT1281" s="59"/>
      <c r="AU1281" s="59"/>
      <c r="AV1281" s="59"/>
      <c r="AW1281" s="59"/>
      <c r="AX1281" s="59"/>
      <c r="AY1281" s="59"/>
      <c r="AZ1281" s="59"/>
      <c r="BA1281" s="59"/>
      <c r="BB1281" s="59"/>
      <c r="BC1281" s="59"/>
      <c r="BD1281" s="59"/>
      <c r="BE1281" s="59"/>
      <c r="BF1281" s="59"/>
      <c r="BG1281" s="59"/>
      <c r="BH1281" s="59"/>
      <c r="BI1281" s="59"/>
      <c r="BJ1281" s="59"/>
      <c r="BK1281" s="59"/>
      <c r="BL1281" s="59"/>
      <c r="BM1281" s="59"/>
      <c r="BN1281" s="59"/>
      <c r="BO1281" s="59"/>
      <c r="BP1281" s="59"/>
      <c r="BQ1281" s="59"/>
      <c r="BR1281" s="59"/>
      <c r="BS1281" s="59"/>
      <c r="BT1281" s="59"/>
      <c r="BU1281" s="59"/>
      <c r="BV1281" s="59"/>
      <c r="BW1281" s="59"/>
      <c r="BX1281" s="59"/>
      <c r="BY1281" s="59"/>
      <c r="BZ1281" s="59"/>
      <c r="CA1281" s="59"/>
      <c r="CB1281" s="59"/>
      <c r="CC1281" s="59"/>
      <c r="CD1281" s="59"/>
      <c r="CE1281" s="59"/>
      <c r="CF1281" s="59"/>
      <c r="CG1281" s="59"/>
      <c r="CH1281" s="59"/>
      <c r="CI1281" s="59"/>
      <c r="CJ1281" s="59"/>
      <c r="CK1281" s="59"/>
      <c r="CL1281" s="59"/>
      <c r="CM1281" s="59"/>
      <c r="CN1281" s="59"/>
      <c r="CO1281" s="59"/>
      <c r="CP1281" s="59"/>
      <c r="CQ1281" s="59"/>
      <c r="CR1281" s="59"/>
      <c r="CS1281" s="59"/>
      <c r="CT1281" s="59"/>
      <c r="CU1281" s="59"/>
      <c r="CV1281" s="59"/>
      <c r="CW1281" s="59"/>
      <c r="CX1281" s="59"/>
      <c r="CY1281" s="59"/>
      <c r="CZ1281" s="59"/>
      <c r="DA1281" s="59"/>
      <c r="DB1281" s="59"/>
      <c r="DC1281" s="59"/>
      <c r="DD1281" s="59"/>
      <c r="DE1281" s="59"/>
      <c r="DF1281" s="59"/>
      <c r="DG1281" s="59"/>
      <c r="DH1281" s="59"/>
      <c r="DI1281" s="59"/>
      <c r="DJ1281" s="59"/>
      <c r="DK1281" s="59"/>
      <c r="DL1281" s="59"/>
      <c r="DM1281" s="59"/>
      <c r="DN1281" s="59"/>
      <c r="DO1281" s="59"/>
      <c r="DP1281" s="59"/>
      <c r="DQ1281" s="59"/>
      <c r="DR1281" s="59"/>
      <c r="DS1281" s="59"/>
      <c r="DT1281" s="59"/>
      <c r="DU1281" s="59"/>
      <c r="DV1281" s="59"/>
    </row>
    <row r="1282" spans="1:126" x14ac:dyDescent="0.3">
      <c r="A1282" s="5"/>
      <c r="B1282" s="5" t="s">
        <v>308</v>
      </c>
      <c r="C1282" s="5"/>
      <c r="D1282" s="5" t="s">
        <v>10</v>
      </c>
      <c r="E1282" s="15">
        <f>14.4</f>
        <v>14.4</v>
      </c>
      <c r="F1282" s="15"/>
      <c r="G1282" s="15"/>
    </row>
    <row r="1283" spans="1:126" x14ac:dyDescent="0.3">
      <c r="A1283" s="5"/>
      <c r="B1283" s="5" t="s">
        <v>213</v>
      </c>
      <c r="C1283" s="5"/>
      <c r="D1283" s="5" t="s">
        <v>10</v>
      </c>
      <c r="E1283" s="15">
        <f>457.7</f>
        <v>457.7</v>
      </c>
      <c r="F1283" s="15"/>
      <c r="G1283" s="15"/>
    </row>
    <row r="1284" spans="1:126" x14ac:dyDescent="0.3">
      <c r="A1284" s="5"/>
      <c r="B1284" s="5" t="s">
        <v>129</v>
      </c>
      <c r="C1284" s="5"/>
      <c r="D1284" s="5" t="s">
        <v>8</v>
      </c>
      <c r="E1284" s="15">
        <f>36.1</f>
        <v>36.1</v>
      </c>
      <c r="F1284" s="15"/>
      <c r="G1284" s="15"/>
    </row>
    <row r="1285" spans="1:126" x14ac:dyDescent="0.3">
      <c r="A1285" s="5"/>
      <c r="B1285" s="5" t="s">
        <v>131</v>
      </c>
      <c r="C1285" s="5"/>
      <c r="D1285" s="5" t="s">
        <v>8</v>
      </c>
      <c r="E1285" s="15">
        <f>14.7</f>
        <v>14.7</v>
      </c>
      <c r="F1285" s="15"/>
      <c r="G1285" s="15"/>
    </row>
    <row r="1286" spans="1:126" x14ac:dyDescent="0.3">
      <c r="A1286" s="5"/>
      <c r="B1286" s="5" t="s">
        <v>124</v>
      </c>
      <c r="C1286" s="5"/>
      <c r="D1286" s="5" t="s">
        <v>8</v>
      </c>
      <c r="E1286" s="15">
        <f>10.2</f>
        <v>10.199999999999999</v>
      </c>
      <c r="F1286" s="15"/>
      <c r="G1286" s="15"/>
    </row>
    <row r="1287" spans="1:126" x14ac:dyDescent="0.3">
      <c r="A1287" s="5"/>
      <c r="B1287" s="5" t="s">
        <v>205</v>
      </c>
      <c r="C1287" s="5"/>
      <c r="D1287" s="5" t="s">
        <v>8</v>
      </c>
      <c r="E1287" s="15">
        <f>1</f>
        <v>1</v>
      </c>
      <c r="F1287" s="15"/>
      <c r="G1287" s="15"/>
    </row>
    <row r="1288" spans="1:126" x14ac:dyDescent="0.3">
      <c r="A1288" s="5"/>
      <c r="B1288" s="5" t="s">
        <v>211</v>
      </c>
      <c r="C1288" s="5"/>
      <c r="D1288" s="5" t="s">
        <v>8</v>
      </c>
      <c r="E1288" s="15">
        <f>0.4</f>
        <v>0.4</v>
      </c>
      <c r="F1288" s="15"/>
      <c r="G1288" s="15"/>
    </row>
    <row r="1289" spans="1:126" x14ac:dyDescent="0.3">
      <c r="A1289" s="21"/>
      <c r="B1289" s="21" t="s">
        <v>134</v>
      </c>
      <c r="C1289" s="21"/>
      <c r="D1289" s="21" t="s">
        <v>14</v>
      </c>
      <c r="E1289" s="22">
        <f>66</f>
        <v>66</v>
      </c>
      <c r="F1289" s="22"/>
      <c r="G1289" s="22"/>
    </row>
    <row r="1290" spans="1:126" x14ac:dyDescent="0.3">
      <c r="A1290" s="5"/>
      <c r="B1290" s="5" t="s">
        <v>135</v>
      </c>
      <c r="C1290" s="5"/>
      <c r="D1290" s="5" t="s">
        <v>10</v>
      </c>
      <c r="E1290" s="15">
        <f>70</f>
        <v>70</v>
      </c>
      <c r="F1290" s="15"/>
      <c r="G1290" s="15"/>
    </row>
    <row r="1291" spans="1:126" x14ac:dyDescent="0.3">
      <c r="A1291" s="5"/>
      <c r="B1291" s="5" t="s">
        <v>136</v>
      </c>
      <c r="C1291" s="5"/>
      <c r="D1291" s="5" t="s">
        <v>8</v>
      </c>
      <c r="E1291" s="15">
        <f>1.9</f>
        <v>1.9</v>
      </c>
      <c r="F1291" s="15"/>
      <c r="G1291" s="15"/>
    </row>
    <row r="1292" spans="1:126" x14ac:dyDescent="0.3">
      <c r="A1292" s="5"/>
      <c r="B1292" s="5" t="s">
        <v>137</v>
      </c>
      <c r="C1292" s="5"/>
      <c r="D1292" s="5" t="s">
        <v>8</v>
      </c>
      <c r="E1292" s="15">
        <f>1.4</f>
        <v>1.4</v>
      </c>
      <c r="F1292" s="15"/>
      <c r="G1292" s="15"/>
    </row>
    <row r="1293" spans="1:126" x14ac:dyDescent="0.3">
      <c r="A1293" s="5"/>
      <c r="B1293" s="5" t="s">
        <v>138</v>
      </c>
      <c r="C1293" s="5"/>
      <c r="D1293" s="5" t="s">
        <v>8</v>
      </c>
      <c r="E1293" s="15">
        <f>0.8</f>
        <v>0.8</v>
      </c>
      <c r="F1293" s="15"/>
      <c r="G1293" s="15"/>
    </row>
    <row r="1294" spans="1:126" x14ac:dyDescent="0.3">
      <c r="A1294" s="5"/>
      <c r="B1294" s="5" t="s">
        <v>139</v>
      </c>
      <c r="C1294" s="5"/>
      <c r="D1294" s="5" t="s">
        <v>8</v>
      </c>
      <c r="E1294" s="15">
        <f>1.4</f>
        <v>1.4</v>
      </c>
      <c r="F1294" s="15"/>
      <c r="G1294" s="15"/>
    </row>
    <row r="1295" spans="1:126" x14ac:dyDescent="0.3">
      <c r="A1295" s="21"/>
      <c r="B1295" s="21" t="s">
        <v>140</v>
      </c>
      <c r="C1295" s="21"/>
      <c r="D1295" s="21" t="s">
        <v>10</v>
      </c>
      <c r="E1295" s="22">
        <f>137.3</f>
        <v>137.30000000000001</v>
      </c>
      <c r="F1295" s="22"/>
      <c r="G1295" s="22"/>
    </row>
    <row r="1296" spans="1:126" x14ac:dyDescent="0.3">
      <c r="A1296" s="5"/>
      <c r="B1296" s="5" t="s">
        <v>141</v>
      </c>
      <c r="C1296" s="5"/>
      <c r="D1296" s="5" t="s">
        <v>10</v>
      </c>
      <c r="E1296" s="15">
        <f>137.3</f>
        <v>137.30000000000001</v>
      </c>
      <c r="F1296" s="15"/>
      <c r="G1296" s="15"/>
    </row>
    <row r="1297" spans="1:126" x14ac:dyDescent="0.3">
      <c r="A1297" s="5"/>
      <c r="B1297" s="5" t="s">
        <v>123</v>
      </c>
      <c r="C1297" s="5"/>
      <c r="D1297" s="5" t="s">
        <v>8</v>
      </c>
      <c r="E1297" s="15">
        <f>50.2</f>
        <v>50.2</v>
      </c>
      <c r="F1297" s="15"/>
      <c r="G1297" s="15"/>
    </row>
    <row r="1298" spans="1:126" x14ac:dyDescent="0.3">
      <c r="A1298" s="5"/>
      <c r="B1298" s="5" t="s">
        <v>131</v>
      </c>
      <c r="C1298" s="5"/>
      <c r="D1298" s="5" t="s">
        <v>8</v>
      </c>
      <c r="E1298" s="15">
        <f>3.3</f>
        <v>3.3</v>
      </c>
      <c r="F1298" s="15"/>
      <c r="G1298" s="15"/>
    </row>
    <row r="1299" spans="1:126" x14ac:dyDescent="0.3">
      <c r="A1299" s="5"/>
      <c r="B1299" s="5" t="s">
        <v>124</v>
      </c>
      <c r="C1299" s="5"/>
      <c r="D1299" s="5" t="s">
        <v>8</v>
      </c>
      <c r="E1299" s="15">
        <f>0.8</f>
        <v>0.8</v>
      </c>
      <c r="F1299" s="15"/>
      <c r="G1299" s="15"/>
    </row>
    <row r="1300" spans="1:126" x14ac:dyDescent="0.3">
      <c r="A1300" s="5"/>
      <c r="B1300" s="5" t="s">
        <v>205</v>
      </c>
      <c r="C1300" s="5"/>
      <c r="D1300" s="5" t="s">
        <v>8</v>
      </c>
      <c r="E1300" s="15">
        <f>1.9</f>
        <v>1.9</v>
      </c>
      <c r="F1300" s="15"/>
      <c r="G1300" s="15"/>
    </row>
    <row r="1301" spans="1:126" ht="31.2" x14ac:dyDescent="0.3">
      <c r="A1301" s="5"/>
      <c r="B1301" s="11" t="s">
        <v>143</v>
      </c>
      <c r="C1301" s="5"/>
      <c r="D1301" s="5" t="s">
        <v>14</v>
      </c>
      <c r="E1301" s="15">
        <f>240</f>
        <v>240</v>
      </c>
      <c r="F1301" s="15"/>
      <c r="G1301" s="15"/>
    </row>
    <row r="1302" spans="1:126" x14ac:dyDescent="0.3">
      <c r="A1302" s="21"/>
      <c r="B1302" s="21" t="s">
        <v>144</v>
      </c>
      <c r="C1302" s="21"/>
      <c r="D1302" s="21" t="s">
        <v>14</v>
      </c>
      <c r="E1302" s="22">
        <f>1</f>
        <v>1</v>
      </c>
      <c r="F1302" s="22"/>
      <c r="G1302" s="22"/>
    </row>
    <row r="1303" spans="1:126" x14ac:dyDescent="0.3">
      <c r="A1303" s="5"/>
      <c r="B1303" s="5" t="s">
        <v>145</v>
      </c>
      <c r="C1303" s="5"/>
      <c r="D1303" s="5" t="s">
        <v>10</v>
      </c>
      <c r="E1303" s="15">
        <f>90.2</f>
        <v>90.2</v>
      </c>
      <c r="F1303" s="15"/>
      <c r="G1303" s="15"/>
    </row>
    <row r="1304" spans="1:126" x14ac:dyDescent="0.3">
      <c r="A1304" s="5"/>
      <c r="B1304" s="5" t="s">
        <v>129</v>
      </c>
      <c r="C1304" s="5"/>
      <c r="D1304" s="5" t="s">
        <v>8</v>
      </c>
      <c r="E1304" s="15">
        <f>2.9</f>
        <v>2.9</v>
      </c>
      <c r="F1304" s="15"/>
      <c r="G1304" s="15"/>
    </row>
    <row r="1305" spans="1:126" x14ac:dyDescent="0.3">
      <c r="A1305" s="5"/>
      <c r="B1305" s="5" t="s">
        <v>131</v>
      </c>
      <c r="C1305" s="5"/>
      <c r="D1305" s="5" t="s">
        <v>8</v>
      </c>
      <c r="E1305" s="15">
        <f>2</f>
        <v>2</v>
      </c>
      <c r="F1305" s="15"/>
      <c r="G1305" s="15"/>
    </row>
    <row r="1306" spans="1:126" x14ac:dyDescent="0.3">
      <c r="A1306" s="5"/>
      <c r="B1306" s="5" t="s">
        <v>142</v>
      </c>
      <c r="C1306" s="5"/>
      <c r="D1306" s="5" t="s">
        <v>8</v>
      </c>
      <c r="E1306" s="15">
        <f>2.7</f>
        <v>2.7</v>
      </c>
      <c r="F1306" s="15"/>
      <c r="G1306" s="15"/>
    </row>
    <row r="1307" spans="1:126" x14ac:dyDescent="0.3">
      <c r="A1307" s="21"/>
      <c r="B1307" s="21" t="s">
        <v>171</v>
      </c>
      <c r="C1307" s="21"/>
      <c r="D1307" s="21" t="s">
        <v>14</v>
      </c>
      <c r="E1307" s="22">
        <f>2</f>
        <v>2</v>
      </c>
      <c r="F1307" s="22"/>
      <c r="G1307" s="22"/>
    </row>
    <row r="1308" spans="1:126" x14ac:dyDescent="0.3">
      <c r="A1308" s="5"/>
      <c r="B1308" s="5" t="s">
        <v>145</v>
      </c>
      <c r="C1308" s="5"/>
      <c r="D1308" s="5" t="s">
        <v>10</v>
      </c>
      <c r="E1308" s="15">
        <f>1</f>
        <v>1</v>
      </c>
      <c r="F1308" s="15"/>
      <c r="G1308" s="15"/>
    </row>
    <row r="1309" spans="1:126" x14ac:dyDescent="0.3">
      <c r="A1309" s="5"/>
      <c r="B1309" s="5" t="s">
        <v>142</v>
      </c>
      <c r="C1309" s="5"/>
      <c r="D1309" s="5" t="s">
        <v>8</v>
      </c>
      <c r="E1309" s="15">
        <f>0.2</f>
        <v>0.2</v>
      </c>
      <c r="F1309" s="15"/>
      <c r="G1309" s="15"/>
    </row>
    <row r="1310" spans="1:126" x14ac:dyDescent="0.3">
      <c r="A1310" s="21"/>
      <c r="B1310" s="21" t="s">
        <v>219</v>
      </c>
      <c r="C1310" s="21"/>
      <c r="D1310" s="21" t="s">
        <v>69</v>
      </c>
      <c r="E1310" s="22">
        <f>355.5</f>
        <v>355.5</v>
      </c>
      <c r="F1310" s="22"/>
      <c r="G1310" s="22"/>
    </row>
    <row r="1311" spans="1:126" x14ac:dyDescent="0.3">
      <c r="A1311" s="5"/>
      <c r="B1311" s="5" t="s">
        <v>220</v>
      </c>
      <c r="C1311" s="5"/>
      <c r="D1311" s="5" t="s">
        <v>72</v>
      </c>
      <c r="E1311" s="15">
        <v>1599.75</v>
      </c>
      <c r="F1311" s="15"/>
      <c r="G1311" s="15"/>
    </row>
    <row r="1312" spans="1:126" s="25" customFormat="1" x14ac:dyDescent="0.3">
      <c r="A1312" s="23"/>
      <c r="B1312" s="23" t="s">
        <v>326</v>
      </c>
      <c r="C1312" s="23"/>
      <c r="D1312" s="23"/>
      <c r="E1312" s="24"/>
      <c r="F1312" s="24"/>
      <c r="G1312" s="24"/>
      <c r="H1312" s="59"/>
      <c r="I1312" s="59"/>
      <c r="J1312" s="59"/>
      <c r="K1312" s="59"/>
      <c r="L1312" s="59"/>
      <c r="M1312" s="59"/>
      <c r="N1312" s="59"/>
      <c r="O1312" s="59"/>
      <c r="P1312" s="59"/>
      <c r="Q1312" s="59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9"/>
      <c r="AI1312" s="59"/>
      <c r="AJ1312" s="59"/>
      <c r="AK1312" s="59"/>
      <c r="AL1312" s="59"/>
      <c r="AM1312" s="59"/>
      <c r="AN1312" s="59"/>
      <c r="AO1312" s="59"/>
      <c r="AP1312" s="59"/>
      <c r="AQ1312" s="59"/>
      <c r="AR1312" s="59"/>
      <c r="AS1312" s="59"/>
      <c r="AT1312" s="59"/>
      <c r="AU1312" s="59"/>
      <c r="AV1312" s="59"/>
      <c r="AW1312" s="59"/>
      <c r="AX1312" s="59"/>
      <c r="AY1312" s="59"/>
      <c r="AZ1312" s="59"/>
      <c r="BA1312" s="59"/>
      <c r="BB1312" s="59"/>
      <c r="BC1312" s="59"/>
      <c r="BD1312" s="59"/>
      <c r="BE1312" s="59"/>
      <c r="BF1312" s="59"/>
      <c r="BG1312" s="59"/>
      <c r="BH1312" s="59"/>
      <c r="BI1312" s="59"/>
      <c r="BJ1312" s="59"/>
      <c r="BK1312" s="59"/>
      <c r="BL1312" s="59"/>
      <c r="BM1312" s="59"/>
      <c r="BN1312" s="59"/>
      <c r="BO1312" s="59"/>
      <c r="BP1312" s="59"/>
      <c r="BQ1312" s="59"/>
      <c r="BR1312" s="59"/>
      <c r="BS1312" s="59"/>
      <c r="BT1312" s="59"/>
      <c r="BU1312" s="59"/>
      <c r="BV1312" s="59"/>
      <c r="BW1312" s="59"/>
      <c r="BX1312" s="59"/>
      <c r="BY1312" s="59"/>
      <c r="BZ1312" s="59"/>
      <c r="CA1312" s="59"/>
      <c r="CB1312" s="59"/>
      <c r="CC1312" s="59"/>
      <c r="CD1312" s="59"/>
      <c r="CE1312" s="59"/>
      <c r="CF1312" s="59"/>
      <c r="CG1312" s="59"/>
      <c r="CH1312" s="59"/>
      <c r="CI1312" s="59"/>
      <c r="CJ1312" s="59"/>
      <c r="CK1312" s="59"/>
      <c r="CL1312" s="59"/>
      <c r="CM1312" s="59"/>
      <c r="CN1312" s="59"/>
      <c r="CO1312" s="59"/>
      <c r="CP1312" s="59"/>
      <c r="CQ1312" s="59"/>
      <c r="CR1312" s="59"/>
      <c r="CS1312" s="59"/>
      <c r="CT1312" s="59"/>
      <c r="CU1312" s="59"/>
      <c r="CV1312" s="59"/>
      <c r="CW1312" s="59"/>
      <c r="CX1312" s="59"/>
      <c r="CY1312" s="59"/>
      <c r="CZ1312" s="59"/>
      <c r="DA1312" s="59"/>
      <c r="DB1312" s="59"/>
      <c r="DC1312" s="59"/>
      <c r="DD1312" s="59"/>
      <c r="DE1312" s="59"/>
      <c r="DF1312" s="59"/>
      <c r="DG1312" s="59"/>
      <c r="DH1312" s="59"/>
      <c r="DI1312" s="59"/>
      <c r="DJ1312" s="59"/>
      <c r="DK1312" s="59"/>
      <c r="DL1312" s="59"/>
      <c r="DM1312" s="59"/>
      <c r="DN1312" s="59"/>
      <c r="DO1312" s="59"/>
      <c r="DP1312" s="59"/>
      <c r="DQ1312" s="59"/>
      <c r="DR1312" s="59"/>
      <c r="DS1312" s="59"/>
      <c r="DT1312" s="59"/>
      <c r="DU1312" s="59"/>
      <c r="DV1312" s="59"/>
    </row>
    <row r="1313" spans="1:126" s="3" customFormat="1" x14ac:dyDescent="0.3">
      <c r="A1313" s="21"/>
      <c r="B1313" s="21" t="s">
        <v>324</v>
      </c>
      <c r="C1313" s="21"/>
      <c r="D1313" s="21" t="s">
        <v>14</v>
      </c>
      <c r="E1313" s="22">
        <v>20</v>
      </c>
      <c r="F1313" s="22"/>
      <c r="G1313" s="22"/>
      <c r="H1313" s="59"/>
      <c r="I1313" s="59"/>
      <c r="J1313" s="59"/>
      <c r="K1313" s="59"/>
      <c r="L1313" s="59"/>
      <c r="M1313" s="59"/>
      <c r="N1313" s="59"/>
      <c r="O1313" s="59"/>
      <c r="P1313" s="59"/>
      <c r="Q1313" s="59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59"/>
      <c r="AC1313" s="59"/>
      <c r="AD1313" s="59"/>
      <c r="AE1313" s="59"/>
      <c r="AF1313" s="59"/>
      <c r="AG1313" s="59"/>
      <c r="AH1313" s="59"/>
      <c r="AI1313" s="59"/>
      <c r="AJ1313" s="59"/>
      <c r="AK1313" s="59"/>
      <c r="AL1313" s="59"/>
      <c r="AM1313" s="59"/>
      <c r="AN1313" s="59"/>
      <c r="AO1313" s="59"/>
      <c r="AP1313" s="59"/>
      <c r="AQ1313" s="59"/>
      <c r="AR1313" s="59"/>
      <c r="AS1313" s="59"/>
      <c r="AT1313" s="59"/>
      <c r="AU1313" s="59"/>
      <c r="AV1313" s="59"/>
      <c r="AW1313" s="59"/>
      <c r="AX1313" s="59"/>
      <c r="AY1313" s="59"/>
      <c r="AZ1313" s="59"/>
      <c r="BA1313" s="59"/>
      <c r="BB1313" s="59"/>
      <c r="BC1313" s="59"/>
      <c r="BD1313" s="59"/>
      <c r="BE1313" s="59"/>
      <c r="BF1313" s="59"/>
      <c r="BG1313" s="59"/>
      <c r="BH1313" s="59"/>
      <c r="BI1313" s="59"/>
      <c r="BJ1313" s="59"/>
      <c r="BK1313" s="59"/>
      <c r="BL1313" s="59"/>
      <c r="BM1313" s="59"/>
      <c r="BN1313" s="59"/>
      <c r="BO1313" s="59"/>
      <c r="BP1313" s="59"/>
      <c r="BQ1313" s="59"/>
      <c r="BR1313" s="59"/>
      <c r="BS1313" s="59"/>
      <c r="BT1313" s="59"/>
      <c r="BU1313" s="59"/>
      <c r="BV1313" s="59"/>
      <c r="BW1313" s="59"/>
      <c r="BX1313" s="59"/>
      <c r="BY1313" s="59"/>
      <c r="BZ1313" s="59"/>
      <c r="CA1313" s="59"/>
      <c r="CB1313" s="59"/>
      <c r="CC1313" s="59"/>
      <c r="CD1313" s="59"/>
      <c r="CE1313" s="59"/>
      <c r="CF1313" s="59"/>
      <c r="CG1313" s="59"/>
      <c r="CH1313" s="59"/>
      <c r="CI1313" s="59"/>
      <c r="CJ1313" s="59"/>
      <c r="CK1313" s="59"/>
      <c r="CL1313" s="59"/>
      <c r="CM1313" s="59"/>
      <c r="CN1313" s="59"/>
      <c r="CO1313" s="59"/>
      <c r="CP1313" s="59"/>
      <c r="CQ1313" s="59"/>
      <c r="CR1313" s="59"/>
      <c r="CS1313" s="59"/>
      <c r="CT1313" s="59"/>
      <c r="CU1313" s="59"/>
      <c r="CV1313" s="59"/>
      <c r="CW1313" s="59"/>
      <c r="CX1313" s="59"/>
      <c r="CY1313" s="59"/>
      <c r="CZ1313" s="59"/>
      <c r="DA1313" s="59"/>
      <c r="DB1313" s="59"/>
      <c r="DC1313" s="59"/>
      <c r="DD1313" s="59"/>
      <c r="DE1313" s="59"/>
      <c r="DF1313" s="59"/>
      <c r="DG1313" s="59"/>
      <c r="DH1313" s="59"/>
      <c r="DI1313" s="59"/>
      <c r="DJ1313" s="59"/>
      <c r="DK1313" s="59"/>
      <c r="DL1313" s="59"/>
      <c r="DM1313" s="59"/>
      <c r="DN1313" s="59"/>
      <c r="DO1313" s="59"/>
      <c r="DP1313" s="59"/>
      <c r="DQ1313" s="59"/>
      <c r="DR1313" s="59"/>
      <c r="DS1313" s="59"/>
      <c r="DT1313" s="59"/>
      <c r="DU1313" s="59"/>
      <c r="DV1313" s="59"/>
    </row>
    <row r="1314" spans="1:126" x14ac:dyDescent="0.3">
      <c r="A1314" s="5"/>
      <c r="B1314" s="5" t="s">
        <v>122</v>
      </c>
      <c r="C1314" s="5"/>
      <c r="D1314" s="5" t="s">
        <v>10</v>
      </c>
      <c r="E1314" s="15">
        <f>957.8</f>
        <v>957.8</v>
      </c>
      <c r="F1314" s="15"/>
      <c r="G1314" s="15"/>
    </row>
    <row r="1315" spans="1:126" x14ac:dyDescent="0.3">
      <c r="A1315" s="5"/>
      <c r="B1315" s="5" t="s">
        <v>123</v>
      </c>
      <c r="C1315" s="5"/>
      <c r="D1315" s="5" t="s">
        <v>8</v>
      </c>
      <c r="E1315" s="15">
        <f>206.4</f>
        <v>206.4</v>
      </c>
      <c r="F1315" s="15"/>
      <c r="G1315" s="15"/>
    </row>
    <row r="1316" spans="1:126" x14ac:dyDescent="0.3">
      <c r="A1316" s="5"/>
      <c r="B1316" s="5" t="s">
        <v>124</v>
      </c>
      <c r="C1316" s="5"/>
      <c r="D1316" s="5" t="s">
        <v>8</v>
      </c>
      <c r="E1316" s="15">
        <f>1.6</f>
        <v>1.6</v>
      </c>
      <c r="F1316" s="15"/>
      <c r="G1316" s="15"/>
    </row>
    <row r="1317" spans="1:126" x14ac:dyDescent="0.3">
      <c r="A1317" s="5"/>
      <c r="B1317" s="5" t="s">
        <v>205</v>
      </c>
      <c r="C1317" s="5"/>
      <c r="D1317" s="5" t="s">
        <v>8</v>
      </c>
      <c r="E1317" s="15">
        <f>14</f>
        <v>14</v>
      </c>
      <c r="F1317" s="15"/>
      <c r="G1317" s="15"/>
    </row>
    <row r="1318" spans="1:126" x14ac:dyDescent="0.3">
      <c r="A1318" s="5"/>
      <c r="B1318" s="5" t="s">
        <v>206</v>
      </c>
      <c r="C1318" s="5"/>
      <c r="D1318" s="5" t="s">
        <v>8</v>
      </c>
      <c r="E1318" s="15">
        <f>11.5</f>
        <v>11.5</v>
      </c>
      <c r="F1318" s="15"/>
      <c r="G1318" s="15"/>
    </row>
    <row r="1319" spans="1:126" x14ac:dyDescent="0.3">
      <c r="A1319" s="5"/>
      <c r="B1319" s="5" t="s">
        <v>223</v>
      </c>
      <c r="C1319" s="5"/>
      <c r="D1319" s="5" t="s">
        <v>8</v>
      </c>
      <c r="E1319" s="15">
        <f>3.1</f>
        <v>3.1</v>
      </c>
      <c r="F1319" s="15"/>
      <c r="G1319" s="15"/>
    </row>
    <row r="1320" spans="1:126" x14ac:dyDescent="0.3">
      <c r="A1320" s="5"/>
      <c r="B1320" s="5" t="s">
        <v>209</v>
      </c>
      <c r="C1320" s="5"/>
      <c r="D1320" s="5" t="s">
        <v>8</v>
      </c>
      <c r="E1320" s="15">
        <f>1.2*0.4</f>
        <v>0.48</v>
      </c>
      <c r="F1320" s="15"/>
      <c r="G1320" s="15"/>
    </row>
    <row r="1321" spans="1:126" s="3" customFormat="1" x14ac:dyDescent="0.3">
      <c r="A1321" s="21"/>
      <c r="B1321" s="21" t="s">
        <v>127</v>
      </c>
      <c r="C1321" s="21"/>
      <c r="D1321" s="21" t="s">
        <v>14</v>
      </c>
      <c r="E1321" s="22">
        <f>1</f>
        <v>1</v>
      </c>
      <c r="F1321" s="22"/>
      <c r="G1321" s="22"/>
      <c r="H1321" s="59"/>
      <c r="I1321" s="59"/>
      <c r="J1321" s="59"/>
      <c r="K1321" s="59"/>
      <c r="L1321" s="59"/>
      <c r="M1321" s="59"/>
      <c r="N1321" s="59"/>
      <c r="O1321" s="59"/>
      <c r="P1321" s="59"/>
      <c r="Q1321" s="59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59"/>
      <c r="AC1321" s="59"/>
      <c r="AD1321" s="59"/>
      <c r="AE1321" s="59"/>
      <c r="AF1321" s="59"/>
      <c r="AG1321" s="59"/>
      <c r="AH1321" s="59"/>
      <c r="AI1321" s="59"/>
      <c r="AJ1321" s="59"/>
      <c r="AK1321" s="59"/>
      <c r="AL1321" s="59"/>
      <c r="AM1321" s="59"/>
      <c r="AN1321" s="59"/>
      <c r="AO1321" s="59"/>
      <c r="AP1321" s="59"/>
      <c r="AQ1321" s="59"/>
      <c r="AR1321" s="59"/>
      <c r="AS1321" s="59"/>
      <c r="AT1321" s="59"/>
      <c r="AU1321" s="59"/>
      <c r="AV1321" s="59"/>
      <c r="AW1321" s="59"/>
      <c r="AX1321" s="59"/>
      <c r="AY1321" s="59"/>
      <c r="AZ1321" s="59"/>
      <c r="BA1321" s="59"/>
      <c r="BB1321" s="59"/>
      <c r="BC1321" s="59"/>
      <c r="BD1321" s="59"/>
      <c r="BE1321" s="59"/>
      <c r="BF1321" s="59"/>
      <c r="BG1321" s="59"/>
      <c r="BH1321" s="59"/>
      <c r="BI1321" s="59"/>
      <c r="BJ1321" s="59"/>
      <c r="BK1321" s="59"/>
      <c r="BL1321" s="59"/>
      <c r="BM1321" s="59"/>
      <c r="BN1321" s="59"/>
      <c r="BO1321" s="59"/>
      <c r="BP1321" s="59"/>
      <c r="BQ1321" s="59"/>
      <c r="BR1321" s="59"/>
      <c r="BS1321" s="59"/>
      <c r="BT1321" s="59"/>
      <c r="BU1321" s="59"/>
      <c r="BV1321" s="59"/>
      <c r="BW1321" s="59"/>
      <c r="BX1321" s="59"/>
      <c r="BY1321" s="59"/>
      <c r="BZ1321" s="59"/>
      <c r="CA1321" s="59"/>
      <c r="CB1321" s="59"/>
      <c r="CC1321" s="59"/>
      <c r="CD1321" s="59"/>
      <c r="CE1321" s="59"/>
      <c r="CF1321" s="59"/>
      <c r="CG1321" s="59"/>
      <c r="CH1321" s="59"/>
      <c r="CI1321" s="59"/>
      <c r="CJ1321" s="59"/>
      <c r="CK1321" s="59"/>
      <c r="CL1321" s="59"/>
      <c r="CM1321" s="59"/>
      <c r="CN1321" s="59"/>
      <c r="CO1321" s="59"/>
      <c r="CP1321" s="59"/>
      <c r="CQ1321" s="59"/>
      <c r="CR1321" s="59"/>
      <c r="CS1321" s="59"/>
      <c r="CT1321" s="59"/>
      <c r="CU1321" s="59"/>
      <c r="CV1321" s="59"/>
      <c r="CW1321" s="59"/>
      <c r="CX1321" s="59"/>
      <c r="CY1321" s="59"/>
      <c r="CZ1321" s="59"/>
      <c r="DA1321" s="59"/>
      <c r="DB1321" s="59"/>
      <c r="DC1321" s="59"/>
      <c r="DD1321" s="59"/>
      <c r="DE1321" s="59"/>
      <c r="DF1321" s="59"/>
      <c r="DG1321" s="59"/>
      <c r="DH1321" s="59"/>
      <c r="DI1321" s="59"/>
      <c r="DJ1321" s="59"/>
      <c r="DK1321" s="59"/>
      <c r="DL1321" s="59"/>
      <c r="DM1321" s="59"/>
      <c r="DN1321" s="59"/>
      <c r="DO1321" s="59"/>
      <c r="DP1321" s="59"/>
      <c r="DQ1321" s="59"/>
      <c r="DR1321" s="59"/>
      <c r="DS1321" s="59"/>
      <c r="DT1321" s="59"/>
      <c r="DU1321" s="59"/>
      <c r="DV1321" s="59"/>
    </row>
    <row r="1322" spans="1:126" x14ac:dyDescent="0.3">
      <c r="A1322" s="5"/>
      <c r="B1322" s="5" t="s">
        <v>308</v>
      </c>
      <c r="C1322" s="5"/>
      <c r="D1322" s="5" t="s">
        <v>10</v>
      </c>
      <c r="E1322" s="15">
        <f>14.4</f>
        <v>14.4</v>
      </c>
      <c r="F1322" s="15"/>
      <c r="G1322" s="15"/>
    </row>
    <row r="1323" spans="1:126" x14ac:dyDescent="0.3">
      <c r="A1323" s="5"/>
      <c r="B1323" s="5" t="s">
        <v>213</v>
      </c>
      <c r="C1323" s="5"/>
      <c r="D1323" s="5" t="s">
        <v>10</v>
      </c>
      <c r="E1323" s="15">
        <f>457.7</f>
        <v>457.7</v>
      </c>
      <c r="F1323" s="15"/>
      <c r="G1323" s="15"/>
    </row>
    <row r="1324" spans="1:126" x14ac:dyDescent="0.3">
      <c r="A1324" s="5"/>
      <c r="B1324" s="5" t="s">
        <v>129</v>
      </c>
      <c r="C1324" s="5"/>
      <c r="D1324" s="5" t="s">
        <v>8</v>
      </c>
      <c r="E1324" s="15">
        <f>36.1</f>
        <v>36.1</v>
      </c>
      <c r="F1324" s="15"/>
      <c r="G1324" s="15"/>
    </row>
    <row r="1325" spans="1:126" x14ac:dyDescent="0.3">
      <c r="A1325" s="5"/>
      <c r="B1325" s="5" t="s">
        <v>131</v>
      </c>
      <c r="C1325" s="5"/>
      <c r="D1325" s="5" t="s">
        <v>8</v>
      </c>
      <c r="E1325" s="15">
        <f>14.7</f>
        <v>14.7</v>
      </c>
      <c r="F1325" s="15"/>
      <c r="G1325" s="15"/>
    </row>
    <row r="1326" spans="1:126" x14ac:dyDescent="0.3">
      <c r="A1326" s="5"/>
      <c r="B1326" s="5" t="s">
        <v>124</v>
      </c>
      <c r="C1326" s="5"/>
      <c r="D1326" s="5" t="s">
        <v>8</v>
      </c>
      <c r="E1326" s="15">
        <f>10.2</f>
        <v>10.199999999999999</v>
      </c>
      <c r="F1326" s="15"/>
      <c r="G1326" s="15"/>
    </row>
    <row r="1327" spans="1:126" x14ac:dyDescent="0.3">
      <c r="A1327" s="5"/>
      <c r="B1327" s="5" t="s">
        <v>205</v>
      </c>
      <c r="C1327" s="5"/>
      <c r="D1327" s="5" t="s">
        <v>8</v>
      </c>
      <c r="E1327" s="15">
        <f>1</f>
        <v>1</v>
      </c>
      <c r="F1327" s="15"/>
      <c r="G1327" s="15"/>
    </row>
    <row r="1328" spans="1:126" x14ac:dyDescent="0.3">
      <c r="A1328" s="5"/>
      <c r="B1328" s="5" t="s">
        <v>211</v>
      </c>
      <c r="C1328" s="5"/>
      <c r="D1328" s="5" t="s">
        <v>8</v>
      </c>
      <c r="E1328" s="15">
        <f>0.4</f>
        <v>0.4</v>
      </c>
      <c r="F1328" s="15"/>
      <c r="G1328" s="15"/>
    </row>
    <row r="1329" spans="1:7" x14ac:dyDescent="0.3">
      <c r="A1329" s="21"/>
      <c r="B1329" s="21" t="s">
        <v>134</v>
      </c>
      <c r="C1329" s="21"/>
      <c r="D1329" s="21" t="s">
        <v>14</v>
      </c>
      <c r="E1329" s="22">
        <f>66</f>
        <v>66</v>
      </c>
      <c r="F1329" s="22"/>
      <c r="G1329" s="22"/>
    </row>
    <row r="1330" spans="1:7" x14ac:dyDescent="0.3">
      <c r="A1330" s="5"/>
      <c r="B1330" s="5" t="s">
        <v>135</v>
      </c>
      <c r="C1330" s="5"/>
      <c r="D1330" s="5" t="s">
        <v>10</v>
      </c>
      <c r="E1330" s="15">
        <f>70</f>
        <v>70</v>
      </c>
      <c r="F1330" s="15"/>
      <c r="G1330" s="15"/>
    </row>
    <row r="1331" spans="1:7" x14ac:dyDescent="0.3">
      <c r="A1331" s="5"/>
      <c r="B1331" s="5" t="s">
        <v>136</v>
      </c>
      <c r="C1331" s="5"/>
      <c r="D1331" s="5" t="s">
        <v>8</v>
      </c>
      <c r="E1331" s="15">
        <f>1.9</f>
        <v>1.9</v>
      </c>
      <c r="F1331" s="15"/>
      <c r="G1331" s="15"/>
    </row>
    <row r="1332" spans="1:7" x14ac:dyDescent="0.3">
      <c r="A1332" s="5"/>
      <c r="B1332" s="5" t="s">
        <v>137</v>
      </c>
      <c r="C1332" s="5"/>
      <c r="D1332" s="5" t="s">
        <v>8</v>
      </c>
      <c r="E1332" s="15">
        <f>1.4</f>
        <v>1.4</v>
      </c>
      <c r="F1332" s="15"/>
      <c r="G1332" s="15"/>
    </row>
    <row r="1333" spans="1:7" x14ac:dyDescent="0.3">
      <c r="A1333" s="5"/>
      <c r="B1333" s="5" t="s">
        <v>138</v>
      </c>
      <c r="C1333" s="5"/>
      <c r="D1333" s="5" t="s">
        <v>8</v>
      </c>
      <c r="E1333" s="15">
        <f>0.8</f>
        <v>0.8</v>
      </c>
      <c r="F1333" s="15"/>
      <c r="G1333" s="15"/>
    </row>
    <row r="1334" spans="1:7" x14ac:dyDescent="0.3">
      <c r="A1334" s="5"/>
      <c r="B1334" s="5" t="s">
        <v>139</v>
      </c>
      <c r="C1334" s="5"/>
      <c r="D1334" s="5" t="s">
        <v>8</v>
      </c>
      <c r="E1334" s="15">
        <f>1.4</f>
        <v>1.4</v>
      </c>
      <c r="F1334" s="15"/>
      <c r="G1334" s="15"/>
    </row>
    <row r="1335" spans="1:7" x14ac:dyDescent="0.3">
      <c r="A1335" s="21"/>
      <c r="B1335" s="21" t="s">
        <v>140</v>
      </c>
      <c r="C1335" s="21"/>
      <c r="D1335" s="21" t="s">
        <v>10</v>
      </c>
      <c r="E1335" s="22">
        <f>137.3</f>
        <v>137.30000000000001</v>
      </c>
      <c r="F1335" s="22"/>
      <c r="G1335" s="22"/>
    </row>
    <row r="1336" spans="1:7" x14ac:dyDescent="0.3">
      <c r="A1336" s="5"/>
      <c r="B1336" s="5" t="s">
        <v>141</v>
      </c>
      <c r="C1336" s="5"/>
      <c r="D1336" s="5" t="s">
        <v>10</v>
      </c>
      <c r="E1336" s="15">
        <f>137.3</f>
        <v>137.30000000000001</v>
      </c>
      <c r="F1336" s="15"/>
      <c r="G1336" s="15"/>
    </row>
    <row r="1337" spans="1:7" x14ac:dyDescent="0.3">
      <c r="A1337" s="5"/>
      <c r="B1337" s="5" t="s">
        <v>123</v>
      </c>
      <c r="C1337" s="5"/>
      <c r="D1337" s="5" t="s">
        <v>8</v>
      </c>
      <c r="E1337" s="15">
        <f>50.2</f>
        <v>50.2</v>
      </c>
      <c r="F1337" s="15"/>
      <c r="G1337" s="15"/>
    </row>
    <row r="1338" spans="1:7" x14ac:dyDescent="0.3">
      <c r="A1338" s="5"/>
      <c r="B1338" s="5" t="s">
        <v>131</v>
      </c>
      <c r="C1338" s="5"/>
      <c r="D1338" s="5" t="s">
        <v>8</v>
      </c>
      <c r="E1338" s="15">
        <f>3.3</f>
        <v>3.3</v>
      </c>
      <c r="F1338" s="15"/>
      <c r="G1338" s="15"/>
    </row>
    <row r="1339" spans="1:7" x14ac:dyDescent="0.3">
      <c r="A1339" s="5"/>
      <c r="B1339" s="5" t="s">
        <v>124</v>
      </c>
      <c r="C1339" s="5"/>
      <c r="D1339" s="5" t="s">
        <v>8</v>
      </c>
      <c r="E1339" s="15">
        <f>0.8</f>
        <v>0.8</v>
      </c>
      <c r="F1339" s="15"/>
      <c r="G1339" s="15"/>
    </row>
    <row r="1340" spans="1:7" x14ac:dyDescent="0.3">
      <c r="A1340" s="5"/>
      <c r="B1340" s="5" t="s">
        <v>205</v>
      </c>
      <c r="C1340" s="5"/>
      <c r="D1340" s="5" t="s">
        <v>8</v>
      </c>
      <c r="E1340" s="15">
        <f>1.9</f>
        <v>1.9</v>
      </c>
      <c r="F1340" s="15"/>
      <c r="G1340" s="15"/>
    </row>
    <row r="1341" spans="1:7" ht="31.2" x14ac:dyDescent="0.3">
      <c r="A1341" s="5"/>
      <c r="B1341" s="11" t="s">
        <v>143</v>
      </c>
      <c r="C1341" s="5"/>
      <c r="D1341" s="5" t="s">
        <v>14</v>
      </c>
      <c r="E1341" s="15">
        <f>240</f>
        <v>240</v>
      </c>
      <c r="F1341" s="15"/>
      <c r="G1341" s="15"/>
    </row>
    <row r="1342" spans="1:7" x14ac:dyDescent="0.3">
      <c r="A1342" s="21"/>
      <c r="B1342" s="21" t="s">
        <v>144</v>
      </c>
      <c r="C1342" s="21"/>
      <c r="D1342" s="21" t="s">
        <v>14</v>
      </c>
      <c r="E1342" s="22">
        <f>1</f>
        <v>1</v>
      </c>
      <c r="F1342" s="22"/>
      <c r="G1342" s="22"/>
    </row>
    <row r="1343" spans="1:7" x14ac:dyDescent="0.3">
      <c r="A1343" s="5"/>
      <c r="B1343" s="5" t="s">
        <v>145</v>
      </c>
      <c r="C1343" s="5"/>
      <c r="D1343" s="5" t="s">
        <v>10</v>
      </c>
      <c r="E1343" s="15">
        <f>90.2</f>
        <v>90.2</v>
      </c>
      <c r="F1343" s="15"/>
      <c r="G1343" s="15"/>
    </row>
    <row r="1344" spans="1:7" x14ac:dyDescent="0.3">
      <c r="A1344" s="5"/>
      <c r="B1344" s="5" t="s">
        <v>129</v>
      </c>
      <c r="C1344" s="5"/>
      <c r="D1344" s="5" t="s">
        <v>8</v>
      </c>
      <c r="E1344" s="15">
        <f>2.9</f>
        <v>2.9</v>
      </c>
      <c r="F1344" s="15"/>
      <c r="G1344" s="15"/>
    </row>
    <row r="1345" spans="1:7" x14ac:dyDescent="0.3">
      <c r="A1345" s="5"/>
      <c r="B1345" s="5" t="s">
        <v>131</v>
      </c>
      <c r="C1345" s="5"/>
      <c r="D1345" s="5" t="s">
        <v>8</v>
      </c>
      <c r="E1345" s="15">
        <f>2</f>
        <v>2</v>
      </c>
      <c r="F1345" s="15"/>
      <c r="G1345" s="15"/>
    </row>
    <row r="1346" spans="1:7" x14ac:dyDescent="0.3">
      <c r="A1346" s="5"/>
      <c r="B1346" s="5" t="s">
        <v>142</v>
      </c>
      <c r="C1346" s="5"/>
      <c r="D1346" s="5" t="s">
        <v>8</v>
      </c>
      <c r="E1346" s="15">
        <f>2.7</f>
        <v>2.7</v>
      </c>
      <c r="F1346" s="15"/>
      <c r="G1346" s="15"/>
    </row>
    <row r="1347" spans="1:7" x14ac:dyDescent="0.3">
      <c r="A1347" s="21"/>
      <c r="B1347" s="21" t="s">
        <v>171</v>
      </c>
      <c r="C1347" s="21"/>
      <c r="D1347" s="21" t="s">
        <v>14</v>
      </c>
      <c r="E1347" s="22">
        <f>2</f>
        <v>2</v>
      </c>
      <c r="F1347" s="22"/>
      <c r="G1347" s="22"/>
    </row>
    <row r="1348" spans="1:7" x14ac:dyDescent="0.3">
      <c r="A1348" s="5"/>
      <c r="B1348" s="5" t="s">
        <v>145</v>
      </c>
      <c r="C1348" s="5"/>
      <c r="D1348" s="5" t="s">
        <v>10</v>
      </c>
      <c r="E1348" s="15">
        <f>1</f>
        <v>1</v>
      </c>
      <c r="F1348" s="15"/>
      <c r="G1348" s="15"/>
    </row>
    <row r="1349" spans="1:7" x14ac:dyDescent="0.3">
      <c r="A1349" s="5"/>
      <c r="B1349" s="5" t="s">
        <v>142</v>
      </c>
      <c r="C1349" s="5"/>
      <c r="D1349" s="5" t="s">
        <v>8</v>
      </c>
      <c r="E1349" s="15">
        <f>0.2</f>
        <v>0.2</v>
      </c>
      <c r="F1349" s="15"/>
      <c r="G1349" s="15"/>
    </row>
    <row r="1350" spans="1:7" x14ac:dyDescent="0.3">
      <c r="A1350" s="21"/>
      <c r="B1350" s="21" t="s">
        <v>219</v>
      </c>
      <c r="C1350" s="21"/>
      <c r="D1350" s="21" t="s">
        <v>69</v>
      </c>
      <c r="E1350" s="22">
        <f>299.8</f>
        <v>299.8</v>
      </c>
      <c r="F1350" s="22"/>
      <c r="G1350" s="22"/>
    </row>
    <row r="1351" spans="1:7" x14ac:dyDescent="0.3">
      <c r="A1351" s="5"/>
      <c r="B1351" s="5" t="s">
        <v>220</v>
      </c>
      <c r="C1351" s="5"/>
      <c r="D1351" s="5" t="s">
        <v>72</v>
      </c>
      <c r="E1351" s="15">
        <v>1349.1000000000001</v>
      </c>
      <c r="F1351" s="15"/>
      <c r="G1351" s="15"/>
    </row>
    <row r="1352" spans="1:7" x14ac:dyDescent="0.3">
      <c r="A1352" s="23"/>
      <c r="B1352" s="23" t="s">
        <v>327</v>
      </c>
      <c r="C1352" s="23"/>
      <c r="D1352" s="23"/>
      <c r="E1352" s="24"/>
      <c r="F1352" s="24"/>
      <c r="G1352" s="24"/>
    </row>
    <row r="1353" spans="1:7" x14ac:dyDescent="0.3">
      <c r="A1353" s="21"/>
      <c r="B1353" s="21" t="s">
        <v>328</v>
      </c>
      <c r="C1353" s="21"/>
      <c r="D1353" s="21" t="s">
        <v>14</v>
      </c>
      <c r="E1353" s="22">
        <v>20</v>
      </c>
      <c r="F1353" s="22"/>
      <c r="G1353" s="22"/>
    </row>
    <row r="1354" spans="1:7" x14ac:dyDescent="0.3">
      <c r="A1354" s="5"/>
      <c r="B1354" s="5" t="s">
        <v>122</v>
      </c>
      <c r="C1354" s="5"/>
      <c r="D1354" s="5" t="s">
        <v>10</v>
      </c>
      <c r="E1354" s="15">
        <f>1028.5</f>
        <v>1028.5</v>
      </c>
      <c r="F1354" s="15"/>
      <c r="G1354" s="15"/>
    </row>
    <row r="1355" spans="1:7" x14ac:dyDescent="0.3">
      <c r="A1355" s="5"/>
      <c r="B1355" s="5" t="s">
        <v>123</v>
      </c>
      <c r="C1355" s="5"/>
      <c r="D1355" s="5" t="s">
        <v>8</v>
      </c>
      <c r="E1355" s="15">
        <f>221.7</f>
        <v>221.7</v>
      </c>
      <c r="F1355" s="15"/>
      <c r="G1355" s="15"/>
    </row>
    <row r="1356" spans="1:7" x14ac:dyDescent="0.3">
      <c r="A1356" s="5"/>
      <c r="B1356" s="5" t="s">
        <v>124</v>
      </c>
      <c r="C1356" s="5"/>
      <c r="D1356" s="5" t="s">
        <v>8</v>
      </c>
      <c r="E1356" s="15">
        <f>1.8</f>
        <v>1.8</v>
      </c>
      <c r="F1356" s="15"/>
      <c r="G1356" s="15"/>
    </row>
    <row r="1357" spans="1:7" x14ac:dyDescent="0.3">
      <c r="A1357" s="5"/>
      <c r="B1357" s="5" t="s">
        <v>205</v>
      </c>
      <c r="C1357" s="5"/>
      <c r="D1357" s="5" t="s">
        <v>8</v>
      </c>
      <c r="E1357" s="15">
        <f>15</f>
        <v>15</v>
      </c>
      <c r="F1357" s="15"/>
      <c r="G1357" s="15"/>
    </row>
    <row r="1358" spans="1:7" x14ac:dyDescent="0.3">
      <c r="A1358" s="5"/>
      <c r="B1358" s="5" t="s">
        <v>206</v>
      </c>
      <c r="C1358" s="5"/>
      <c r="D1358" s="5" t="s">
        <v>8</v>
      </c>
      <c r="E1358" s="15">
        <f>12.4</f>
        <v>12.4</v>
      </c>
      <c r="F1358" s="15"/>
      <c r="G1358" s="15"/>
    </row>
    <row r="1359" spans="1:7" x14ac:dyDescent="0.3">
      <c r="A1359" s="5"/>
      <c r="B1359" s="5" t="s">
        <v>223</v>
      </c>
      <c r="C1359" s="5"/>
      <c r="D1359" s="5" t="s">
        <v>8</v>
      </c>
      <c r="E1359" s="15">
        <f>3.3</f>
        <v>3.3</v>
      </c>
      <c r="F1359" s="15"/>
      <c r="G1359" s="15"/>
    </row>
    <row r="1360" spans="1:7" x14ac:dyDescent="0.3">
      <c r="A1360" s="5"/>
      <c r="B1360" s="5" t="s">
        <v>209</v>
      </c>
      <c r="C1360" s="5"/>
      <c r="D1360" s="5" t="s">
        <v>8</v>
      </c>
      <c r="E1360" s="15">
        <f>1.3*0.4</f>
        <v>0.52</v>
      </c>
      <c r="F1360" s="15"/>
      <c r="G1360" s="15"/>
    </row>
    <row r="1361" spans="1:7" x14ac:dyDescent="0.3">
      <c r="A1361" s="21"/>
      <c r="B1361" s="21" t="s">
        <v>127</v>
      </c>
      <c r="C1361" s="21"/>
      <c r="D1361" s="21" t="s">
        <v>14</v>
      </c>
      <c r="E1361" s="22">
        <f>1</f>
        <v>1</v>
      </c>
      <c r="F1361" s="22"/>
      <c r="G1361" s="22"/>
    </row>
    <row r="1362" spans="1:7" x14ac:dyDescent="0.3">
      <c r="A1362" s="5"/>
      <c r="B1362" s="5" t="s">
        <v>308</v>
      </c>
      <c r="C1362" s="5"/>
      <c r="D1362" s="5" t="s">
        <v>10</v>
      </c>
      <c r="E1362" s="15">
        <f>14.4</f>
        <v>14.4</v>
      </c>
      <c r="F1362" s="15"/>
      <c r="G1362" s="15"/>
    </row>
    <row r="1363" spans="1:7" x14ac:dyDescent="0.3">
      <c r="A1363" s="5"/>
      <c r="B1363" s="5" t="s">
        <v>213</v>
      </c>
      <c r="C1363" s="5"/>
      <c r="D1363" s="5" t="s">
        <v>10</v>
      </c>
      <c r="E1363" s="15">
        <f>457.7</f>
        <v>457.7</v>
      </c>
      <c r="F1363" s="15"/>
      <c r="G1363" s="15"/>
    </row>
    <row r="1364" spans="1:7" x14ac:dyDescent="0.3">
      <c r="A1364" s="5"/>
      <c r="B1364" s="5" t="s">
        <v>129</v>
      </c>
      <c r="C1364" s="5"/>
      <c r="D1364" s="5" t="s">
        <v>8</v>
      </c>
      <c r="E1364" s="15">
        <f>36.1</f>
        <v>36.1</v>
      </c>
      <c r="F1364" s="15"/>
      <c r="G1364" s="15"/>
    </row>
    <row r="1365" spans="1:7" x14ac:dyDescent="0.3">
      <c r="A1365" s="5"/>
      <c r="B1365" s="5" t="s">
        <v>131</v>
      </c>
      <c r="C1365" s="5"/>
      <c r="D1365" s="5" t="s">
        <v>8</v>
      </c>
      <c r="E1365" s="15">
        <f>14.7</f>
        <v>14.7</v>
      </c>
      <c r="F1365" s="15"/>
      <c r="G1365" s="15"/>
    </row>
    <row r="1366" spans="1:7" x14ac:dyDescent="0.3">
      <c r="A1366" s="5"/>
      <c r="B1366" s="5" t="s">
        <v>124</v>
      </c>
      <c r="C1366" s="5"/>
      <c r="D1366" s="5" t="s">
        <v>8</v>
      </c>
      <c r="E1366" s="15">
        <f>10.2</f>
        <v>10.199999999999999</v>
      </c>
      <c r="F1366" s="15"/>
      <c r="G1366" s="15"/>
    </row>
    <row r="1367" spans="1:7" x14ac:dyDescent="0.3">
      <c r="A1367" s="5"/>
      <c r="B1367" s="5" t="s">
        <v>205</v>
      </c>
      <c r="C1367" s="5"/>
      <c r="D1367" s="5" t="s">
        <v>8</v>
      </c>
      <c r="E1367" s="15">
        <f>1</f>
        <v>1</v>
      </c>
      <c r="F1367" s="15"/>
      <c r="G1367" s="15"/>
    </row>
    <row r="1368" spans="1:7" x14ac:dyDescent="0.3">
      <c r="A1368" s="5"/>
      <c r="B1368" s="5" t="s">
        <v>211</v>
      </c>
      <c r="C1368" s="5"/>
      <c r="D1368" s="5" t="s">
        <v>8</v>
      </c>
      <c r="E1368" s="15">
        <f>0.4</f>
        <v>0.4</v>
      </c>
      <c r="F1368" s="15"/>
      <c r="G1368" s="15"/>
    </row>
    <row r="1369" spans="1:7" x14ac:dyDescent="0.3">
      <c r="A1369" s="21"/>
      <c r="B1369" s="21" t="s">
        <v>134</v>
      </c>
      <c r="C1369" s="21"/>
      <c r="D1369" s="21" t="s">
        <v>14</v>
      </c>
      <c r="E1369" s="22">
        <f>60</f>
        <v>60</v>
      </c>
      <c r="F1369" s="22"/>
      <c r="G1369" s="22"/>
    </row>
    <row r="1370" spans="1:7" x14ac:dyDescent="0.3">
      <c r="A1370" s="5"/>
      <c r="B1370" s="5" t="s">
        <v>135</v>
      </c>
      <c r="C1370" s="5"/>
      <c r="D1370" s="5" t="s">
        <v>10</v>
      </c>
      <c r="E1370" s="15">
        <f>63.6</f>
        <v>63.6</v>
      </c>
      <c r="F1370" s="15"/>
      <c r="G1370" s="15"/>
    </row>
    <row r="1371" spans="1:7" x14ac:dyDescent="0.3">
      <c r="A1371" s="5"/>
      <c r="B1371" s="5" t="s">
        <v>136</v>
      </c>
      <c r="C1371" s="5"/>
      <c r="D1371" s="5" t="s">
        <v>8</v>
      </c>
      <c r="E1371" s="15">
        <f>1.9/66*60</f>
        <v>1.7272727272727271</v>
      </c>
      <c r="F1371" s="15"/>
      <c r="G1371" s="15"/>
    </row>
    <row r="1372" spans="1:7" x14ac:dyDescent="0.3">
      <c r="A1372" s="5"/>
      <c r="B1372" s="5" t="s">
        <v>137</v>
      </c>
      <c r="C1372" s="5"/>
      <c r="D1372" s="5" t="s">
        <v>8</v>
      </c>
      <c r="E1372" s="15">
        <f>1.4/66*60</f>
        <v>1.2727272727272725</v>
      </c>
      <c r="F1372" s="15"/>
      <c r="G1372" s="15"/>
    </row>
    <row r="1373" spans="1:7" x14ac:dyDescent="0.3">
      <c r="A1373" s="5"/>
      <c r="B1373" s="5" t="s">
        <v>138</v>
      </c>
      <c r="C1373" s="5"/>
      <c r="D1373" s="5" t="s">
        <v>8</v>
      </c>
      <c r="E1373" s="15">
        <f>0.8/66*60</f>
        <v>0.72727272727272729</v>
      </c>
      <c r="F1373" s="15"/>
      <c r="G1373" s="15"/>
    </row>
    <row r="1374" spans="1:7" x14ac:dyDescent="0.3">
      <c r="A1374" s="5"/>
      <c r="B1374" s="5" t="s">
        <v>139</v>
      </c>
      <c r="C1374" s="5"/>
      <c r="D1374" s="5" t="s">
        <v>8</v>
      </c>
      <c r="E1374" s="15">
        <f>1.3</f>
        <v>1.3</v>
      </c>
      <c r="F1374" s="15"/>
      <c r="G1374" s="15"/>
    </row>
    <row r="1375" spans="1:7" x14ac:dyDescent="0.3">
      <c r="A1375" s="21"/>
      <c r="B1375" s="21" t="s">
        <v>140</v>
      </c>
      <c r="C1375" s="21"/>
      <c r="D1375" s="21" t="s">
        <v>10</v>
      </c>
      <c r="E1375" s="22">
        <f>124.9</f>
        <v>124.9</v>
      </c>
      <c r="F1375" s="22"/>
      <c r="G1375" s="22"/>
    </row>
    <row r="1376" spans="1:7" x14ac:dyDescent="0.3">
      <c r="A1376" s="5"/>
      <c r="B1376" s="5" t="s">
        <v>141</v>
      </c>
      <c r="C1376" s="5"/>
      <c r="D1376" s="5" t="s">
        <v>10</v>
      </c>
      <c r="E1376" s="15">
        <f>124.9</f>
        <v>124.9</v>
      </c>
      <c r="F1376" s="15"/>
      <c r="G1376" s="15"/>
    </row>
    <row r="1377" spans="1:7" x14ac:dyDescent="0.3">
      <c r="A1377" s="5"/>
      <c r="B1377" s="5" t="s">
        <v>123</v>
      </c>
      <c r="C1377" s="5"/>
      <c r="D1377" s="5" t="s">
        <v>8</v>
      </c>
      <c r="E1377" s="15">
        <f>46.7</f>
        <v>46.7</v>
      </c>
      <c r="F1377" s="15"/>
      <c r="G1377" s="15"/>
    </row>
    <row r="1378" spans="1:7" x14ac:dyDescent="0.3">
      <c r="A1378" s="5"/>
      <c r="B1378" s="5" t="s">
        <v>131</v>
      </c>
      <c r="C1378" s="5"/>
      <c r="D1378" s="5" t="s">
        <v>8</v>
      </c>
      <c r="E1378" s="15">
        <f>2.9</f>
        <v>2.9</v>
      </c>
      <c r="F1378" s="15"/>
      <c r="G1378" s="15"/>
    </row>
    <row r="1379" spans="1:7" x14ac:dyDescent="0.3">
      <c r="A1379" s="5"/>
      <c r="B1379" s="5" t="s">
        <v>124</v>
      </c>
      <c r="C1379" s="5"/>
      <c r="D1379" s="5" t="s">
        <v>8</v>
      </c>
      <c r="E1379" s="15">
        <f>0.7</f>
        <v>0.7</v>
      </c>
      <c r="F1379" s="15"/>
      <c r="G1379" s="15"/>
    </row>
    <row r="1380" spans="1:7" x14ac:dyDescent="0.3">
      <c r="A1380" s="5"/>
      <c r="B1380" s="5" t="s">
        <v>205</v>
      </c>
      <c r="C1380" s="5"/>
      <c r="D1380" s="5" t="s">
        <v>8</v>
      </c>
      <c r="E1380" s="15">
        <f>1.7</f>
        <v>1.7</v>
      </c>
      <c r="F1380" s="15"/>
      <c r="G1380" s="15"/>
    </row>
    <row r="1381" spans="1:7" ht="31.2" x14ac:dyDescent="0.3">
      <c r="A1381" s="5"/>
      <c r="B1381" s="11" t="s">
        <v>143</v>
      </c>
      <c r="C1381" s="5"/>
      <c r="D1381" s="5" t="s">
        <v>14</v>
      </c>
      <c r="E1381" s="15">
        <f>240</f>
        <v>240</v>
      </c>
      <c r="F1381" s="15"/>
      <c r="G1381" s="15"/>
    </row>
    <row r="1382" spans="1:7" x14ac:dyDescent="0.3">
      <c r="A1382" s="21"/>
      <c r="B1382" s="21" t="s">
        <v>144</v>
      </c>
      <c r="C1382" s="21"/>
      <c r="D1382" s="21" t="s">
        <v>14</v>
      </c>
      <c r="E1382" s="22">
        <f>1</f>
        <v>1</v>
      </c>
      <c r="F1382" s="22"/>
      <c r="G1382" s="22"/>
    </row>
    <row r="1383" spans="1:7" x14ac:dyDescent="0.3">
      <c r="A1383" s="5"/>
      <c r="B1383" s="5" t="s">
        <v>145</v>
      </c>
      <c r="C1383" s="5"/>
      <c r="D1383" s="5" t="s">
        <v>10</v>
      </c>
      <c r="E1383" s="15">
        <f>90.2</f>
        <v>90.2</v>
      </c>
      <c r="F1383" s="15"/>
      <c r="G1383" s="15"/>
    </row>
    <row r="1384" spans="1:7" x14ac:dyDescent="0.3">
      <c r="A1384" s="5"/>
      <c r="B1384" s="5" t="s">
        <v>129</v>
      </c>
      <c r="C1384" s="5"/>
      <c r="D1384" s="5" t="s">
        <v>8</v>
      </c>
      <c r="E1384" s="15">
        <f>2.9</f>
        <v>2.9</v>
      </c>
      <c r="F1384" s="15"/>
      <c r="G1384" s="15"/>
    </row>
    <row r="1385" spans="1:7" x14ac:dyDescent="0.3">
      <c r="A1385" s="5"/>
      <c r="B1385" s="5" t="s">
        <v>131</v>
      </c>
      <c r="C1385" s="5"/>
      <c r="D1385" s="5" t="s">
        <v>8</v>
      </c>
      <c r="E1385" s="15">
        <f>2</f>
        <v>2</v>
      </c>
      <c r="F1385" s="15"/>
      <c r="G1385" s="15"/>
    </row>
    <row r="1386" spans="1:7" x14ac:dyDescent="0.3">
      <c r="A1386" s="5"/>
      <c r="B1386" s="5" t="s">
        <v>142</v>
      </c>
      <c r="C1386" s="5"/>
      <c r="D1386" s="5" t="s">
        <v>8</v>
      </c>
      <c r="E1386" s="15">
        <f>2.7</f>
        <v>2.7</v>
      </c>
      <c r="F1386" s="15"/>
      <c r="G1386" s="15"/>
    </row>
    <row r="1387" spans="1:7" x14ac:dyDescent="0.3">
      <c r="A1387" s="21"/>
      <c r="B1387" s="21" t="s">
        <v>171</v>
      </c>
      <c r="C1387" s="21"/>
      <c r="D1387" s="21" t="s">
        <v>14</v>
      </c>
      <c r="E1387" s="22">
        <f>2</f>
        <v>2</v>
      </c>
      <c r="F1387" s="22"/>
      <c r="G1387" s="22"/>
    </row>
    <row r="1388" spans="1:7" x14ac:dyDescent="0.3">
      <c r="A1388" s="5"/>
      <c r="B1388" s="5" t="s">
        <v>145</v>
      </c>
      <c r="C1388" s="5"/>
      <c r="D1388" s="5" t="s">
        <v>10</v>
      </c>
      <c r="E1388" s="15">
        <f>2.4</f>
        <v>2.4</v>
      </c>
      <c r="F1388" s="15"/>
      <c r="G1388" s="15"/>
    </row>
    <row r="1389" spans="1:7" x14ac:dyDescent="0.3">
      <c r="A1389" s="5"/>
      <c r="B1389" s="5" t="s">
        <v>142</v>
      </c>
      <c r="C1389" s="5"/>
      <c r="D1389" s="5" t="s">
        <v>8</v>
      </c>
      <c r="E1389" s="15">
        <f>0.4</f>
        <v>0.4</v>
      </c>
      <c r="F1389" s="15"/>
      <c r="G1389" s="15"/>
    </row>
    <row r="1390" spans="1:7" x14ac:dyDescent="0.3">
      <c r="A1390" s="21"/>
      <c r="B1390" s="21" t="s">
        <v>219</v>
      </c>
      <c r="C1390" s="21"/>
      <c r="D1390" s="21" t="s">
        <v>69</v>
      </c>
      <c r="E1390" s="22">
        <f>278.2</f>
        <v>278.2</v>
      </c>
      <c r="F1390" s="22"/>
      <c r="G1390" s="22"/>
    </row>
    <row r="1391" spans="1:7" x14ac:dyDescent="0.3">
      <c r="A1391" s="5"/>
      <c r="B1391" s="5" t="s">
        <v>220</v>
      </c>
      <c r="C1391" s="5"/>
      <c r="D1391" s="5" t="s">
        <v>72</v>
      </c>
      <c r="E1391" s="15">
        <v>1251.8999999999999</v>
      </c>
      <c r="F1391" s="15"/>
      <c r="G1391" s="15"/>
    </row>
    <row r="1392" spans="1:7" x14ac:dyDescent="0.3">
      <c r="A1392" s="23"/>
      <c r="B1392" s="23" t="s">
        <v>329</v>
      </c>
      <c r="C1392" s="23"/>
      <c r="D1392" s="23"/>
      <c r="E1392" s="24"/>
      <c r="F1392" s="24"/>
      <c r="G1392" s="24"/>
    </row>
    <row r="1393" spans="1:7" x14ac:dyDescent="0.3">
      <c r="A1393" s="21"/>
      <c r="B1393" s="21" t="s">
        <v>330</v>
      </c>
      <c r="C1393" s="21"/>
      <c r="D1393" s="21" t="s">
        <v>14</v>
      </c>
      <c r="E1393" s="22">
        <v>20</v>
      </c>
      <c r="F1393" s="22"/>
      <c r="G1393" s="22"/>
    </row>
    <row r="1394" spans="1:7" x14ac:dyDescent="0.3">
      <c r="A1394" s="5"/>
      <c r="B1394" s="5" t="s">
        <v>122</v>
      </c>
      <c r="C1394" s="5"/>
      <c r="D1394" s="5" t="s">
        <v>10</v>
      </c>
      <c r="E1394" s="15">
        <f>1099.1</f>
        <v>1099.0999999999999</v>
      </c>
      <c r="F1394" s="15"/>
      <c r="G1394" s="15"/>
    </row>
    <row r="1395" spans="1:7" x14ac:dyDescent="0.3">
      <c r="A1395" s="5"/>
      <c r="B1395" s="5" t="s">
        <v>123</v>
      </c>
      <c r="C1395" s="5"/>
      <c r="D1395" s="5" t="s">
        <v>8</v>
      </c>
      <c r="E1395" s="15">
        <f>236.9</f>
        <v>236.9</v>
      </c>
      <c r="F1395" s="15"/>
      <c r="G1395" s="15"/>
    </row>
    <row r="1396" spans="1:7" x14ac:dyDescent="0.3">
      <c r="A1396" s="5"/>
      <c r="B1396" s="5" t="s">
        <v>124</v>
      </c>
      <c r="C1396" s="5"/>
      <c r="D1396" s="5" t="s">
        <v>8</v>
      </c>
      <c r="E1396" s="15">
        <f>1.9</f>
        <v>1.9</v>
      </c>
      <c r="F1396" s="15"/>
      <c r="G1396" s="15"/>
    </row>
    <row r="1397" spans="1:7" x14ac:dyDescent="0.3">
      <c r="A1397" s="5"/>
      <c r="B1397" s="5" t="s">
        <v>205</v>
      </c>
      <c r="C1397" s="5"/>
      <c r="D1397" s="5" t="s">
        <v>8</v>
      </c>
      <c r="E1397" s="15">
        <f>16</f>
        <v>16</v>
      </c>
      <c r="F1397" s="15"/>
      <c r="G1397" s="15"/>
    </row>
    <row r="1398" spans="1:7" x14ac:dyDescent="0.3">
      <c r="A1398" s="5"/>
      <c r="B1398" s="5" t="s">
        <v>206</v>
      </c>
      <c r="C1398" s="5"/>
      <c r="D1398" s="5" t="s">
        <v>8</v>
      </c>
      <c r="E1398" s="15">
        <f>13.2</f>
        <v>13.2</v>
      </c>
      <c r="F1398" s="15"/>
      <c r="G1398" s="15"/>
    </row>
    <row r="1399" spans="1:7" x14ac:dyDescent="0.3">
      <c r="A1399" s="5"/>
      <c r="B1399" s="5" t="s">
        <v>223</v>
      </c>
      <c r="C1399" s="5"/>
      <c r="D1399" s="5" t="s">
        <v>8</v>
      </c>
      <c r="E1399" s="15">
        <f>3.6</f>
        <v>3.6</v>
      </c>
      <c r="F1399" s="15"/>
      <c r="G1399" s="15"/>
    </row>
    <row r="1400" spans="1:7" x14ac:dyDescent="0.3">
      <c r="A1400" s="5"/>
      <c r="B1400" s="5" t="s">
        <v>209</v>
      </c>
      <c r="C1400" s="5"/>
      <c r="D1400" s="5" t="s">
        <v>8</v>
      </c>
      <c r="E1400" s="15">
        <f>1.4*0.4</f>
        <v>0.55999999999999994</v>
      </c>
      <c r="F1400" s="15"/>
      <c r="G1400" s="15"/>
    </row>
    <row r="1401" spans="1:7" x14ac:dyDescent="0.3">
      <c r="A1401" s="21"/>
      <c r="B1401" s="21" t="s">
        <v>127</v>
      </c>
      <c r="C1401" s="21"/>
      <c r="D1401" s="21" t="s">
        <v>14</v>
      </c>
      <c r="E1401" s="22">
        <f>1</f>
        <v>1</v>
      </c>
      <c r="F1401" s="22"/>
      <c r="G1401" s="22"/>
    </row>
    <row r="1402" spans="1:7" x14ac:dyDescent="0.3">
      <c r="A1402" s="5"/>
      <c r="B1402" s="5" t="s">
        <v>308</v>
      </c>
      <c r="C1402" s="5"/>
      <c r="D1402" s="5" t="s">
        <v>10</v>
      </c>
      <c r="E1402" s="15">
        <f>14.4</f>
        <v>14.4</v>
      </c>
      <c r="F1402" s="15"/>
      <c r="G1402" s="15"/>
    </row>
    <row r="1403" spans="1:7" x14ac:dyDescent="0.3">
      <c r="A1403" s="5"/>
      <c r="B1403" s="5" t="s">
        <v>213</v>
      </c>
      <c r="C1403" s="5"/>
      <c r="D1403" s="5" t="s">
        <v>10</v>
      </c>
      <c r="E1403" s="15">
        <f>457.7</f>
        <v>457.7</v>
      </c>
      <c r="F1403" s="15"/>
      <c r="G1403" s="15"/>
    </row>
    <row r="1404" spans="1:7" x14ac:dyDescent="0.3">
      <c r="A1404" s="5"/>
      <c r="B1404" s="5" t="s">
        <v>129</v>
      </c>
      <c r="C1404" s="5"/>
      <c r="D1404" s="5" t="s">
        <v>8</v>
      </c>
      <c r="E1404" s="15">
        <f>36.1</f>
        <v>36.1</v>
      </c>
      <c r="F1404" s="15"/>
      <c r="G1404" s="15"/>
    </row>
    <row r="1405" spans="1:7" x14ac:dyDescent="0.3">
      <c r="A1405" s="5"/>
      <c r="B1405" s="5" t="s">
        <v>131</v>
      </c>
      <c r="C1405" s="5"/>
      <c r="D1405" s="5" t="s">
        <v>8</v>
      </c>
      <c r="E1405" s="15">
        <f>14.7</f>
        <v>14.7</v>
      </c>
      <c r="F1405" s="15"/>
      <c r="G1405" s="15"/>
    </row>
    <row r="1406" spans="1:7" x14ac:dyDescent="0.3">
      <c r="A1406" s="5"/>
      <c r="B1406" s="5" t="s">
        <v>124</v>
      </c>
      <c r="C1406" s="5"/>
      <c r="D1406" s="5" t="s">
        <v>8</v>
      </c>
      <c r="E1406" s="15">
        <f>10.2</f>
        <v>10.199999999999999</v>
      </c>
      <c r="F1406" s="15"/>
      <c r="G1406" s="15"/>
    </row>
    <row r="1407" spans="1:7" x14ac:dyDescent="0.3">
      <c r="A1407" s="5"/>
      <c r="B1407" s="5" t="s">
        <v>205</v>
      </c>
      <c r="C1407" s="5"/>
      <c r="D1407" s="5" t="s">
        <v>8</v>
      </c>
      <c r="E1407" s="15">
        <f>1</f>
        <v>1</v>
      </c>
      <c r="F1407" s="15"/>
      <c r="G1407" s="15"/>
    </row>
    <row r="1408" spans="1:7" x14ac:dyDescent="0.3">
      <c r="A1408" s="5"/>
      <c r="B1408" s="5" t="s">
        <v>211</v>
      </c>
      <c r="C1408" s="5"/>
      <c r="D1408" s="5" t="s">
        <v>8</v>
      </c>
      <c r="E1408" s="15">
        <f>0.4</f>
        <v>0.4</v>
      </c>
      <c r="F1408" s="15"/>
      <c r="G1408" s="15"/>
    </row>
    <row r="1409" spans="1:7" x14ac:dyDescent="0.3">
      <c r="A1409" s="21"/>
      <c r="B1409" s="21" t="s">
        <v>134</v>
      </c>
      <c r="C1409" s="21"/>
      <c r="D1409" s="21" t="s">
        <v>14</v>
      </c>
      <c r="E1409" s="22">
        <f>60</f>
        <v>60</v>
      </c>
      <c r="F1409" s="22"/>
      <c r="G1409" s="22"/>
    </row>
    <row r="1410" spans="1:7" x14ac:dyDescent="0.3">
      <c r="A1410" s="5"/>
      <c r="B1410" s="5" t="s">
        <v>135</v>
      </c>
      <c r="C1410" s="5"/>
      <c r="D1410" s="5" t="s">
        <v>10</v>
      </c>
      <c r="E1410" s="15">
        <f>63.6</f>
        <v>63.6</v>
      </c>
      <c r="F1410" s="15"/>
      <c r="G1410" s="15"/>
    </row>
    <row r="1411" spans="1:7" x14ac:dyDescent="0.3">
      <c r="A1411" s="5"/>
      <c r="B1411" s="5" t="s">
        <v>136</v>
      </c>
      <c r="C1411" s="5"/>
      <c r="D1411" s="5" t="s">
        <v>8</v>
      </c>
      <c r="E1411" s="15">
        <f>1.9/66*60</f>
        <v>1.7272727272727271</v>
      </c>
      <c r="F1411" s="15"/>
      <c r="G1411" s="15"/>
    </row>
    <row r="1412" spans="1:7" x14ac:dyDescent="0.3">
      <c r="A1412" s="5"/>
      <c r="B1412" s="5" t="s">
        <v>137</v>
      </c>
      <c r="C1412" s="5"/>
      <c r="D1412" s="5" t="s">
        <v>8</v>
      </c>
      <c r="E1412" s="15">
        <f>1.4/66*60</f>
        <v>1.2727272727272725</v>
      </c>
      <c r="F1412" s="15"/>
      <c r="G1412" s="15"/>
    </row>
    <row r="1413" spans="1:7" x14ac:dyDescent="0.3">
      <c r="A1413" s="5"/>
      <c r="B1413" s="5" t="s">
        <v>138</v>
      </c>
      <c r="C1413" s="5"/>
      <c r="D1413" s="5" t="s">
        <v>8</v>
      </c>
      <c r="E1413" s="15">
        <f>0.8/66*60</f>
        <v>0.72727272727272729</v>
      </c>
      <c r="F1413" s="15"/>
      <c r="G1413" s="15"/>
    </row>
    <row r="1414" spans="1:7" x14ac:dyDescent="0.3">
      <c r="A1414" s="5"/>
      <c r="B1414" s="5" t="s">
        <v>139</v>
      </c>
      <c r="C1414" s="5"/>
      <c r="D1414" s="5" t="s">
        <v>8</v>
      </c>
      <c r="E1414" s="15">
        <f>1.3</f>
        <v>1.3</v>
      </c>
      <c r="F1414" s="15"/>
      <c r="G1414" s="15"/>
    </row>
    <row r="1415" spans="1:7" x14ac:dyDescent="0.3">
      <c r="A1415" s="21"/>
      <c r="B1415" s="21" t="s">
        <v>140</v>
      </c>
      <c r="C1415" s="21"/>
      <c r="D1415" s="21" t="s">
        <v>10</v>
      </c>
      <c r="E1415" s="22">
        <f>124.9</f>
        <v>124.9</v>
      </c>
      <c r="F1415" s="22"/>
      <c r="G1415" s="22"/>
    </row>
    <row r="1416" spans="1:7" x14ac:dyDescent="0.3">
      <c r="A1416" s="5"/>
      <c r="B1416" s="5" t="s">
        <v>141</v>
      </c>
      <c r="C1416" s="5"/>
      <c r="D1416" s="5" t="s">
        <v>10</v>
      </c>
      <c r="E1416" s="15">
        <f>124.9</f>
        <v>124.9</v>
      </c>
      <c r="F1416" s="15"/>
      <c r="G1416" s="15"/>
    </row>
    <row r="1417" spans="1:7" x14ac:dyDescent="0.3">
      <c r="A1417" s="5"/>
      <c r="B1417" s="5" t="s">
        <v>123</v>
      </c>
      <c r="C1417" s="5"/>
      <c r="D1417" s="5" t="s">
        <v>8</v>
      </c>
      <c r="E1417" s="15">
        <f>46.7</f>
        <v>46.7</v>
      </c>
      <c r="F1417" s="15"/>
      <c r="G1417" s="15"/>
    </row>
    <row r="1418" spans="1:7" x14ac:dyDescent="0.3">
      <c r="A1418" s="5"/>
      <c r="B1418" s="5" t="s">
        <v>131</v>
      </c>
      <c r="C1418" s="5"/>
      <c r="D1418" s="5" t="s">
        <v>8</v>
      </c>
      <c r="E1418" s="15">
        <f>2.9</f>
        <v>2.9</v>
      </c>
      <c r="F1418" s="15"/>
      <c r="G1418" s="15"/>
    </row>
    <row r="1419" spans="1:7" x14ac:dyDescent="0.3">
      <c r="A1419" s="5"/>
      <c r="B1419" s="5" t="s">
        <v>124</v>
      </c>
      <c r="C1419" s="5"/>
      <c r="D1419" s="5" t="s">
        <v>8</v>
      </c>
      <c r="E1419" s="15">
        <f>0.7</f>
        <v>0.7</v>
      </c>
      <c r="F1419" s="15"/>
      <c r="G1419" s="15"/>
    </row>
    <row r="1420" spans="1:7" x14ac:dyDescent="0.3">
      <c r="A1420" s="5"/>
      <c r="B1420" s="5" t="s">
        <v>205</v>
      </c>
      <c r="C1420" s="5"/>
      <c r="D1420" s="5" t="s">
        <v>8</v>
      </c>
      <c r="E1420" s="15">
        <f>1.7</f>
        <v>1.7</v>
      </c>
      <c r="F1420" s="15"/>
      <c r="G1420" s="15"/>
    </row>
    <row r="1421" spans="1:7" ht="31.2" x14ac:dyDescent="0.3">
      <c r="A1421" s="5"/>
      <c r="B1421" s="11" t="s">
        <v>143</v>
      </c>
      <c r="C1421" s="5"/>
      <c r="D1421" s="5" t="s">
        <v>14</v>
      </c>
      <c r="E1421" s="15">
        <f>240</f>
        <v>240</v>
      </c>
      <c r="F1421" s="15"/>
      <c r="G1421" s="15"/>
    </row>
    <row r="1422" spans="1:7" x14ac:dyDescent="0.3">
      <c r="A1422" s="21"/>
      <c r="B1422" s="21" t="s">
        <v>144</v>
      </c>
      <c r="C1422" s="21"/>
      <c r="D1422" s="21" t="s">
        <v>14</v>
      </c>
      <c r="E1422" s="22">
        <f>1</f>
        <v>1</v>
      </c>
      <c r="F1422" s="22"/>
      <c r="G1422" s="22"/>
    </row>
    <row r="1423" spans="1:7" x14ac:dyDescent="0.3">
      <c r="A1423" s="5"/>
      <c r="B1423" s="5" t="s">
        <v>145</v>
      </c>
      <c r="C1423" s="5"/>
      <c r="D1423" s="5" t="s">
        <v>10</v>
      </c>
      <c r="E1423" s="15">
        <f>131.6</f>
        <v>131.6</v>
      </c>
      <c r="F1423" s="15"/>
      <c r="G1423" s="15"/>
    </row>
    <row r="1424" spans="1:7" x14ac:dyDescent="0.3">
      <c r="A1424" s="5"/>
      <c r="B1424" s="5" t="s">
        <v>123</v>
      </c>
      <c r="C1424" s="5"/>
      <c r="D1424" s="5" t="s">
        <v>8</v>
      </c>
      <c r="E1424" s="15">
        <f>6.6</f>
        <v>6.6</v>
      </c>
      <c r="F1424" s="15"/>
      <c r="G1424" s="15"/>
    </row>
    <row r="1425" spans="1:7" x14ac:dyDescent="0.3">
      <c r="A1425" s="5"/>
      <c r="B1425" s="5" t="s">
        <v>131</v>
      </c>
      <c r="C1425" s="5"/>
      <c r="D1425" s="5" t="s">
        <v>8</v>
      </c>
      <c r="E1425" s="15">
        <f>4.6</f>
        <v>4.5999999999999996</v>
      </c>
      <c r="F1425" s="15"/>
      <c r="G1425" s="15"/>
    </row>
    <row r="1426" spans="1:7" x14ac:dyDescent="0.3">
      <c r="A1426" s="5"/>
      <c r="B1426" s="5" t="s">
        <v>142</v>
      </c>
      <c r="C1426" s="5"/>
      <c r="D1426" s="5" t="s">
        <v>8</v>
      </c>
      <c r="E1426" s="15">
        <f>3.8</f>
        <v>3.8</v>
      </c>
      <c r="F1426" s="15"/>
      <c r="G1426" s="15"/>
    </row>
    <row r="1427" spans="1:7" x14ac:dyDescent="0.3">
      <c r="A1427" s="21"/>
      <c r="B1427" s="21" t="s">
        <v>171</v>
      </c>
      <c r="C1427" s="21"/>
      <c r="D1427" s="21" t="s">
        <v>14</v>
      </c>
      <c r="E1427" s="22">
        <f>2</f>
        <v>2</v>
      </c>
      <c r="F1427" s="22"/>
      <c r="G1427" s="22"/>
    </row>
    <row r="1428" spans="1:7" x14ac:dyDescent="0.3">
      <c r="A1428" s="5"/>
      <c r="B1428" s="5" t="s">
        <v>145</v>
      </c>
      <c r="C1428" s="5"/>
      <c r="D1428" s="5" t="s">
        <v>10</v>
      </c>
      <c r="E1428" s="15">
        <f>6.6</f>
        <v>6.6</v>
      </c>
      <c r="F1428" s="15"/>
      <c r="G1428" s="15"/>
    </row>
    <row r="1429" spans="1:7" x14ac:dyDescent="0.3">
      <c r="A1429" s="5"/>
      <c r="B1429" s="5" t="s">
        <v>142</v>
      </c>
      <c r="C1429" s="5"/>
      <c r="D1429" s="5" t="s">
        <v>8</v>
      </c>
      <c r="E1429" s="15">
        <f>1</f>
        <v>1</v>
      </c>
      <c r="F1429" s="15"/>
      <c r="G1429" s="15"/>
    </row>
    <row r="1430" spans="1:7" x14ac:dyDescent="0.3">
      <c r="A1430" s="21"/>
      <c r="B1430" s="21" t="s">
        <v>219</v>
      </c>
      <c r="C1430" s="21"/>
      <c r="D1430" s="21" t="s">
        <v>69</v>
      </c>
      <c r="E1430" s="22">
        <f>345.1</f>
        <v>345.1</v>
      </c>
      <c r="F1430" s="22"/>
      <c r="G1430" s="22"/>
    </row>
    <row r="1431" spans="1:7" x14ac:dyDescent="0.3">
      <c r="A1431" s="5"/>
      <c r="B1431" s="5" t="s">
        <v>220</v>
      </c>
      <c r="C1431" s="5"/>
      <c r="D1431" s="5" t="s">
        <v>72</v>
      </c>
      <c r="E1431" s="15">
        <v>1552.95</v>
      </c>
      <c r="F1431" s="15"/>
      <c r="G1431" s="15"/>
    </row>
    <row r="1432" spans="1:7" x14ac:dyDescent="0.3">
      <c r="A1432" s="23"/>
      <c r="B1432" s="23" t="s">
        <v>331</v>
      </c>
      <c r="C1432" s="23"/>
      <c r="D1432" s="23"/>
      <c r="E1432" s="24"/>
      <c r="F1432" s="24"/>
      <c r="G1432" s="24"/>
    </row>
    <row r="1433" spans="1:7" x14ac:dyDescent="0.3">
      <c r="A1433" s="21"/>
      <c r="B1433" s="21" t="s">
        <v>328</v>
      </c>
      <c r="C1433" s="21"/>
      <c r="D1433" s="21" t="s">
        <v>14</v>
      </c>
      <c r="E1433" s="22">
        <v>20</v>
      </c>
      <c r="F1433" s="22"/>
      <c r="G1433" s="22"/>
    </row>
    <row r="1434" spans="1:7" x14ac:dyDescent="0.3">
      <c r="A1434" s="5"/>
      <c r="B1434" s="5" t="s">
        <v>122</v>
      </c>
      <c r="C1434" s="5"/>
      <c r="D1434" s="5" t="s">
        <v>10</v>
      </c>
      <c r="E1434" s="15">
        <f>1028.4</f>
        <v>1028.4000000000001</v>
      </c>
      <c r="F1434" s="15"/>
      <c r="G1434" s="15"/>
    </row>
    <row r="1435" spans="1:7" x14ac:dyDescent="0.3">
      <c r="A1435" s="5"/>
      <c r="B1435" s="5" t="s">
        <v>123</v>
      </c>
      <c r="C1435" s="5"/>
      <c r="D1435" s="5" t="s">
        <v>8</v>
      </c>
      <c r="E1435" s="15">
        <f>221.7</f>
        <v>221.7</v>
      </c>
      <c r="F1435" s="15"/>
      <c r="G1435" s="15"/>
    </row>
    <row r="1436" spans="1:7" x14ac:dyDescent="0.3">
      <c r="A1436" s="5"/>
      <c r="B1436" s="5" t="s">
        <v>124</v>
      </c>
      <c r="C1436" s="5"/>
      <c r="D1436" s="5" t="s">
        <v>8</v>
      </c>
      <c r="E1436" s="15">
        <f>1.8</f>
        <v>1.8</v>
      </c>
      <c r="F1436" s="15"/>
      <c r="G1436" s="15"/>
    </row>
    <row r="1437" spans="1:7" x14ac:dyDescent="0.3">
      <c r="A1437" s="5"/>
      <c r="B1437" s="5" t="s">
        <v>205</v>
      </c>
      <c r="C1437" s="5"/>
      <c r="D1437" s="5" t="s">
        <v>8</v>
      </c>
      <c r="E1437" s="15">
        <f>15</f>
        <v>15</v>
      </c>
      <c r="F1437" s="15"/>
      <c r="G1437" s="15"/>
    </row>
    <row r="1438" spans="1:7" x14ac:dyDescent="0.3">
      <c r="A1438" s="5"/>
      <c r="B1438" s="5" t="s">
        <v>206</v>
      </c>
      <c r="C1438" s="5"/>
      <c r="D1438" s="5" t="s">
        <v>8</v>
      </c>
      <c r="E1438" s="15">
        <f>12.4</f>
        <v>12.4</v>
      </c>
      <c r="F1438" s="15"/>
      <c r="G1438" s="15"/>
    </row>
    <row r="1439" spans="1:7" x14ac:dyDescent="0.3">
      <c r="A1439" s="5"/>
      <c r="B1439" s="5" t="s">
        <v>223</v>
      </c>
      <c r="C1439" s="5"/>
      <c r="D1439" s="5" t="s">
        <v>8</v>
      </c>
      <c r="E1439" s="15">
        <f>3.3</f>
        <v>3.3</v>
      </c>
      <c r="F1439" s="15"/>
      <c r="G1439" s="15"/>
    </row>
    <row r="1440" spans="1:7" x14ac:dyDescent="0.3">
      <c r="A1440" s="5"/>
      <c r="B1440" s="5" t="s">
        <v>209</v>
      </c>
      <c r="C1440" s="5"/>
      <c r="D1440" s="5" t="s">
        <v>8</v>
      </c>
      <c r="E1440" s="15">
        <f>1.3*0.4</f>
        <v>0.52</v>
      </c>
      <c r="F1440" s="15"/>
      <c r="G1440" s="15"/>
    </row>
    <row r="1441" spans="1:7" x14ac:dyDescent="0.3">
      <c r="A1441" s="21"/>
      <c r="B1441" s="21" t="s">
        <v>127</v>
      </c>
      <c r="C1441" s="21"/>
      <c r="D1441" s="21" t="s">
        <v>14</v>
      </c>
      <c r="E1441" s="22">
        <f>1</f>
        <v>1</v>
      </c>
      <c r="F1441" s="22"/>
      <c r="G1441" s="22"/>
    </row>
    <row r="1442" spans="1:7" x14ac:dyDescent="0.3">
      <c r="A1442" s="5"/>
      <c r="B1442" s="5" t="s">
        <v>308</v>
      </c>
      <c r="C1442" s="5"/>
      <c r="D1442" s="5" t="s">
        <v>10</v>
      </c>
      <c r="E1442" s="15">
        <f>14.4</f>
        <v>14.4</v>
      </c>
      <c r="F1442" s="15"/>
      <c r="G1442" s="15"/>
    </row>
    <row r="1443" spans="1:7" x14ac:dyDescent="0.3">
      <c r="A1443" s="5"/>
      <c r="B1443" s="5" t="s">
        <v>213</v>
      </c>
      <c r="C1443" s="5"/>
      <c r="D1443" s="5" t="s">
        <v>10</v>
      </c>
      <c r="E1443" s="15">
        <f>457.7</f>
        <v>457.7</v>
      </c>
      <c r="F1443" s="15"/>
      <c r="G1443" s="15"/>
    </row>
    <row r="1444" spans="1:7" x14ac:dyDescent="0.3">
      <c r="A1444" s="5"/>
      <c r="B1444" s="5" t="s">
        <v>129</v>
      </c>
      <c r="C1444" s="5"/>
      <c r="D1444" s="5" t="s">
        <v>8</v>
      </c>
      <c r="E1444" s="15">
        <f>36.1</f>
        <v>36.1</v>
      </c>
      <c r="F1444" s="15"/>
      <c r="G1444" s="15"/>
    </row>
    <row r="1445" spans="1:7" x14ac:dyDescent="0.3">
      <c r="A1445" s="5"/>
      <c r="B1445" s="5" t="s">
        <v>131</v>
      </c>
      <c r="C1445" s="5"/>
      <c r="D1445" s="5" t="s">
        <v>8</v>
      </c>
      <c r="E1445" s="15">
        <f>14.7</f>
        <v>14.7</v>
      </c>
      <c r="F1445" s="15"/>
      <c r="G1445" s="15"/>
    </row>
    <row r="1446" spans="1:7" x14ac:dyDescent="0.3">
      <c r="A1446" s="5"/>
      <c r="B1446" s="5" t="s">
        <v>124</v>
      </c>
      <c r="C1446" s="5"/>
      <c r="D1446" s="5" t="s">
        <v>8</v>
      </c>
      <c r="E1446" s="15">
        <f>10.2</f>
        <v>10.199999999999999</v>
      </c>
      <c r="F1446" s="15"/>
      <c r="G1446" s="15"/>
    </row>
    <row r="1447" spans="1:7" x14ac:dyDescent="0.3">
      <c r="A1447" s="5"/>
      <c r="B1447" s="5" t="s">
        <v>205</v>
      </c>
      <c r="C1447" s="5"/>
      <c r="D1447" s="5" t="s">
        <v>8</v>
      </c>
      <c r="E1447" s="15">
        <f>1</f>
        <v>1</v>
      </c>
      <c r="F1447" s="15"/>
      <c r="G1447" s="15"/>
    </row>
    <row r="1448" spans="1:7" x14ac:dyDescent="0.3">
      <c r="A1448" s="5"/>
      <c r="B1448" s="5" t="s">
        <v>211</v>
      </c>
      <c r="C1448" s="5"/>
      <c r="D1448" s="5" t="s">
        <v>8</v>
      </c>
      <c r="E1448" s="15">
        <f>0.4</f>
        <v>0.4</v>
      </c>
      <c r="F1448" s="15"/>
      <c r="G1448" s="15"/>
    </row>
    <row r="1449" spans="1:7" x14ac:dyDescent="0.3">
      <c r="A1449" s="21"/>
      <c r="B1449" s="21" t="s">
        <v>134</v>
      </c>
      <c r="C1449" s="21"/>
      <c r="D1449" s="21" t="s">
        <v>14</v>
      </c>
      <c r="E1449" s="22">
        <f>60</f>
        <v>60</v>
      </c>
      <c r="F1449" s="22"/>
      <c r="G1449" s="22"/>
    </row>
    <row r="1450" spans="1:7" x14ac:dyDescent="0.3">
      <c r="A1450" s="5"/>
      <c r="B1450" s="5" t="s">
        <v>135</v>
      </c>
      <c r="C1450" s="5"/>
      <c r="D1450" s="5" t="s">
        <v>10</v>
      </c>
      <c r="E1450" s="15">
        <f>63.6</f>
        <v>63.6</v>
      </c>
      <c r="F1450" s="15"/>
      <c r="G1450" s="15"/>
    </row>
    <row r="1451" spans="1:7" x14ac:dyDescent="0.3">
      <c r="A1451" s="5"/>
      <c r="B1451" s="5" t="s">
        <v>136</v>
      </c>
      <c r="C1451" s="5"/>
      <c r="D1451" s="5" t="s">
        <v>8</v>
      </c>
      <c r="E1451" s="15">
        <f>1.9/66*60</f>
        <v>1.7272727272727271</v>
      </c>
      <c r="F1451" s="15"/>
      <c r="G1451" s="15"/>
    </row>
    <row r="1452" spans="1:7" x14ac:dyDescent="0.3">
      <c r="A1452" s="5"/>
      <c r="B1452" s="5" t="s">
        <v>137</v>
      </c>
      <c r="C1452" s="5"/>
      <c r="D1452" s="5" t="s">
        <v>8</v>
      </c>
      <c r="E1452" s="15">
        <f>1.4/66*60</f>
        <v>1.2727272727272725</v>
      </c>
      <c r="F1452" s="15"/>
      <c r="G1452" s="15"/>
    </row>
    <row r="1453" spans="1:7" x14ac:dyDescent="0.3">
      <c r="A1453" s="5"/>
      <c r="B1453" s="5" t="s">
        <v>138</v>
      </c>
      <c r="C1453" s="5"/>
      <c r="D1453" s="5" t="s">
        <v>8</v>
      </c>
      <c r="E1453" s="15">
        <f>0.8/66*60</f>
        <v>0.72727272727272729</v>
      </c>
      <c r="F1453" s="15"/>
      <c r="G1453" s="15"/>
    </row>
    <row r="1454" spans="1:7" x14ac:dyDescent="0.3">
      <c r="A1454" s="5"/>
      <c r="B1454" s="5" t="s">
        <v>139</v>
      </c>
      <c r="C1454" s="5"/>
      <c r="D1454" s="5" t="s">
        <v>8</v>
      </c>
      <c r="E1454" s="15">
        <f>1.3</f>
        <v>1.3</v>
      </c>
      <c r="F1454" s="15"/>
      <c r="G1454" s="15"/>
    </row>
    <row r="1455" spans="1:7" x14ac:dyDescent="0.3">
      <c r="A1455" s="21"/>
      <c r="B1455" s="21" t="s">
        <v>140</v>
      </c>
      <c r="C1455" s="21"/>
      <c r="D1455" s="21" t="s">
        <v>10</v>
      </c>
      <c r="E1455" s="22">
        <f>124.9</f>
        <v>124.9</v>
      </c>
      <c r="F1455" s="22"/>
      <c r="G1455" s="22"/>
    </row>
    <row r="1456" spans="1:7" x14ac:dyDescent="0.3">
      <c r="A1456" s="5"/>
      <c r="B1456" s="5" t="s">
        <v>141</v>
      </c>
      <c r="C1456" s="5"/>
      <c r="D1456" s="5" t="s">
        <v>10</v>
      </c>
      <c r="E1456" s="15">
        <f>124.9</f>
        <v>124.9</v>
      </c>
      <c r="F1456" s="15"/>
      <c r="G1456" s="15"/>
    </row>
    <row r="1457" spans="1:7" x14ac:dyDescent="0.3">
      <c r="A1457" s="5"/>
      <c r="B1457" s="5" t="s">
        <v>123</v>
      </c>
      <c r="C1457" s="5"/>
      <c r="D1457" s="5" t="s">
        <v>8</v>
      </c>
      <c r="E1457" s="15">
        <f>46.7</f>
        <v>46.7</v>
      </c>
      <c r="F1457" s="15"/>
      <c r="G1457" s="15"/>
    </row>
    <row r="1458" spans="1:7" x14ac:dyDescent="0.3">
      <c r="A1458" s="5"/>
      <c r="B1458" s="5" t="s">
        <v>131</v>
      </c>
      <c r="C1458" s="5"/>
      <c r="D1458" s="5" t="s">
        <v>8</v>
      </c>
      <c r="E1458" s="15">
        <f>2.9</f>
        <v>2.9</v>
      </c>
      <c r="F1458" s="15"/>
      <c r="G1458" s="15"/>
    </row>
    <row r="1459" spans="1:7" x14ac:dyDescent="0.3">
      <c r="A1459" s="5"/>
      <c r="B1459" s="5" t="s">
        <v>124</v>
      </c>
      <c r="C1459" s="5"/>
      <c r="D1459" s="5" t="s">
        <v>8</v>
      </c>
      <c r="E1459" s="15">
        <f>0.7</f>
        <v>0.7</v>
      </c>
      <c r="F1459" s="15"/>
      <c r="G1459" s="15"/>
    </row>
    <row r="1460" spans="1:7" x14ac:dyDescent="0.3">
      <c r="A1460" s="5"/>
      <c r="B1460" s="5" t="s">
        <v>205</v>
      </c>
      <c r="C1460" s="5"/>
      <c r="D1460" s="5" t="s">
        <v>8</v>
      </c>
      <c r="E1460" s="15">
        <f>1.7</f>
        <v>1.7</v>
      </c>
      <c r="F1460" s="15"/>
      <c r="G1460" s="15"/>
    </row>
    <row r="1461" spans="1:7" ht="31.2" x14ac:dyDescent="0.3">
      <c r="A1461" s="5"/>
      <c r="B1461" s="11" t="s">
        <v>143</v>
      </c>
      <c r="C1461" s="5"/>
      <c r="D1461" s="5" t="s">
        <v>14</v>
      </c>
      <c r="E1461" s="15">
        <f>240</f>
        <v>240</v>
      </c>
      <c r="F1461" s="15"/>
      <c r="G1461" s="15"/>
    </row>
    <row r="1462" spans="1:7" x14ac:dyDescent="0.3">
      <c r="A1462" s="21"/>
      <c r="B1462" s="21" t="s">
        <v>144</v>
      </c>
      <c r="C1462" s="21"/>
      <c r="D1462" s="21" t="s">
        <v>14</v>
      </c>
      <c r="E1462" s="22">
        <f>1</f>
        <v>1</v>
      </c>
      <c r="F1462" s="22"/>
      <c r="G1462" s="22"/>
    </row>
    <row r="1463" spans="1:7" x14ac:dyDescent="0.3">
      <c r="A1463" s="5"/>
      <c r="B1463" s="5" t="s">
        <v>145</v>
      </c>
      <c r="C1463" s="5"/>
      <c r="D1463" s="5" t="s">
        <v>10</v>
      </c>
      <c r="E1463" s="15">
        <f>90.2</f>
        <v>90.2</v>
      </c>
      <c r="F1463" s="15"/>
      <c r="G1463" s="15"/>
    </row>
    <row r="1464" spans="1:7" x14ac:dyDescent="0.3">
      <c r="A1464" s="5"/>
      <c r="B1464" s="5" t="s">
        <v>129</v>
      </c>
      <c r="C1464" s="5"/>
      <c r="D1464" s="5" t="s">
        <v>8</v>
      </c>
      <c r="E1464" s="15">
        <f>2.9</f>
        <v>2.9</v>
      </c>
      <c r="F1464" s="15"/>
      <c r="G1464" s="15"/>
    </row>
    <row r="1465" spans="1:7" x14ac:dyDescent="0.3">
      <c r="A1465" s="5"/>
      <c r="B1465" s="5" t="s">
        <v>131</v>
      </c>
      <c r="C1465" s="5"/>
      <c r="D1465" s="5" t="s">
        <v>8</v>
      </c>
      <c r="E1465" s="15">
        <f>2</f>
        <v>2</v>
      </c>
      <c r="F1465" s="15"/>
      <c r="G1465" s="15"/>
    </row>
    <row r="1466" spans="1:7" x14ac:dyDescent="0.3">
      <c r="A1466" s="5"/>
      <c r="B1466" s="5" t="s">
        <v>142</v>
      </c>
      <c r="C1466" s="5"/>
      <c r="D1466" s="5" t="s">
        <v>8</v>
      </c>
      <c r="E1466" s="15">
        <f>2.7</f>
        <v>2.7</v>
      </c>
      <c r="F1466" s="15"/>
      <c r="G1466" s="15"/>
    </row>
    <row r="1467" spans="1:7" x14ac:dyDescent="0.3">
      <c r="A1467" s="21"/>
      <c r="B1467" s="21" t="s">
        <v>171</v>
      </c>
      <c r="C1467" s="21"/>
      <c r="D1467" s="21" t="s">
        <v>14</v>
      </c>
      <c r="E1467" s="22">
        <f>2</f>
        <v>2</v>
      </c>
      <c r="F1467" s="22"/>
      <c r="G1467" s="22"/>
    </row>
    <row r="1468" spans="1:7" x14ac:dyDescent="0.3">
      <c r="A1468" s="5"/>
      <c r="B1468" s="5" t="s">
        <v>145</v>
      </c>
      <c r="C1468" s="5"/>
      <c r="D1468" s="5" t="s">
        <v>10</v>
      </c>
      <c r="E1468" s="15">
        <f>2.4</f>
        <v>2.4</v>
      </c>
      <c r="F1468" s="15"/>
      <c r="G1468" s="15"/>
    </row>
    <row r="1469" spans="1:7" x14ac:dyDescent="0.3">
      <c r="A1469" s="5"/>
      <c r="B1469" s="5" t="s">
        <v>142</v>
      </c>
      <c r="C1469" s="5"/>
      <c r="D1469" s="5" t="s">
        <v>8</v>
      </c>
      <c r="E1469" s="15">
        <f>0.4</f>
        <v>0.4</v>
      </c>
      <c r="F1469" s="15"/>
      <c r="G1469" s="15"/>
    </row>
    <row r="1470" spans="1:7" x14ac:dyDescent="0.3">
      <c r="A1470" s="21"/>
      <c r="B1470" s="21" t="s">
        <v>219</v>
      </c>
      <c r="C1470" s="21"/>
      <c r="D1470" s="21" t="s">
        <v>69</v>
      </c>
      <c r="E1470" s="22">
        <f>310.6</f>
        <v>310.60000000000002</v>
      </c>
      <c r="F1470" s="22"/>
      <c r="G1470" s="22"/>
    </row>
    <row r="1471" spans="1:7" x14ac:dyDescent="0.3">
      <c r="A1471" s="5"/>
      <c r="B1471" s="5" t="s">
        <v>220</v>
      </c>
      <c r="C1471" s="5"/>
      <c r="D1471" s="5" t="s">
        <v>72</v>
      </c>
      <c r="E1471" s="15">
        <v>1397.7</v>
      </c>
      <c r="F1471" s="15"/>
      <c r="G1471" s="15"/>
    </row>
    <row r="1472" spans="1:7" x14ac:dyDescent="0.3">
      <c r="A1472" s="23"/>
      <c r="B1472" s="23" t="s">
        <v>332</v>
      </c>
      <c r="C1472" s="23"/>
      <c r="D1472" s="23"/>
      <c r="E1472" s="24"/>
      <c r="F1472" s="24"/>
      <c r="G1472" s="24"/>
    </row>
    <row r="1473" spans="1:7" x14ac:dyDescent="0.3">
      <c r="A1473" s="21"/>
      <c r="B1473" s="21" t="s">
        <v>333</v>
      </c>
      <c r="C1473" s="21"/>
      <c r="D1473" s="21" t="s">
        <v>14</v>
      </c>
      <c r="E1473" s="22">
        <v>20</v>
      </c>
      <c r="F1473" s="22"/>
      <c r="G1473" s="22"/>
    </row>
    <row r="1474" spans="1:7" x14ac:dyDescent="0.3">
      <c r="A1474" s="5"/>
      <c r="B1474" s="5" t="s">
        <v>122</v>
      </c>
      <c r="C1474" s="5"/>
      <c r="D1474" s="5" t="s">
        <v>10</v>
      </c>
      <c r="E1474" s="15">
        <f>1152.1</f>
        <v>1152.0999999999999</v>
      </c>
      <c r="F1474" s="15"/>
      <c r="G1474" s="15"/>
    </row>
    <row r="1475" spans="1:7" x14ac:dyDescent="0.3">
      <c r="A1475" s="5"/>
      <c r="B1475" s="5" t="s">
        <v>123</v>
      </c>
      <c r="C1475" s="5"/>
      <c r="D1475" s="5" t="s">
        <v>8</v>
      </c>
      <c r="E1475" s="15">
        <f>248.3</f>
        <v>248.3</v>
      </c>
      <c r="F1475" s="15"/>
      <c r="G1475" s="15"/>
    </row>
    <row r="1476" spans="1:7" x14ac:dyDescent="0.3">
      <c r="A1476" s="5"/>
      <c r="B1476" s="5" t="s">
        <v>124</v>
      </c>
      <c r="C1476" s="5"/>
      <c r="D1476" s="5" t="s">
        <v>8</v>
      </c>
      <c r="E1476" s="15">
        <f>2</f>
        <v>2</v>
      </c>
      <c r="F1476" s="15"/>
      <c r="G1476" s="15"/>
    </row>
    <row r="1477" spans="1:7" x14ac:dyDescent="0.3">
      <c r="A1477" s="5"/>
      <c r="B1477" s="5" t="s">
        <v>205</v>
      </c>
      <c r="C1477" s="5"/>
      <c r="D1477" s="5" t="s">
        <v>8</v>
      </c>
      <c r="E1477" s="15">
        <f>16.8</f>
        <v>16.8</v>
      </c>
      <c r="F1477" s="15"/>
      <c r="G1477" s="15"/>
    </row>
    <row r="1478" spans="1:7" x14ac:dyDescent="0.3">
      <c r="A1478" s="5"/>
      <c r="B1478" s="5" t="s">
        <v>206</v>
      </c>
      <c r="C1478" s="5"/>
      <c r="D1478" s="5" t="s">
        <v>8</v>
      </c>
      <c r="E1478" s="15">
        <f>13.9</f>
        <v>13.9</v>
      </c>
      <c r="F1478" s="15"/>
      <c r="G1478" s="15"/>
    </row>
    <row r="1479" spans="1:7" x14ac:dyDescent="0.3">
      <c r="A1479" s="5"/>
      <c r="B1479" s="5" t="s">
        <v>223</v>
      </c>
      <c r="C1479" s="5"/>
      <c r="D1479" s="5" t="s">
        <v>8</v>
      </c>
      <c r="E1479" s="15">
        <f>3.7</f>
        <v>3.7</v>
      </c>
      <c r="F1479" s="15"/>
      <c r="G1479" s="15"/>
    </row>
    <row r="1480" spans="1:7" x14ac:dyDescent="0.3">
      <c r="A1480" s="5"/>
      <c r="B1480" s="5" t="s">
        <v>209</v>
      </c>
      <c r="C1480" s="5"/>
      <c r="D1480" s="5" t="s">
        <v>8</v>
      </c>
      <c r="E1480" s="15">
        <f>1.5*0.4</f>
        <v>0.60000000000000009</v>
      </c>
      <c r="F1480" s="15"/>
      <c r="G1480" s="15"/>
    </row>
    <row r="1481" spans="1:7" x14ac:dyDescent="0.3">
      <c r="A1481" s="21"/>
      <c r="B1481" s="21" t="s">
        <v>127</v>
      </c>
      <c r="C1481" s="21"/>
      <c r="D1481" s="21" t="s">
        <v>14</v>
      </c>
      <c r="E1481" s="22">
        <f>1</f>
        <v>1</v>
      </c>
      <c r="F1481" s="22"/>
      <c r="G1481" s="22"/>
    </row>
    <row r="1482" spans="1:7" x14ac:dyDescent="0.3">
      <c r="A1482" s="5"/>
      <c r="B1482" s="5" t="s">
        <v>308</v>
      </c>
      <c r="C1482" s="5"/>
      <c r="D1482" s="5" t="s">
        <v>10</v>
      </c>
      <c r="E1482" s="15">
        <f>14.4</f>
        <v>14.4</v>
      </c>
      <c r="F1482" s="15"/>
      <c r="G1482" s="15"/>
    </row>
    <row r="1483" spans="1:7" x14ac:dyDescent="0.3">
      <c r="A1483" s="5"/>
      <c r="B1483" s="5" t="s">
        <v>213</v>
      </c>
      <c r="C1483" s="5"/>
      <c r="D1483" s="5" t="s">
        <v>10</v>
      </c>
      <c r="E1483" s="15">
        <f>457.7</f>
        <v>457.7</v>
      </c>
      <c r="F1483" s="15"/>
      <c r="G1483" s="15"/>
    </row>
    <row r="1484" spans="1:7" x14ac:dyDescent="0.3">
      <c r="A1484" s="5"/>
      <c r="B1484" s="5" t="s">
        <v>129</v>
      </c>
      <c r="C1484" s="5"/>
      <c r="D1484" s="5" t="s">
        <v>8</v>
      </c>
      <c r="E1484" s="15">
        <f>36.1</f>
        <v>36.1</v>
      </c>
      <c r="F1484" s="15"/>
      <c r="G1484" s="15"/>
    </row>
    <row r="1485" spans="1:7" x14ac:dyDescent="0.3">
      <c r="A1485" s="5"/>
      <c r="B1485" s="5" t="s">
        <v>131</v>
      </c>
      <c r="C1485" s="5"/>
      <c r="D1485" s="5" t="s">
        <v>8</v>
      </c>
      <c r="E1485" s="15">
        <f>14.7</f>
        <v>14.7</v>
      </c>
      <c r="F1485" s="15"/>
      <c r="G1485" s="15"/>
    </row>
    <row r="1486" spans="1:7" x14ac:dyDescent="0.3">
      <c r="A1486" s="5"/>
      <c r="B1486" s="5" t="s">
        <v>124</v>
      </c>
      <c r="C1486" s="5"/>
      <c r="D1486" s="5" t="s">
        <v>8</v>
      </c>
      <c r="E1486" s="15">
        <f>10.2</f>
        <v>10.199999999999999</v>
      </c>
      <c r="F1486" s="15"/>
      <c r="G1486" s="15"/>
    </row>
    <row r="1487" spans="1:7" x14ac:dyDescent="0.3">
      <c r="A1487" s="5"/>
      <c r="B1487" s="5" t="s">
        <v>205</v>
      </c>
      <c r="C1487" s="5"/>
      <c r="D1487" s="5" t="s">
        <v>8</v>
      </c>
      <c r="E1487" s="15">
        <f>1</f>
        <v>1</v>
      </c>
      <c r="F1487" s="15"/>
      <c r="G1487" s="15"/>
    </row>
    <row r="1488" spans="1:7" x14ac:dyDescent="0.3">
      <c r="A1488" s="5"/>
      <c r="B1488" s="5" t="s">
        <v>211</v>
      </c>
      <c r="C1488" s="5"/>
      <c r="D1488" s="5" t="s">
        <v>8</v>
      </c>
      <c r="E1488" s="15">
        <f>0.4</f>
        <v>0.4</v>
      </c>
      <c r="F1488" s="15"/>
      <c r="G1488" s="15"/>
    </row>
    <row r="1489" spans="1:7" x14ac:dyDescent="0.3">
      <c r="A1489" s="21"/>
      <c r="B1489" s="21" t="s">
        <v>134</v>
      </c>
      <c r="C1489" s="21"/>
      <c r="D1489" s="21" t="s">
        <v>14</v>
      </c>
      <c r="E1489" s="22">
        <f>66</f>
        <v>66</v>
      </c>
      <c r="F1489" s="22"/>
      <c r="G1489" s="22"/>
    </row>
    <row r="1490" spans="1:7" x14ac:dyDescent="0.3">
      <c r="A1490" s="5"/>
      <c r="B1490" s="5" t="s">
        <v>135</v>
      </c>
      <c r="C1490" s="5"/>
      <c r="D1490" s="5" t="s">
        <v>10</v>
      </c>
      <c r="E1490" s="15">
        <f>70</f>
        <v>70</v>
      </c>
      <c r="F1490" s="15"/>
      <c r="G1490" s="15"/>
    </row>
    <row r="1491" spans="1:7" x14ac:dyDescent="0.3">
      <c r="A1491" s="5"/>
      <c r="B1491" s="5" t="s">
        <v>136</v>
      </c>
      <c r="C1491" s="5"/>
      <c r="D1491" s="5" t="s">
        <v>8</v>
      </c>
      <c r="E1491" s="15">
        <f>1.9</f>
        <v>1.9</v>
      </c>
      <c r="F1491" s="15"/>
      <c r="G1491" s="15"/>
    </row>
    <row r="1492" spans="1:7" x14ac:dyDescent="0.3">
      <c r="A1492" s="5"/>
      <c r="B1492" s="5" t="s">
        <v>137</v>
      </c>
      <c r="C1492" s="5"/>
      <c r="D1492" s="5" t="s">
        <v>8</v>
      </c>
      <c r="E1492" s="15">
        <f>1.4</f>
        <v>1.4</v>
      </c>
      <c r="F1492" s="15"/>
      <c r="G1492" s="15"/>
    </row>
    <row r="1493" spans="1:7" x14ac:dyDescent="0.3">
      <c r="A1493" s="5"/>
      <c r="B1493" s="5" t="s">
        <v>138</v>
      </c>
      <c r="C1493" s="5"/>
      <c r="D1493" s="5" t="s">
        <v>8</v>
      </c>
      <c r="E1493" s="15">
        <f>0.8</f>
        <v>0.8</v>
      </c>
      <c r="F1493" s="15"/>
      <c r="G1493" s="15"/>
    </row>
    <row r="1494" spans="1:7" x14ac:dyDescent="0.3">
      <c r="A1494" s="5"/>
      <c r="B1494" s="5" t="s">
        <v>139</v>
      </c>
      <c r="C1494" s="5"/>
      <c r="D1494" s="5" t="s">
        <v>8</v>
      </c>
      <c r="E1494" s="15">
        <f>1.4</f>
        <v>1.4</v>
      </c>
      <c r="F1494" s="15"/>
      <c r="G1494" s="15"/>
    </row>
    <row r="1495" spans="1:7" x14ac:dyDescent="0.3">
      <c r="A1495" s="21"/>
      <c r="B1495" s="21" t="s">
        <v>140</v>
      </c>
      <c r="C1495" s="21"/>
      <c r="D1495" s="21" t="s">
        <v>10</v>
      </c>
      <c r="E1495" s="22">
        <f>137.3</f>
        <v>137.30000000000001</v>
      </c>
      <c r="F1495" s="22"/>
      <c r="G1495" s="22"/>
    </row>
    <row r="1496" spans="1:7" x14ac:dyDescent="0.3">
      <c r="A1496" s="5"/>
      <c r="B1496" s="5" t="s">
        <v>141</v>
      </c>
      <c r="C1496" s="5"/>
      <c r="D1496" s="5" t="s">
        <v>10</v>
      </c>
      <c r="E1496" s="15">
        <f>137.3</f>
        <v>137.30000000000001</v>
      </c>
      <c r="F1496" s="15"/>
      <c r="G1496" s="15"/>
    </row>
    <row r="1497" spans="1:7" x14ac:dyDescent="0.3">
      <c r="A1497" s="5"/>
      <c r="B1497" s="5" t="s">
        <v>123</v>
      </c>
      <c r="C1497" s="5"/>
      <c r="D1497" s="5" t="s">
        <v>8</v>
      </c>
      <c r="E1497" s="15">
        <f>50.2</f>
        <v>50.2</v>
      </c>
      <c r="F1497" s="15"/>
      <c r="G1497" s="15"/>
    </row>
    <row r="1498" spans="1:7" x14ac:dyDescent="0.3">
      <c r="A1498" s="5"/>
      <c r="B1498" s="5" t="s">
        <v>131</v>
      </c>
      <c r="C1498" s="5"/>
      <c r="D1498" s="5" t="s">
        <v>8</v>
      </c>
      <c r="E1498" s="15">
        <f>3.3</f>
        <v>3.3</v>
      </c>
      <c r="F1498" s="15"/>
      <c r="G1498" s="15"/>
    </row>
    <row r="1499" spans="1:7" x14ac:dyDescent="0.3">
      <c r="A1499" s="5"/>
      <c r="B1499" s="5" t="s">
        <v>124</v>
      </c>
      <c r="C1499" s="5"/>
      <c r="D1499" s="5" t="s">
        <v>8</v>
      </c>
      <c r="E1499" s="15">
        <f>0.8</f>
        <v>0.8</v>
      </c>
      <c r="F1499" s="15"/>
      <c r="G1499" s="15"/>
    </row>
    <row r="1500" spans="1:7" x14ac:dyDescent="0.3">
      <c r="A1500" s="5"/>
      <c r="B1500" s="5" t="s">
        <v>205</v>
      </c>
      <c r="C1500" s="5"/>
      <c r="D1500" s="5" t="s">
        <v>8</v>
      </c>
      <c r="E1500" s="15">
        <f>1.9</f>
        <v>1.9</v>
      </c>
      <c r="F1500" s="15"/>
      <c r="G1500" s="15"/>
    </row>
    <row r="1501" spans="1:7" ht="31.2" x14ac:dyDescent="0.3">
      <c r="A1501" s="5"/>
      <c r="B1501" s="11" t="s">
        <v>143</v>
      </c>
      <c r="C1501" s="5"/>
      <c r="D1501" s="5" t="s">
        <v>14</v>
      </c>
      <c r="E1501" s="15">
        <f>240</f>
        <v>240</v>
      </c>
      <c r="F1501" s="15"/>
      <c r="G1501" s="15"/>
    </row>
    <row r="1502" spans="1:7" x14ac:dyDescent="0.3">
      <c r="A1502" s="21"/>
      <c r="B1502" s="21" t="s">
        <v>144</v>
      </c>
      <c r="C1502" s="21"/>
      <c r="D1502" s="21" t="s">
        <v>14</v>
      </c>
      <c r="E1502" s="22">
        <f>1</f>
        <v>1</v>
      </c>
      <c r="F1502" s="22"/>
      <c r="G1502" s="22"/>
    </row>
    <row r="1503" spans="1:7" x14ac:dyDescent="0.3">
      <c r="A1503" s="5"/>
      <c r="B1503" s="5" t="s">
        <v>145</v>
      </c>
      <c r="C1503" s="5"/>
      <c r="D1503" s="5" t="s">
        <v>10</v>
      </c>
      <c r="E1503" s="15">
        <f>90.2</f>
        <v>90.2</v>
      </c>
      <c r="F1503" s="15"/>
      <c r="G1503" s="15"/>
    </row>
    <row r="1504" spans="1:7" x14ac:dyDescent="0.3">
      <c r="A1504" s="5"/>
      <c r="B1504" s="5" t="s">
        <v>129</v>
      </c>
      <c r="C1504" s="5"/>
      <c r="D1504" s="5" t="s">
        <v>8</v>
      </c>
      <c r="E1504" s="15">
        <f>2.9</f>
        <v>2.9</v>
      </c>
      <c r="F1504" s="15"/>
      <c r="G1504" s="15"/>
    </row>
    <row r="1505" spans="1:126" x14ac:dyDescent="0.3">
      <c r="A1505" s="5"/>
      <c r="B1505" s="5" t="s">
        <v>131</v>
      </c>
      <c r="C1505" s="5"/>
      <c r="D1505" s="5" t="s">
        <v>8</v>
      </c>
      <c r="E1505" s="15">
        <f>2</f>
        <v>2</v>
      </c>
      <c r="F1505" s="15"/>
      <c r="G1505" s="15"/>
    </row>
    <row r="1506" spans="1:126" x14ac:dyDescent="0.3">
      <c r="A1506" s="5"/>
      <c r="B1506" s="5" t="s">
        <v>142</v>
      </c>
      <c r="C1506" s="5"/>
      <c r="D1506" s="5" t="s">
        <v>8</v>
      </c>
      <c r="E1506" s="15">
        <f>2.7</f>
        <v>2.7</v>
      </c>
      <c r="F1506" s="15"/>
      <c r="G1506" s="15"/>
    </row>
    <row r="1507" spans="1:126" x14ac:dyDescent="0.3">
      <c r="A1507" s="21"/>
      <c r="B1507" s="21" t="s">
        <v>171</v>
      </c>
      <c r="C1507" s="21"/>
      <c r="D1507" s="21" t="s">
        <v>14</v>
      </c>
      <c r="E1507" s="22">
        <f>2</f>
        <v>2</v>
      </c>
      <c r="F1507" s="22"/>
      <c r="G1507" s="22"/>
    </row>
    <row r="1508" spans="1:126" x14ac:dyDescent="0.3">
      <c r="A1508" s="5"/>
      <c r="B1508" s="5" t="s">
        <v>145</v>
      </c>
      <c r="C1508" s="5"/>
      <c r="D1508" s="5" t="s">
        <v>10</v>
      </c>
      <c r="E1508" s="15">
        <f>1</f>
        <v>1</v>
      </c>
      <c r="F1508" s="15"/>
      <c r="G1508" s="15"/>
    </row>
    <row r="1509" spans="1:126" x14ac:dyDescent="0.3">
      <c r="A1509" s="5"/>
      <c r="B1509" s="5" t="s">
        <v>142</v>
      </c>
      <c r="C1509" s="5"/>
      <c r="D1509" s="5" t="s">
        <v>8</v>
      </c>
      <c r="E1509" s="15">
        <f>0.2</f>
        <v>0.2</v>
      </c>
      <c r="F1509" s="15"/>
      <c r="G1509" s="15"/>
    </row>
    <row r="1510" spans="1:126" x14ac:dyDescent="0.3">
      <c r="A1510" s="21"/>
      <c r="B1510" s="21" t="s">
        <v>219</v>
      </c>
      <c r="C1510" s="21"/>
      <c r="D1510" s="21" t="s">
        <v>69</v>
      </c>
      <c r="E1510" s="22">
        <f>349.1</f>
        <v>349.1</v>
      </c>
      <c r="F1510" s="22"/>
      <c r="G1510" s="22"/>
    </row>
    <row r="1511" spans="1:126" x14ac:dyDescent="0.3">
      <c r="A1511" s="5"/>
      <c r="B1511" s="5" t="s">
        <v>220</v>
      </c>
      <c r="C1511" s="5"/>
      <c r="D1511" s="5" t="s">
        <v>72</v>
      </c>
      <c r="E1511" s="15">
        <v>1570.95</v>
      </c>
      <c r="F1511" s="15"/>
      <c r="G1511" s="15"/>
    </row>
    <row r="1512" spans="1:126" s="25" customFormat="1" x14ac:dyDescent="0.3">
      <c r="A1512" s="23"/>
      <c r="B1512" s="23" t="s">
        <v>334</v>
      </c>
      <c r="C1512" s="23"/>
      <c r="D1512" s="23"/>
      <c r="E1512" s="24"/>
      <c r="F1512" s="24"/>
      <c r="G1512" s="24"/>
      <c r="H1512" s="59"/>
      <c r="I1512" s="59"/>
      <c r="J1512" s="59"/>
      <c r="K1512" s="59"/>
      <c r="L1512" s="59"/>
      <c r="M1512" s="59"/>
      <c r="N1512" s="59"/>
      <c r="O1512" s="59"/>
      <c r="P1512" s="59"/>
      <c r="Q1512" s="59"/>
      <c r="R1512" s="59"/>
      <c r="S1512" s="59"/>
      <c r="T1512" s="59"/>
      <c r="U1512" s="59"/>
      <c r="V1512" s="59"/>
      <c r="W1512" s="59"/>
      <c r="X1512" s="59"/>
      <c r="Y1512" s="59"/>
      <c r="Z1512" s="59"/>
      <c r="AA1512" s="59"/>
      <c r="AB1512" s="59"/>
      <c r="AC1512" s="59"/>
      <c r="AD1512" s="59"/>
      <c r="AE1512" s="59"/>
      <c r="AF1512" s="59"/>
      <c r="AG1512" s="59"/>
      <c r="AH1512" s="59"/>
      <c r="AI1512" s="59"/>
      <c r="AJ1512" s="59"/>
      <c r="AK1512" s="59"/>
      <c r="AL1512" s="59"/>
      <c r="AM1512" s="59"/>
      <c r="AN1512" s="59"/>
      <c r="AO1512" s="59"/>
      <c r="AP1512" s="59"/>
      <c r="AQ1512" s="59"/>
      <c r="AR1512" s="59"/>
      <c r="AS1512" s="59"/>
      <c r="AT1512" s="59"/>
      <c r="AU1512" s="59"/>
      <c r="AV1512" s="59"/>
      <c r="AW1512" s="59"/>
      <c r="AX1512" s="59"/>
      <c r="AY1512" s="59"/>
      <c r="AZ1512" s="59"/>
      <c r="BA1512" s="59"/>
      <c r="BB1512" s="59"/>
      <c r="BC1512" s="59"/>
      <c r="BD1512" s="59"/>
      <c r="BE1512" s="59"/>
      <c r="BF1512" s="59"/>
      <c r="BG1512" s="59"/>
      <c r="BH1512" s="59"/>
      <c r="BI1512" s="59"/>
      <c r="BJ1512" s="59"/>
      <c r="BK1512" s="59"/>
      <c r="BL1512" s="59"/>
      <c r="BM1512" s="59"/>
      <c r="BN1512" s="59"/>
      <c r="BO1512" s="59"/>
      <c r="BP1512" s="59"/>
      <c r="BQ1512" s="59"/>
      <c r="BR1512" s="59"/>
      <c r="BS1512" s="59"/>
      <c r="BT1512" s="59"/>
      <c r="BU1512" s="59"/>
      <c r="BV1512" s="59"/>
      <c r="BW1512" s="59"/>
      <c r="BX1512" s="59"/>
      <c r="BY1512" s="59"/>
      <c r="BZ1512" s="59"/>
      <c r="CA1512" s="59"/>
      <c r="CB1512" s="59"/>
      <c r="CC1512" s="59"/>
      <c r="CD1512" s="59"/>
      <c r="CE1512" s="59"/>
      <c r="CF1512" s="59"/>
      <c r="CG1512" s="59"/>
      <c r="CH1512" s="59"/>
      <c r="CI1512" s="59"/>
      <c r="CJ1512" s="59"/>
      <c r="CK1512" s="59"/>
      <c r="CL1512" s="59"/>
      <c r="CM1512" s="59"/>
      <c r="CN1512" s="59"/>
      <c r="CO1512" s="59"/>
      <c r="CP1512" s="59"/>
      <c r="CQ1512" s="59"/>
      <c r="CR1512" s="59"/>
      <c r="CS1512" s="59"/>
      <c r="CT1512" s="59"/>
      <c r="CU1512" s="59"/>
      <c r="CV1512" s="59"/>
      <c r="CW1512" s="59"/>
      <c r="CX1512" s="59"/>
      <c r="CY1512" s="59"/>
      <c r="CZ1512" s="59"/>
      <c r="DA1512" s="59"/>
      <c r="DB1512" s="59"/>
      <c r="DC1512" s="59"/>
      <c r="DD1512" s="59"/>
      <c r="DE1512" s="59"/>
      <c r="DF1512" s="59"/>
      <c r="DG1512" s="59"/>
      <c r="DH1512" s="59"/>
      <c r="DI1512" s="59"/>
      <c r="DJ1512" s="59"/>
      <c r="DK1512" s="59"/>
      <c r="DL1512" s="59"/>
      <c r="DM1512" s="59"/>
      <c r="DN1512" s="59"/>
      <c r="DO1512" s="59"/>
      <c r="DP1512" s="59"/>
      <c r="DQ1512" s="59"/>
      <c r="DR1512" s="59"/>
      <c r="DS1512" s="59"/>
      <c r="DT1512" s="59"/>
      <c r="DU1512" s="59"/>
      <c r="DV1512" s="59"/>
    </row>
    <row r="1513" spans="1:126" s="3" customFormat="1" x14ac:dyDescent="0.3">
      <c r="A1513" s="21"/>
      <c r="B1513" s="21" t="s">
        <v>335</v>
      </c>
      <c r="C1513" s="21"/>
      <c r="D1513" s="21" t="s">
        <v>14</v>
      </c>
      <c r="E1513" s="22">
        <v>21</v>
      </c>
      <c r="F1513" s="22"/>
      <c r="G1513" s="22"/>
      <c r="H1513" s="59"/>
      <c r="I1513" s="59"/>
      <c r="J1513" s="59"/>
      <c r="K1513" s="59"/>
      <c r="L1513" s="59"/>
      <c r="M1513" s="59"/>
      <c r="N1513" s="59"/>
      <c r="O1513" s="59"/>
      <c r="P1513" s="59"/>
      <c r="Q1513" s="59"/>
      <c r="R1513" s="59"/>
      <c r="S1513" s="59"/>
      <c r="T1513" s="59"/>
      <c r="U1513" s="59"/>
      <c r="V1513" s="59"/>
      <c r="W1513" s="59"/>
      <c r="X1513" s="59"/>
      <c r="Y1513" s="59"/>
      <c r="Z1513" s="59"/>
      <c r="AA1513" s="59"/>
      <c r="AB1513" s="59"/>
      <c r="AC1513" s="59"/>
      <c r="AD1513" s="59"/>
      <c r="AE1513" s="59"/>
      <c r="AF1513" s="59"/>
      <c r="AG1513" s="59"/>
      <c r="AH1513" s="59"/>
      <c r="AI1513" s="59"/>
      <c r="AJ1513" s="59"/>
      <c r="AK1513" s="59"/>
      <c r="AL1513" s="59"/>
      <c r="AM1513" s="59"/>
      <c r="AN1513" s="59"/>
      <c r="AO1513" s="59"/>
      <c r="AP1513" s="59"/>
      <c r="AQ1513" s="59"/>
      <c r="AR1513" s="59"/>
      <c r="AS1513" s="59"/>
      <c r="AT1513" s="59"/>
      <c r="AU1513" s="59"/>
      <c r="AV1513" s="59"/>
      <c r="AW1513" s="59"/>
      <c r="AX1513" s="59"/>
      <c r="AY1513" s="59"/>
      <c r="AZ1513" s="59"/>
      <c r="BA1513" s="59"/>
      <c r="BB1513" s="59"/>
      <c r="BC1513" s="59"/>
      <c r="BD1513" s="59"/>
      <c r="BE1513" s="59"/>
      <c r="BF1513" s="59"/>
      <c r="BG1513" s="59"/>
      <c r="BH1513" s="59"/>
      <c r="BI1513" s="59"/>
      <c r="BJ1513" s="59"/>
      <c r="BK1513" s="59"/>
      <c r="BL1513" s="59"/>
      <c r="BM1513" s="59"/>
      <c r="BN1513" s="59"/>
      <c r="BO1513" s="59"/>
      <c r="BP1513" s="59"/>
      <c r="BQ1513" s="59"/>
      <c r="BR1513" s="59"/>
      <c r="BS1513" s="59"/>
      <c r="BT1513" s="59"/>
      <c r="BU1513" s="59"/>
      <c r="BV1513" s="59"/>
      <c r="BW1513" s="59"/>
      <c r="BX1513" s="59"/>
      <c r="BY1513" s="59"/>
      <c r="BZ1513" s="59"/>
      <c r="CA1513" s="59"/>
      <c r="CB1513" s="59"/>
      <c r="CC1513" s="59"/>
      <c r="CD1513" s="59"/>
      <c r="CE1513" s="59"/>
      <c r="CF1513" s="59"/>
      <c r="CG1513" s="59"/>
      <c r="CH1513" s="59"/>
      <c r="CI1513" s="59"/>
      <c r="CJ1513" s="59"/>
      <c r="CK1513" s="59"/>
      <c r="CL1513" s="59"/>
      <c r="CM1513" s="59"/>
      <c r="CN1513" s="59"/>
      <c r="CO1513" s="59"/>
      <c r="CP1513" s="59"/>
      <c r="CQ1513" s="59"/>
      <c r="CR1513" s="59"/>
      <c r="CS1513" s="59"/>
      <c r="CT1513" s="59"/>
      <c r="CU1513" s="59"/>
      <c r="CV1513" s="59"/>
      <c r="CW1513" s="59"/>
      <c r="CX1513" s="59"/>
      <c r="CY1513" s="59"/>
      <c r="CZ1513" s="59"/>
      <c r="DA1513" s="59"/>
      <c r="DB1513" s="59"/>
      <c r="DC1513" s="59"/>
      <c r="DD1513" s="59"/>
      <c r="DE1513" s="59"/>
      <c r="DF1513" s="59"/>
      <c r="DG1513" s="59"/>
      <c r="DH1513" s="59"/>
      <c r="DI1513" s="59"/>
      <c r="DJ1513" s="59"/>
      <c r="DK1513" s="59"/>
      <c r="DL1513" s="59"/>
      <c r="DM1513" s="59"/>
      <c r="DN1513" s="59"/>
      <c r="DO1513" s="59"/>
      <c r="DP1513" s="59"/>
      <c r="DQ1513" s="59"/>
      <c r="DR1513" s="59"/>
      <c r="DS1513" s="59"/>
      <c r="DT1513" s="59"/>
      <c r="DU1513" s="59"/>
      <c r="DV1513" s="59"/>
    </row>
    <row r="1514" spans="1:126" x14ac:dyDescent="0.3">
      <c r="A1514" s="5"/>
      <c r="B1514" s="5" t="s">
        <v>122</v>
      </c>
      <c r="C1514" s="5"/>
      <c r="D1514" s="5" t="s">
        <v>10</v>
      </c>
      <c r="E1514" s="15">
        <f>1525.1</f>
        <v>1525.1</v>
      </c>
      <c r="F1514" s="15"/>
      <c r="G1514" s="15"/>
    </row>
    <row r="1515" spans="1:126" x14ac:dyDescent="0.3">
      <c r="A1515" s="5"/>
      <c r="B1515" s="5" t="s">
        <v>129</v>
      </c>
      <c r="C1515" s="5"/>
      <c r="D1515" s="5" t="s">
        <v>8</v>
      </c>
      <c r="E1515" s="15">
        <f>328.7</f>
        <v>328.7</v>
      </c>
      <c r="F1515" s="15"/>
      <c r="G1515" s="15"/>
    </row>
    <row r="1516" spans="1:126" x14ac:dyDescent="0.3">
      <c r="A1516" s="5"/>
      <c r="B1516" s="5" t="s">
        <v>124</v>
      </c>
      <c r="C1516" s="5"/>
      <c r="D1516" s="5" t="s">
        <v>8</v>
      </c>
      <c r="E1516" s="15">
        <f>2.6</f>
        <v>2.6</v>
      </c>
      <c r="F1516" s="15"/>
      <c r="G1516" s="15"/>
    </row>
    <row r="1517" spans="1:126" x14ac:dyDescent="0.3">
      <c r="A1517" s="5"/>
      <c r="B1517" s="5" t="s">
        <v>205</v>
      </c>
      <c r="C1517" s="5"/>
      <c r="D1517" s="5" t="s">
        <v>8</v>
      </c>
      <c r="E1517" s="15">
        <f>22.2</f>
        <v>22.2</v>
      </c>
      <c r="F1517" s="15"/>
      <c r="G1517" s="15"/>
    </row>
    <row r="1518" spans="1:126" x14ac:dyDescent="0.3">
      <c r="A1518" s="5"/>
      <c r="B1518" s="5" t="s">
        <v>206</v>
      </c>
      <c r="C1518" s="5"/>
      <c r="D1518" s="5" t="s">
        <v>8</v>
      </c>
      <c r="E1518" s="15">
        <f>18.4</f>
        <v>18.399999999999999</v>
      </c>
      <c r="F1518" s="15"/>
      <c r="G1518" s="15"/>
    </row>
    <row r="1519" spans="1:126" x14ac:dyDescent="0.3">
      <c r="A1519" s="5"/>
      <c r="B1519" s="5" t="s">
        <v>223</v>
      </c>
      <c r="C1519" s="5"/>
      <c r="D1519" s="5" t="s">
        <v>8</v>
      </c>
      <c r="E1519" s="15">
        <f>5.4</f>
        <v>5.4</v>
      </c>
      <c r="F1519" s="15"/>
      <c r="G1519" s="15"/>
    </row>
    <row r="1520" spans="1:126" x14ac:dyDescent="0.3">
      <c r="A1520" s="5"/>
      <c r="B1520" s="5" t="s">
        <v>209</v>
      </c>
      <c r="C1520" s="5"/>
      <c r="D1520" s="5" t="s">
        <v>8</v>
      </c>
      <c r="E1520" s="15">
        <f>2.2*0.4</f>
        <v>0.88000000000000012</v>
      </c>
      <c r="F1520" s="15"/>
      <c r="G1520" s="15"/>
    </row>
    <row r="1521" spans="1:126" s="3" customFormat="1" x14ac:dyDescent="0.3">
      <c r="A1521" s="21"/>
      <c r="B1521" s="21" t="s">
        <v>127</v>
      </c>
      <c r="C1521" s="21"/>
      <c r="D1521" s="21" t="s">
        <v>14</v>
      </c>
      <c r="E1521" s="22">
        <f>1</f>
        <v>1</v>
      </c>
      <c r="F1521" s="22"/>
      <c r="G1521" s="22"/>
      <c r="H1521" s="59"/>
      <c r="I1521" s="59"/>
      <c r="J1521" s="59"/>
      <c r="K1521" s="59"/>
      <c r="L1521" s="59"/>
      <c r="M1521" s="59"/>
      <c r="N1521" s="59"/>
      <c r="O1521" s="59"/>
      <c r="P1521" s="59"/>
      <c r="Q1521" s="59"/>
      <c r="R1521" s="59"/>
      <c r="S1521" s="59"/>
      <c r="T1521" s="59"/>
      <c r="U1521" s="59"/>
      <c r="V1521" s="59"/>
      <c r="W1521" s="59"/>
      <c r="X1521" s="59"/>
      <c r="Y1521" s="59"/>
      <c r="Z1521" s="59"/>
      <c r="AA1521" s="59"/>
      <c r="AB1521" s="59"/>
      <c r="AC1521" s="59"/>
      <c r="AD1521" s="59"/>
      <c r="AE1521" s="59"/>
      <c r="AF1521" s="59"/>
      <c r="AG1521" s="59"/>
      <c r="AH1521" s="59"/>
      <c r="AI1521" s="59"/>
      <c r="AJ1521" s="59"/>
      <c r="AK1521" s="59"/>
      <c r="AL1521" s="59"/>
      <c r="AM1521" s="59"/>
      <c r="AN1521" s="59"/>
      <c r="AO1521" s="59"/>
      <c r="AP1521" s="59"/>
      <c r="AQ1521" s="59"/>
      <c r="AR1521" s="59"/>
      <c r="AS1521" s="59"/>
      <c r="AT1521" s="59"/>
      <c r="AU1521" s="59"/>
      <c r="AV1521" s="59"/>
      <c r="AW1521" s="59"/>
      <c r="AX1521" s="59"/>
      <c r="AY1521" s="59"/>
      <c r="AZ1521" s="59"/>
      <c r="BA1521" s="59"/>
      <c r="BB1521" s="59"/>
      <c r="BC1521" s="59"/>
      <c r="BD1521" s="59"/>
      <c r="BE1521" s="59"/>
      <c r="BF1521" s="59"/>
      <c r="BG1521" s="59"/>
      <c r="BH1521" s="59"/>
      <c r="BI1521" s="59"/>
      <c r="BJ1521" s="59"/>
      <c r="BK1521" s="59"/>
      <c r="BL1521" s="59"/>
      <c r="BM1521" s="59"/>
      <c r="BN1521" s="59"/>
      <c r="BO1521" s="59"/>
      <c r="BP1521" s="59"/>
      <c r="BQ1521" s="59"/>
      <c r="BR1521" s="59"/>
      <c r="BS1521" s="59"/>
      <c r="BT1521" s="59"/>
      <c r="BU1521" s="59"/>
      <c r="BV1521" s="59"/>
      <c r="BW1521" s="59"/>
      <c r="BX1521" s="59"/>
      <c r="BY1521" s="59"/>
      <c r="BZ1521" s="59"/>
      <c r="CA1521" s="59"/>
      <c r="CB1521" s="59"/>
      <c r="CC1521" s="59"/>
      <c r="CD1521" s="59"/>
      <c r="CE1521" s="59"/>
      <c r="CF1521" s="59"/>
      <c r="CG1521" s="59"/>
      <c r="CH1521" s="59"/>
      <c r="CI1521" s="59"/>
      <c r="CJ1521" s="59"/>
      <c r="CK1521" s="59"/>
      <c r="CL1521" s="59"/>
      <c r="CM1521" s="59"/>
      <c r="CN1521" s="59"/>
      <c r="CO1521" s="59"/>
      <c r="CP1521" s="59"/>
      <c r="CQ1521" s="59"/>
      <c r="CR1521" s="59"/>
      <c r="CS1521" s="59"/>
      <c r="CT1521" s="59"/>
      <c r="CU1521" s="59"/>
      <c r="CV1521" s="59"/>
      <c r="CW1521" s="59"/>
      <c r="CX1521" s="59"/>
      <c r="CY1521" s="59"/>
      <c r="CZ1521" s="59"/>
      <c r="DA1521" s="59"/>
      <c r="DB1521" s="59"/>
      <c r="DC1521" s="59"/>
      <c r="DD1521" s="59"/>
      <c r="DE1521" s="59"/>
      <c r="DF1521" s="59"/>
      <c r="DG1521" s="59"/>
      <c r="DH1521" s="59"/>
      <c r="DI1521" s="59"/>
      <c r="DJ1521" s="59"/>
      <c r="DK1521" s="59"/>
      <c r="DL1521" s="59"/>
      <c r="DM1521" s="59"/>
      <c r="DN1521" s="59"/>
      <c r="DO1521" s="59"/>
      <c r="DP1521" s="59"/>
      <c r="DQ1521" s="59"/>
      <c r="DR1521" s="59"/>
      <c r="DS1521" s="59"/>
      <c r="DT1521" s="59"/>
      <c r="DU1521" s="59"/>
      <c r="DV1521" s="59"/>
    </row>
    <row r="1522" spans="1:126" x14ac:dyDescent="0.3">
      <c r="A1522" s="5"/>
      <c r="B1522" s="5" t="s">
        <v>308</v>
      </c>
      <c r="C1522" s="5"/>
      <c r="D1522" s="5" t="s">
        <v>10</v>
      </c>
      <c r="E1522" s="15">
        <f>15.4</f>
        <v>15.4</v>
      </c>
      <c r="F1522" s="15"/>
      <c r="G1522" s="15"/>
    </row>
    <row r="1523" spans="1:126" x14ac:dyDescent="0.3">
      <c r="A1523" s="5"/>
      <c r="B1523" s="5" t="s">
        <v>210</v>
      </c>
      <c r="C1523" s="5"/>
      <c r="D1523" s="5" t="s">
        <v>10</v>
      </c>
      <c r="E1523" s="15">
        <f>403.5</f>
        <v>403.5</v>
      </c>
      <c r="F1523" s="15"/>
      <c r="G1523" s="15"/>
    </row>
    <row r="1524" spans="1:126" x14ac:dyDescent="0.3">
      <c r="A1524" s="5"/>
      <c r="B1524" s="5" t="s">
        <v>123</v>
      </c>
      <c r="C1524" s="5"/>
      <c r="D1524" s="5" t="s">
        <v>8</v>
      </c>
      <c r="E1524" s="15">
        <f>46.5</f>
        <v>46.5</v>
      </c>
      <c r="F1524" s="15"/>
      <c r="G1524" s="15"/>
    </row>
    <row r="1525" spans="1:126" x14ac:dyDescent="0.3">
      <c r="A1525" s="5"/>
      <c r="B1525" s="5" t="s">
        <v>124</v>
      </c>
      <c r="C1525" s="5"/>
      <c r="D1525" s="5" t="s">
        <v>8</v>
      </c>
      <c r="E1525" s="15">
        <f>6.8</f>
        <v>6.8</v>
      </c>
      <c r="F1525" s="15"/>
      <c r="G1525" s="15"/>
    </row>
    <row r="1526" spans="1:126" x14ac:dyDescent="0.3">
      <c r="A1526" s="5"/>
      <c r="B1526" s="5" t="s">
        <v>205</v>
      </c>
      <c r="C1526" s="5"/>
      <c r="D1526" s="5" t="s">
        <v>8</v>
      </c>
      <c r="E1526" s="15">
        <f>3</f>
        <v>3</v>
      </c>
      <c r="F1526" s="15"/>
      <c r="G1526" s="15"/>
    </row>
    <row r="1527" spans="1:126" x14ac:dyDescent="0.3">
      <c r="A1527" s="5"/>
      <c r="B1527" s="5" t="s">
        <v>211</v>
      </c>
      <c r="C1527" s="5"/>
      <c r="D1527" s="5" t="s">
        <v>8</v>
      </c>
      <c r="E1527" s="15">
        <f>0.5</f>
        <v>0.5</v>
      </c>
      <c r="F1527" s="15"/>
      <c r="G1527" s="15"/>
    </row>
    <row r="1528" spans="1:126" s="3" customFormat="1" x14ac:dyDescent="0.3">
      <c r="A1528" s="21"/>
      <c r="B1528" s="21" t="s">
        <v>212</v>
      </c>
      <c r="C1528" s="21"/>
      <c r="D1528" s="21" t="s">
        <v>14</v>
      </c>
      <c r="E1528" s="22">
        <f>2</f>
        <v>2</v>
      </c>
      <c r="F1528" s="22"/>
      <c r="G1528" s="22"/>
      <c r="H1528" s="59"/>
      <c r="I1528" s="59"/>
      <c r="J1528" s="59"/>
      <c r="K1528" s="59"/>
      <c r="L1528" s="59"/>
      <c r="M1528" s="59"/>
      <c r="N1528" s="59"/>
      <c r="O1528" s="59"/>
      <c r="P1528" s="59"/>
      <c r="Q1528" s="59"/>
      <c r="R1528" s="59"/>
      <c r="S1528" s="59"/>
      <c r="T1528" s="59"/>
      <c r="U1528" s="59"/>
      <c r="V1528" s="59"/>
      <c r="W1528" s="59"/>
      <c r="X1528" s="59"/>
      <c r="Y1528" s="59"/>
      <c r="Z1528" s="59"/>
      <c r="AA1528" s="59"/>
      <c r="AB1528" s="59"/>
      <c r="AC1528" s="59"/>
      <c r="AD1528" s="59"/>
      <c r="AE1528" s="59"/>
      <c r="AF1528" s="59"/>
      <c r="AG1528" s="59"/>
      <c r="AH1528" s="59"/>
      <c r="AI1528" s="59"/>
      <c r="AJ1528" s="59"/>
      <c r="AK1528" s="59"/>
      <c r="AL1528" s="59"/>
      <c r="AM1528" s="59"/>
      <c r="AN1528" s="59"/>
      <c r="AO1528" s="59"/>
      <c r="AP1528" s="59"/>
      <c r="AQ1528" s="59"/>
      <c r="AR1528" s="59"/>
      <c r="AS1528" s="59"/>
      <c r="AT1528" s="59"/>
      <c r="AU1528" s="59"/>
      <c r="AV1528" s="59"/>
      <c r="AW1528" s="59"/>
      <c r="AX1528" s="59"/>
      <c r="AY1528" s="59"/>
      <c r="AZ1528" s="59"/>
      <c r="BA1528" s="59"/>
      <c r="BB1528" s="59"/>
      <c r="BC1528" s="59"/>
      <c r="BD1528" s="59"/>
      <c r="BE1528" s="59"/>
      <c r="BF1528" s="59"/>
      <c r="BG1528" s="59"/>
      <c r="BH1528" s="59"/>
      <c r="BI1528" s="59"/>
      <c r="BJ1528" s="59"/>
      <c r="BK1528" s="59"/>
      <c r="BL1528" s="59"/>
      <c r="BM1528" s="59"/>
      <c r="BN1528" s="59"/>
      <c r="BO1528" s="59"/>
      <c r="BP1528" s="59"/>
      <c r="BQ1528" s="59"/>
      <c r="BR1528" s="59"/>
      <c r="BS1528" s="59"/>
      <c r="BT1528" s="59"/>
      <c r="BU1528" s="59"/>
      <c r="BV1528" s="59"/>
      <c r="BW1528" s="59"/>
      <c r="BX1528" s="59"/>
      <c r="BY1528" s="59"/>
      <c r="BZ1528" s="59"/>
      <c r="CA1528" s="59"/>
      <c r="CB1528" s="59"/>
      <c r="CC1528" s="59"/>
      <c r="CD1528" s="59"/>
      <c r="CE1528" s="59"/>
      <c r="CF1528" s="59"/>
      <c r="CG1528" s="59"/>
      <c r="CH1528" s="59"/>
      <c r="CI1528" s="59"/>
      <c r="CJ1528" s="59"/>
      <c r="CK1528" s="59"/>
      <c r="CL1528" s="59"/>
      <c r="CM1528" s="59"/>
      <c r="CN1528" s="59"/>
      <c r="CO1528" s="59"/>
      <c r="CP1528" s="59"/>
      <c r="CQ1528" s="59"/>
      <c r="CR1528" s="59"/>
      <c r="CS1528" s="59"/>
      <c r="CT1528" s="59"/>
      <c r="CU1528" s="59"/>
      <c r="CV1528" s="59"/>
      <c r="CW1528" s="59"/>
      <c r="CX1528" s="59"/>
      <c r="CY1528" s="59"/>
      <c r="CZ1528" s="59"/>
      <c r="DA1528" s="59"/>
      <c r="DB1528" s="59"/>
      <c r="DC1528" s="59"/>
      <c r="DD1528" s="59"/>
      <c r="DE1528" s="59"/>
      <c r="DF1528" s="59"/>
      <c r="DG1528" s="59"/>
      <c r="DH1528" s="59"/>
      <c r="DI1528" s="59"/>
      <c r="DJ1528" s="59"/>
      <c r="DK1528" s="59"/>
      <c r="DL1528" s="59"/>
      <c r="DM1528" s="59"/>
      <c r="DN1528" s="59"/>
      <c r="DO1528" s="59"/>
      <c r="DP1528" s="59"/>
      <c r="DQ1528" s="59"/>
      <c r="DR1528" s="59"/>
      <c r="DS1528" s="59"/>
      <c r="DT1528" s="59"/>
      <c r="DU1528" s="59"/>
      <c r="DV1528" s="59"/>
    </row>
    <row r="1529" spans="1:126" x14ac:dyDescent="0.3">
      <c r="A1529" s="5"/>
      <c r="B1529" s="5" t="s">
        <v>213</v>
      </c>
      <c r="C1529" s="5"/>
      <c r="D1529" s="5" t="s">
        <v>10</v>
      </c>
      <c r="E1529" s="15">
        <f>89.8</f>
        <v>89.8</v>
      </c>
      <c r="F1529" s="15"/>
      <c r="G1529" s="15"/>
    </row>
    <row r="1530" spans="1:126" x14ac:dyDescent="0.3">
      <c r="A1530" s="5"/>
      <c r="B1530" s="5" t="s">
        <v>123</v>
      </c>
      <c r="C1530" s="5"/>
      <c r="D1530" s="5" t="s">
        <v>8</v>
      </c>
      <c r="E1530" s="15">
        <f>22.4</f>
        <v>22.4</v>
      </c>
      <c r="F1530" s="15"/>
      <c r="G1530" s="15"/>
    </row>
    <row r="1531" spans="1:126" x14ac:dyDescent="0.3">
      <c r="A1531" s="5"/>
      <c r="B1531" s="5" t="s">
        <v>131</v>
      </c>
      <c r="C1531" s="5"/>
      <c r="D1531" s="5" t="s">
        <v>8</v>
      </c>
      <c r="E1531" s="15">
        <f>1.5</f>
        <v>1.5</v>
      </c>
      <c r="F1531" s="15"/>
      <c r="G1531" s="15"/>
    </row>
    <row r="1532" spans="1:126" x14ac:dyDescent="0.3">
      <c r="A1532" s="5"/>
      <c r="B1532" s="5" t="s">
        <v>124</v>
      </c>
      <c r="C1532" s="5"/>
      <c r="D1532" s="5" t="s">
        <v>8</v>
      </c>
      <c r="E1532" s="15">
        <f>0.1</f>
        <v>0.1</v>
      </c>
      <c r="F1532" s="15"/>
      <c r="G1532" s="15"/>
    </row>
    <row r="1533" spans="1:126" x14ac:dyDescent="0.3">
      <c r="A1533" s="5"/>
      <c r="B1533" s="5" t="s">
        <v>136</v>
      </c>
      <c r="C1533" s="5"/>
      <c r="D1533" s="5" t="s">
        <v>8</v>
      </c>
      <c r="E1533" s="15">
        <f>0.3</f>
        <v>0.3</v>
      </c>
      <c r="F1533" s="15"/>
      <c r="G1533" s="15"/>
    </row>
    <row r="1534" spans="1:126" x14ac:dyDescent="0.3">
      <c r="A1534" s="5"/>
      <c r="B1534" s="5" t="s">
        <v>205</v>
      </c>
      <c r="C1534" s="5"/>
      <c r="D1534" s="5" t="s">
        <v>8</v>
      </c>
      <c r="E1534" s="15">
        <f>1.2</f>
        <v>1.2</v>
      </c>
      <c r="F1534" s="15"/>
      <c r="G1534" s="15"/>
    </row>
    <row r="1535" spans="1:126" s="3" customFormat="1" x14ac:dyDescent="0.3">
      <c r="A1535" s="21"/>
      <c r="B1535" s="21" t="s">
        <v>214</v>
      </c>
      <c r="C1535" s="21"/>
      <c r="D1535" s="21" t="s">
        <v>14</v>
      </c>
      <c r="E1535" s="22">
        <f>1</f>
        <v>1</v>
      </c>
      <c r="F1535" s="22"/>
      <c r="G1535" s="22"/>
      <c r="H1535" s="59"/>
      <c r="I1535" s="59"/>
      <c r="J1535" s="59"/>
      <c r="K1535" s="59"/>
      <c r="L1535" s="59"/>
      <c r="M1535" s="59"/>
      <c r="N1535" s="59"/>
      <c r="O1535" s="59"/>
      <c r="P1535" s="59"/>
      <c r="Q1535" s="59"/>
      <c r="R1535" s="59"/>
      <c r="S1535" s="59"/>
      <c r="T1535" s="59"/>
      <c r="U1535" s="59"/>
      <c r="V1535" s="59"/>
      <c r="W1535" s="59"/>
      <c r="X1535" s="59"/>
      <c r="Y1535" s="59"/>
      <c r="Z1535" s="59"/>
      <c r="AA1535" s="59"/>
      <c r="AB1535" s="59"/>
      <c r="AC1535" s="59"/>
      <c r="AD1535" s="59"/>
      <c r="AE1535" s="59"/>
      <c r="AF1535" s="59"/>
      <c r="AG1535" s="59"/>
      <c r="AH1535" s="59"/>
      <c r="AI1535" s="59"/>
      <c r="AJ1535" s="59"/>
      <c r="AK1535" s="59"/>
      <c r="AL1535" s="59"/>
      <c r="AM1535" s="59"/>
      <c r="AN1535" s="59"/>
      <c r="AO1535" s="59"/>
      <c r="AP1535" s="59"/>
      <c r="AQ1535" s="59"/>
      <c r="AR1535" s="59"/>
      <c r="AS1535" s="59"/>
      <c r="AT1535" s="59"/>
      <c r="AU1535" s="59"/>
      <c r="AV1535" s="59"/>
      <c r="AW1535" s="59"/>
      <c r="AX1535" s="59"/>
      <c r="AY1535" s="59"/>
      <c r="AZ1535" s="59"/>
      <c r="BA1535" s="59"/>
      <c r="BB1535" s="59"/>
      <c r="BC1535" s="59"/>
      <c r="BD1535" s="59"/>
      <c r="BE1535" s="59"/>
      <c r="BF1535" s="59"/>
      <c r="BG1535" s="59"/>
      <c r="BH1535" s="59"/>
      <c r="BI1535" s="59"/>
      <c r="BJ1535" s="59"/>
      <c r="BK1535" s="59"/>
      <c r="BL1535" s="59"/>
      <c r="BM1535" s="59"/>
      <c r="BN1535" s="59"/>
      <c r="BO1535" s="59"/>
      <c r="BP1535" s="59"/>
      <c r="BQ1535" s="59"/>
      <c r="BR1535" s="59"/>
      <c r="BS1535" s="59"/>
      <c r="BT1535" s="59"/>
      <c r="BU1535" s="59"/>
      <c r="BV1535" s="59"/>
      <c r="BW1535" s="59"/>
      <c r="BX1535" s="59"/>
      <c r="BY1535" s="59"/>
      <c r="BZ1535" s="59"/>
      <c r="CA1535" s="59"/>
      <c r="CB1535" s="59"/>
      <c r="CC1535" s="59"/>
      <c r="CD1535" s="59"/>
      <c r="CE1535" s="59"/>
      <c r="CF1535" s="59"/>
      <c r="CG1535" s="59"/>
      <c r="CH1535" s="59"/>
      <c r="CI1535" s="59"/>
      <c r="CJ1535" s="59"/>
      <c r="CK1535" s="59"/>
      <c r="CL1535" s="59"/>
      <c r="CM1535" s="59"/>
      <c r="CN1535" s="59"/>
      <c r="CO1535" s="59"/>
      <c r="CP1535" s="59"/>
      <c r="CQ1535" s="59"/>
      <c r="CR1535" s="59"/>
      <c r="CS1535" s="59"/>
      <c r="CT1535" s="59"/>
      <c r="CU1535" s="59"/>
      <c r="CV1535" s="59"/>
      <c r="CW1535" s="59"/>
      <c r="CX1535" s="59"/>
      <c r="CY1535" s="59"/>
      <c r="CZ1535" s="59"/>
      <c r="DA1535" s="59"/>
      <c r="DB1535" s="59"/>
      <c r="DC1535" s="59"/>
      <c r="DD1535" s="59"/>
      <c r="DE1535" s="59"/>
      <c r="DF1535" s="59"/>
      <c r="DG1535" s="59"/>
      <c r="DH1535" s="59"/>
      <c r="DI1535" s="59"/>
      <c r="DJ1535" s="59"/>
      <c r="DK1535" s="59"/>
      <c r="DL1535" s="59"/>
      <c r="DM1535" s="59"/>
      <c r="DN1535" s="59"/>
      <c r="DO1535" s="59"/>
      <c r="DP1535" s="59"/>
      <c r="DQ1535" s="59"/>
      <c r="DR1535" s="59"/>
      <c r="DS1535" s="59"/>
      <c r="DT1535" s="59"/>
      <c r="DU1535" s="59"/>
      <c r="DV1535" s="59"/>
    </row>
    <row r="1536" spans="1:126" x14ac:dyDescent="0.3">
      <c r="A1536" s="5"/>
      <c r="B1536" s="5" t="s">
        <v>215</v>
      </c>
      <c r="C1536" s="5"/>
      <c r="D1536" s="5" t="s">
        <v>10</v>
      </c>
      <c r="E1536" s="15">
        <v>69.2</v>
      </c>
      <c r="F1536" s="15"/>
      <c r="G1536" s="15"/>
    </row>
    <row r="1537" spans="1:126" x14ac:dyDescent="0.3">
      <c r="A1537" s="5"/>
      <c r="B1537" s="5" t="s">
        <v>129</v>
      </c>
      <c r="C1537" s="5"/>
      <c r="D1537" s="5" t="s">
        <v>8</v>
      </c>
      <c r="E1537" s="15">
        <f>2.8</f>
        <v>2.8</v>
      </c>
      <c r="F1537" s="15"/>
      <c r="G1537" s="15"/>
    </row>
    <row r="1538" spans="1:126" x14ac:dyDescent="0.3">
      <c r="A1538" s="5"/>
      <c r="B1538" s="5" t="s">
        <v>131</v>
      </c>
      <c r="C1538" s="5"/>
      <c r="D1538" s="5" t="s">
        <v>8</v>
      </c>
      <c r="E1538" s="15">
        <f>1.3</f>
        <v>1.3</v>
      </c>
      <c r="F1538" s="15"/>
      <c r="G1538" s="15"/>
    </row>
    <row r="1539" spans="1:126" x14ac:dyDescent="0.3">
      <c r="A1539" s="5"/>
      <c r="B1539" s="5" t="s">
        <v>124</v>
      </c>
      <c r="C1539" s="5"/>
      <c r="D1539" s="5" t="s">
        <v>8</v>
      </c>
      <c r="E1539" s="15">
        <f>0.6</f>
        <v>0.6</v>
      </c>
      <c r="F1539" s="15"/>
      <c r="G1539" s="15"/>
    </row>
    <row r="1540" spans="1:126" x14ac:dyDescent="0.3">
      <c r="A1540" s="5"/>
      <c r="B1540" s="5" t="s">
        <v>142</v>
      </c>
      <c r="C1540" s="5"/>
      <c r="D1540" s="5" t="s">
        <v>8</v>
      </c>
      <c r="E1540" s="15">
        <f>0.4</f>
        <v>0.4</v>
      </c>
      <c r="F1540" s="15"/>
      <c r="G1540" s="15"/>
    </row>
    <row r="1541" spans="1:126" x14ac:dyDescent="0.3">
      <c r="A1541" s="5"/>
      <c r="B1541" s="5" t="s">
        <v>205</v>
      </c>
      <c r="C1541" s="5"/>
      <c r="D1541" s="5" t="s">
        <v>8</v>
      </c>
      <c r="E1541" s="15">
        <f>0.6</f>
        <v>0.6</v>
      </c>
      <c r="F1541" s="15"/>
      <c r="G1541" s="15"/>
    </row>
    <row r="1542" spans="1:126" s="3" customFormat="1" x14ac:dyDescent="0.3">
      <c r="A1542" s="21"/>
      <c r="B1542" s="21" t="s">
        <v>216</v>
      </c>
      <c r="C1542" s="21"/>
      <c r="D1542" s="21" t="s">
        <v>14</v>
      </c>
      <c r="E1542" s="22">
        <f>1</f>
        <v>1</v>
      </c>
      <c r="F1542" s="22"/>
      <c r="G1542" s="22"/>
      <c r="H1542" s="59"/>
      <c r="I1542" s="59"/>
      <c r="J1542" s="59"/>
      <c r="K1542" s="59"/>
      <c r="L1542" s="59"/>
      <c r="M1542" s="59"/>
      <c r="N1542" s="59"/>
      <c r="O1542" s="59"/>
      <c r="P1542" s="59"/>
      <c r="Q1542" s="59"/>
      <c r="R1542" s="59"/>
      <c r="S1542" s="59"/>
      <c r="T1542" s="59"/>
      <c r="U1542" s="59"/>
      <c r="V1542" s="59"/>
      <c r="W1542" s="59"/>
      <c r="X1542" s="59"/>
      <c r="Y1542" s="59"/>
      <c r="Z1542" s="59"/>
      <c r="AA1542" s="59"/>
      <c r="AB1542" s="59"/>
      <c r="AC1542" s="59"/>
      <c r="AD1542" s="59"/>
      <c r="AE1542" s="59"/>
      <c r="AF1542" s="59"/>
      <c r="AG1542" s="59"/>
      <c r="AH1542" s="59"/>
      <c r="AI1542" s="59"/>
      <c r="AJ1542" s="59"/>
      <c r="AK1542" s="59"/>
      <c r="AL1542" s="59"/>
      <c r="AM1542" s="59"/>
      <c r="AN1542" s="59"/>
      <c r="AO1542" s="59"/>
      <c r="AP1542" s="59"/>
      <c r="AQ1542" s="59"/>
      <c r="AR1542" s="59"/>
      <c r="AS1542" s="59"/>
      <c r="AT1542" s="59"/>
      <c r="AU1542" s="59"/>
      <c r="AV1542" s="59"/>
      <c r="AW1542" s="59"/>
      <c r="AX1542" s="59"/>
      <c r="AY1542" s="59"/>
      <c r="AZ1542" s="59"/>
      <c r="BA1542" s="59"/>
      <c r="BB1542" s="59"/>
      <c r="BC1542" s="59"/>
      <c r="BD1542" s="59"/>
      <c r="BE1542" s="59"/>
      <c r="BF1542" s="59"/>
      <c r="BG1542" s="59"/>
      <c r="BH1542" s="59"/>
      <c r="BI1542" s="59"/>
      <c r="BJ1542" s="59"/>
      <c r="BK1542" s="59"/>
      <c r="BL1542" s="59"/>
      <c r="BM1542" s="59"/>
      <c r="BN1542" s="59"/>
      <c r="BO1542" s="59"/>
      <c r="BP1542" s="59"/>
      <c r="BQ1542" s="59"/>
      <c r="BR1542" s="59"/>
      <c r="BS1542" s="59"/>
      <c r="BT1542" s="59"/>
      <c r="BU1542" s="59"/>
      <c r="BV1542" s="59"/>
      <c r="BW1542" s="59"/>
      <c r="BX1542" s="59"/>
      <c r="BY1542" s="59"/>
      <c r="BZ1542" s="59"/>
      <c r="CA1542" s="59"/>
      <c r="CB1542" s="59"/>
      <c r="CC1542" s="59"/>
      <c r="CD1542" s="59"/>
      <c r="CE1542" s="59"/>
      <c r="CF1542" s="59"/>
      <c r="CG1542" s="59"/>
      <c r="CH1542" s="59"/>
      <c r="CI1542" s="59"/>
      <c r="CJ1542" s="59"/>
      <c r="CK1542" s="59"/>
      <c r="CL1542" s="59"/>
      <c r="CM1542" s="59"/>
      <c r="CN1542" s="59"/>
      <c r="CO1542" s="59"/>
      <c r="CP1542" s="59"/>
      <c r="CQ1542" s="59"/>
      <c r="CR1542" s="59"/>
      <c r="CS1542" s="59"/>
      <c r="CT1542" s="59"/>
      <c r="CU1542" s="59"/>
      <c r="CV1542" s="59"/>
      <c r="CW1542" s="59"/>
      <c r="CX1542" s="59"/>
      <c r="CY1542" s="59"/>
      <c r="CZ1542" s="59"/>
      <c r="DA1542" s="59"/>
      <c r="DB1542" s="59"/>
      <c r="DC1542" s="59"/>
      <c r="DD1542" s="59"/>
      <c r="DE1542" s="59"/>
      <c r="DF1542" s="59"/>
      <c r="DG1542" s="59"/>
      <c r="DH1542" s="59"/>
      <c r="DI1542" s="59"/>
      <c r="DJ1542" s="59"/>
      <c r="DK1542" s="59"/>
      <c r="DL1542" s="59"/>
      <c r="DM1542" s="59"/>
      <c r="DN1542" s="59"/>
      <c r="DO1542" s="59"/>
      <c r="DP1542" s="59"/>
      <c r="DQ1542" s="59"/>
      <c r="DR1542" s="59"/>
      <c r="DS1542" s="59"/>
      <c r="DT1542" s="59"/>
      <c r="DU1542" s="59"/>
      <c r="DV1542" s="59"/>
    </row>
    <row r="1543" spans="1:126" x14ac:dyDescent="0.3">
      <c r="A1543" s="5"/>
      <c r="B1543" s="5" t="s">
        <v>215</v>
      </c>
      <c r="C1543" s="5"/>
      <c r="D1543" s="5" t="s">
        <v>10</v>
      </c>
      <c r="E1543" s="15">
        <f>64.7</f>
        <v>64.7</v>
      </c>
      <c r="F1543" s="15"/>
      <c r="G1543" s="15"/>
    </row>
    <row r="1544" spans="1:126" x14ac:dyDescent="0.3">
      <c r="A1544" s="5"/>
      <c r="B1544" s="5" t="s">
        <v>130</v>
      </c>
      <c r="C1544" s="5"/>
      <c r="D1544" s="5" t="s">
        <v>8</v>
      </c>
      <c r="E1544" s="15">
        <f>3.2</f>
        <v>3.2</v>
      </c>
      <c r="F1544" s="15"/>
      <c r="G1544" s="15"/>
    </row>
    <row r="1545" spans="1:126" x14ac:dyDescent="0.3">
      <c r="A1545" s="5"/>
      <c r="B1545" s="5" t="s">
        <v>131</v>
      </c>
      <c r="C1545" s="5"/>
      <c r="D1545" s="5" t="s">
        <v>8</v>
      </c>
      <c r="E1545" s="15">
        <f>4.6</f>
        <v>4.5999999999999996</v>
      </c>
      <c r="F1545" s="15"/>
      <c r="G1545" s="15"/>
    </row>
    <row r="1546" spans="1:126" x14ac:dyDescent="0.3">
      <c r="A1546" s="5"/>
      <c r="B1546" s="5" t="s">
        <v>124</v>
      </c>
      <c r="C1546" s="5"/>
      <c r="D1546" s="5" t="s">
        <v>8</v>
      </c>
      <c r="E1546" s="15">
        <f>2</f>
        <v>2</v>
      </c>
      <c r="F1546" s="15"/>
      <c r="G1546" s="15"/>
    </row>
    <row r="1547" spans="1:126" x14ac:dyDescent="0.3">
      <c r="A1547" s="5"/>
      <c r="B1547" s="5" t="s">
        <v>136</v>
      </c>
      <c r="C1547" s="5"/>
      <c r="D1547" s="5" t="s">
        <v>8</v>
      </c>
      <c r="E1547" s="15">
        <f>0.2</f>
        <v>0.2</v>
      </c>
      <c r="F1547" s="15"/>
      <c r="G1547" s="15"/>
    </row>
    <row r="1548" spans="1:126" x14ac:dyDescent="0.3">
      <c r="A1548" s="5"/>
      <c r="B1548" s="5" t="s">
        <v>138</v>
      </c>
      <c r="C1548" s="5"/>
      <c r="D1548" s="5" t="s">
        <v>8</v>
      </c>
      <c r="E1548" s="15">
        <f>0.5</f>
        <v>0.5</v>
      </c>
      <c r="F1548" s="15"/>
      <c r="G1548" s="15"/>
    </row>
    <row r="1549" spans="1:126" x14ac:dyDescent="0.3">
      <c r="A1549" s="5"/>
      <c r="B1549" s="5" t="s">
        <v>336</v>
      </c>
      <c r="C1549" s="5"/>
      <c r="D1549" s="5" t="s">
        <v>8</v>
      </c>
      <c r="E1549" s="15">
        <f>0.045</f>
        <v>4.4999999999999998E-2</v>
      </c>
      <c r="F1549" s="15"/>
      <c r="G1549" s="15"/>
    </row>
    <row r="1550" spans="1:126" x14ac:dyDescent="0.3">
      <c r="A1550" s="5"/>
      <c r="B1550" s="5" t="s">
        <v>217</v>
      </c>
      <c r="C1550" s="5"/>
      <c r="D1550" s="5" t="s">
        <v>8</v>
      </c>
      <c r="E1550" s="15">
        <f>0.1</f>
        <v>0.1</v>
      </c>
      <c r="F1550" s="15"/>
      <c r="G1550" s="15"/>
    </row>
    <row r="1551" spans="1:126" x14ac:dyDescent="0.3">
      <c r="A1551" s="5"/>
      <c r="B1551" s="5" t="s">
        <v>337</v>
      </c>
      <c r="C1551" s="5"/>
      <c r="D1551" s="5" t="s">
        <v>8</v>
      </c>
      <c r="E1551" s="15">
        <f>0.1</f>
        <v>0.1</v>
      </c>
      <c r="F1551" s="15"/>
      <c r="G1551" s="15"/>
    </row>
    <row r="1552" spans="1:126" ht="31.2" x14ac:dyDescent="0.3">
      <c r="A1552" s="5"/>
      <c r="B1552" s="11" t="s">
        <v>250</v>
      </c>
      <c r="C1552" s="5"/>
      <c r="D1552" s="5" t="s">
        <v>8</v>
      </c>
      <c r="E1552" s="15">
        <f>0.3</f>
        <v>0.3</v>
      </c>
      <c r="F1552" s="15"/>
      <c r="G1552" s="15"/>
    </row>
    <row r="1553" spans="1:126" x14ac:dyDescent="0.3">
      <c r="A1553" s="21"/>
      <c r="B1553" s="21" t="s">
        <v>171</v>
      </c>
      <c r="C1553" s="21"/>
      <c r="D1553" s="21" t="s">
        <v>14</v>
      </c>
      <c r="E1553" s="22">
        <f>2</f>
        <v>2</v>
      </c>
      <c r="F1553" s="22"/>
      <c r="G1553" s="22"/>
    </row>
    <row r="1554" spans="1:126" x14ac:dyDescent="0.3">
      <c r="A1554" s="5"/>
      <c r="B1554" s="5" t="s">
        <v>145</v>
      </c>
      <c r="C1554" s="5"/>
      <c r="D1554" s="5" t="s">
        <v>10</v>
      </c>
      <c r="E1554" s="15">
        <f>3</f>
        <v>3</v>
      </c>
      <c r="F1554" s="15"/>
      <c r="G1554" s="15"/>
    </row>
    <row r="1555" spans="1:126" x14ac:dyDescent="0.3">
      <c r="A1555" s="5"/>
      <c r="B1555" s="5" t="s">
        <v>142</v>
      </c>
      <c r="C1555" s="5"/>
      <c r="D1555" s="5" t="s">
        <v>8</v>
      </c>
      <c r="E1555" s="15">
        <f>0.3</f>
        <v>0.3</v>
      </c>
      <c r="F1555" s="15"/>
      <c r="G1555" s="15"/>
    </row>
    <row r="1556" spans="1:126" x14ac:dyDescent="0.3">
      <c r="A1556" s="21"/>
      <c r="B1556" s="21" t="s">
        <v>219</v>
      </c>
      <c r="C1556" s="21"/>
      <c r="D1556" s="21" t="s">
        <v>69</v>
      </c>
      <c r="E1556" s="22">
        <f>715.8</f>
        <v>715.8</v>
      </c>
      <c r="F1556" s="22"/>
      <c r="G1556" s="22"/>
    </row>
    <row r="1557" spans="1:126" x14ac:dyDescent="0.3">
      <c r="A1557" s="5"/>
      <c r="B1557" s="5" t="s">
        <v>220</v>
      </c>
      <c r="C1557" s="5"/>
      <c r="D1557" s="5" t="s">
        <v>72</v>
      </c>
      <c r="E1557" s="15">
        <v>3221.1</v>
      </c>
      <c r="F1557" s="15"/>
      <c r="G1557" s="15"/>
    </row>
    <row r="1558" spans="1:126" s="25" customFormat="1" x14ac:dyDescent="0.3">
      <c r="A1558" s="23"/>
      <c r="B1558" s="23" t="s">
        <v>340</v>
      </c>
      <c r="C1558" s="23" t="s">
        <v>339</v>
      </c>
      <c r="D1558" s="23"/>
      <c r="E1558" s="24"/>
      <c r="F1558" s="24"/>
      <c r="G1558" s="24"/>
      <c r="H1558" s="59"/>
      <c r="I1558" s="59"/>
      <c r="J1558" s="59"/>
      <c r="K1558" s="59"/>
      <c r="L1558" s="59"/>
      <c r="M1558" s="59"/>
      <c r="N1558" s="59"/>
      <c r="O1558" s="59"/>
      <c r="P1558" s="59"/>
      <c r="Q1558" s="59"/>
      <c r="R1558" s="59"/>
      <c r="S1558" s="59"/>
      <c r="T1558" s="59"/>
      <c r="U1558" s="59"/>
      <c r="V1558" s="59"/>
      <c r="W1558" s="59"/>
      <c r="X1558" s="59"/>
      <c r="Y1558" s="59"/>
      <c r="Z1558" s="59"/>
      <c r="AA1558" s="59"/>
      <c r="AB1558" s="59"/>
      <c r="AC1558" s="59"/>
      <c r="AD1558" s="59"/>
      <c r="AE1558" s="59"/>
      <c r="AF1558" s="59"/>
      <c r="AG1558" s="59"/>
      <c r="AH1558" s="59"/>
      <c r="AI1558" s="59"/>
      <c r="AJ1558" s="59"/>
      <c r="AK1558" s="59"/>
      <c r="AL1558" s="59"/>
      <c r="AM1558" s="59"/>
      <c r="AN1558" s="59"/>
      <c r="AO1558" s="59"/>
      <c r="AP1558" s="59"/>
      <c r="AQ1558" s="59"/>
      <c r="AR1558" s="59"/>
      <c r="AS1558" s="59"/>
      <c r="AT1558" s="59"/>
      <c r="AU1558" s="59"/>
      <c r="AV1558" s="59"/>
      <c r="AW1558" s="59"/>
      <c r="AX1558" s="59"/>
      <c r="AY1558" s="59"/>
      <c r="AZ1558" s="59"/>
      <c r="BA1558" s="59"/>
      <c r="BB1558" s="59"/>
      <c r="BC1558" s="59"/>
      <c r="BD1558" s="59"/>
      <c r="BE1558" s="59"/>
      <c r="BF1558" s="59"/>
      <c r="BG1558" s="59"/>
      <c r="BH1558" s="59"/>
      <c r="BI1558" s="59"/>
      <c r="BJ1558" s="59"/>
      <c r="BK1558" s="59"/>
      <c r="BL1558" s="59"/>
      <c r="BM1558" s="59"/>
      <c r="BN1558" s="59"/>
      <c r="BO1558" s="59"/>
      <c r="BP1558" s="59"/>
      <c r="BQ1558" s="59"/>
      <c r="BR1558" s="59"/>
      <c r="BS1558" s="59"/>
      <c r="BT1558" s="59"/>
      <c r="BU1558" s="59"/>
      <c r="BV1558" s="59"/>
      <c r="BW1558" s="59"/>
      <c r="BX1558" s="59"/>
      <c r="BY1558" s="59"/>
      <c r="BZ1558" s="59"/>
      <c r="CA1558" s="59"/>
      <c r="CB1558" s="59"/>
      <c r="CC1558" s="59"/>
      <c r="CD1558" s="59"/>
      <c r="CE1558" s="59"/>
      <c r="CF1558" s="59"/>
      <c r="CG1558" s="59"/>
      <c r="CH1558" s="59"/>
      <c r="CI1558" s="59"/>
      <c r="CJ1558" s="59"/>
      <c r="CK1558" s="59"/>
      <c r="CL1558" s="59"/>
      <c r="CM1558" s="59"/>
      <c r="CN1558" s="59"/>
      <c r="CO1558" s="59"/>
      <c r="CP1558" s="59"/>
      <c r="CQ1558" s="59"/>
      <c r="CR1558" s="59"/>
      <c r="CS1558" s="59"/>
      <c r="CT1558" s="59"/>
      <c r="CU1558" s="59"/>
      <c r="CV1558" s="59"/>
      <c r="CW1558" s="59"/>
      <c r="CX1558" s="59"/>
      <c r="CY1558" s="59"/>
      <c r="CZ1558" s="59"/>
      <c r="DA1558" s="59"/>
      <c r="DB1558" s="59"/>
      <c r="DC1558" s="59"/>
      <c r="DD1558" s="59"/>
      <c r="DE1558" s="59"/>
      <c r="DF1558" s="59"/>
      <c r="DG1558" s="59"/>
      <c r="DH1558" s="59"/>
      <c r="DI1558" s="59"/>
      <c r="DJ1558" s="59"/>
      <c r="DK1558" s="59"/>
      <c r="DL1558" s="59"/>
      <c r="DM1558" s="59"/>
      <c r="DN1558" s="59"/>
      <c r="DO1558" s="59"/>
      <c r="DP1558" s="59"/>
      <c r="DQ1558" s="59"/>
      <c r="DR1558" s="59"/>
      <c r="DS1558" s="59"/>
      <c r="DT1558" s="59"/>
      <c r="DU1558" s="59"/>
      <c r="DV1558" s="59"/>
    </row>
    <row r="1559" spans="1:126" s="25" customFormat="1" x14ac:dyDescent="0.3">
      <c r="A1559" s="23"/>
      <c r="B1559" s="23" t="s">
        <v>338</v>
      </c>
      <c r="C1559" s="23" t="s">
        <v>339</v>
      </c>
      <c r="D1559" s="23"/>
      <c r="E1559" s="24"/>
      <c r="F1559" s="24"/>
      <c r="G1559" s="24"/>
      <c r="H1559" s="59"/>
      <c r="I1559" s="59"/>
      <c r="J1559" s="59"/>
      <c r="K1559" s="59"/>
      <c r="L1559" s="59"/>
      <c r="M1559" s="59"/>
      <c r="N1559" s="59"/>
      <c r="O1559" s="59"/>
      <c r="P1559" s="59"/>
      <c r="Q1559" s="59"/>
      <c r="R1559" s="59"/>
      <c r="S1559" s="59"/>
      <c r="T1559" s="59"/>
      <c r="U1559" s="59"/>
      <c r="V1559" s="59"/>
      <c r="W1559" s="59"/>
      <c r="X1559" s="59"/>
      <c r="Y1559" s="59"/>
      <c r="Z1559" s="59"/>
      <c r="AA1559" s="59"/>
      <c r="AB1559" s="59"/>
      <c r="AC1559" s="59"/>
      <c r="AD1559" s="59"/>
      <c r="AE1559" s="59"/>
      <c r="AF1559" s="59"/>
      <c r="AG1559" s="59"/>
      <c r="AH1559" s="59"/>
      <c r="AI1559" s="59"/>
      <c r="AJ1559" s="59"/>
      <c r="AK1559" s="59"/>
      <c r="AL1559" s="59"/>
      <c r="AM1559" s="59"/>
      <c r="AN1559" s="59"/>
      <c r="AO1559" s="59"/>
      <c r="AP1559" s="59"/>
      <c r="AQ1559" s="59"/>
      <c r="AR1559" s="59"/>
      <c r="AS1559" s="59"/>
      <c r="AT1559" s="59"/>
      <c r="AU1559" s="59"/>
      <c r="AV1559" s="59"/>
      <c r="AW1559" s="59"/>
      <c r="AX1559" s="59"/>
      <c r="AY1559" s="59"/>
      <c r="AZ1559" s="59"/>
      <c r="BA1559" s="59"/>
      <c r="BB1559" s="59"/>
      <c r="BC1559" s="59"/>
      <c r="BD1559" s="59"/>
      <c r="BE1559" s="59"/>
      <c r="BF1559" s="59"/>
      <c r="BG1559" s="59"/>
      <c r="BH1559" s="59"/>
      <c r="BI1559" s="59"/>
      <c r="BJ1559" s="59"/>
      <c r="BK1559" s="59"/>
      <c r="BL1559" s="59"/>
      <c r="BM1559" s="59"/>
      <c r="BN1559" s="59"/>
      <c r="BO1559" s="59"/>
      <c r="BP1559" s="59"/>
      <c r="BQ1559" s="59"/>
      <c r="BR1559" s="59"/>
      <c r="BS1559" s="59"/>
      <c r="BT1559" s="59"/>
      <c r="BU1559" s="59"/>
      <c r="BV1559" s="59"/>
      <c r="BW1559" s="59"/>
      <c r="BX1559" s="59"/>
      <c r="BY1559" s="59"/>
      <c r="BZ1559" s="59"/>
      <c r="CA1559" s="59"/>
      <c r="CB1559" s="59"/>
      <c r="CC1559" s="59"/>
      <c r="CD1559" s="59"/>
      <c r="CE1559" s="59"/>
      <c r="CF1559" s="59"/>
      <c r="CG1559" s="59"/>
      <c r="CH1559" s="59"/>
      <c r="CI1559" s="59"/>
      <c r="CJ1559" s="59"/>
      <c r="CK1559" s="59"/>
      <c r="CL1559" s="59"/>
      <c r="CM1559" s="59"/>
      <c r="CN1559" s="59"/>
      <c r="CO1559" s="59"/>
      <c r="CP1559" s="59"/>
      <c r="CQ1559" s="59"/>
      <c r="CR1559" s="59"/>
      <c r="CS1559" s="59"/>
      <c r="CT1559" s="59"/>
      <c r="CU1559" s="59"/>
      <c r="CV1559" s="59"/>
      <c r="CW1559" s="59"/>
      <c r="CX1559" s="59"/>
      <c r="CY1559" s="59"/>
      <c r="CZ1559" s="59"/>
      <c r="DA1559" s="59"/>
      <c r="DB1559" s="59"/>
      <c r="DC1559" s="59"/>
      <c r="DD1559" s="59"/>
      <c r="DE1559" s="59"/>
      <c r="DF1559" s="59"/>
      <c r="DG1559" s="59"/>
      <c r="DH1559" s="59"/>
      <c r="DI1559" s="59"/>
      <c r="DJ1559" s="59"/>
      <c r="DK1559" s="59"/>
      <c r="DL1559" s="59"/>
      <c r="DM1559" s="59"/>
      <c r="DN1559" s="59"/>
      <c r="DO1559" s="59"/>
      <c r="DP1559" s="59"/>
      <c r="DQ1559" s="59"/>
      <c r="DR1559" s="59"/>
      <c r="DS1559" s="59"/>
      <c r="DT1559" s="59"/>
      <c r="DU1559" s="59"/>
      <c r="DV1559" s="59"/>
    </row>
    <row r="1560" spans="1:126" s="3" customFormat="1" x14ac:dyDescent="0.3">
      <c r="A1560" s="21"/>
      <c r="B1560" s="21" t="s">
        <v>341</v>
      </c>
      <c r="C1560" s="21"/>
      <c r="D1560" s="21"/>
      <c r="E1560" s="22"/>
      <c r="F1560" s="22"/>
      <c r="G1560" s="22"/>
      <c r="H1560" s="59"/>
      <c r="I1560" s="59"/>
      <c r="J1560" s="59"/>
      <c r="K1560" s="59"/>
      <c r="L1560" s="59"/>
      <c r="M1560" s="59"/>
      <c r="N1560" s="59"/>
      <c r="O1560" s="59"/>
      <c r="P1560" s="59"/>
      <c r="Q1560" s="59"/>
      <c r="R1560" s="59"/>
      <c r="S1560" s="59"/>
      <c r="T1560" s="59"/>
      <c r="U1560" s="59"/>
      <c r="V1560" s="59"/>
      <c r="W1560" s="59"/>
      <c r="X1560" s="59"/>
      <c r="Y1560" s="59"/>
      <c r="Z1560" s="59"/>
      <c r="AA1560" s="59"/>
      <c r="AB1560" s="59"/>
      <c r="AC1560" s="59"/>
      <c r="AD1560" s="59"/>
      <c r="AE1560" s="59"/>
      <c r="AF1560" s="59"/>
      <c r="AG1560" s="59"/>
      <c r="AH1560" s="59"/>
      <c r="AI1560" s="59"/>
      <c r="AJ1560" s="59"/>
      <c r="AK1560" s="59"/>
      <c r="AL1560" s="59"/>
      <c r="AM1560" s="59"/>
      <c r="AN1560" s="59"/>
      <c r="AO1560" s="59"/>
      <c r="AP1560" s="59"/>
      <c r="AQ1560" s="59"/>
      <c r="AR1560" s="59"/>
      <c r="AS1560" s="59"/>
      <c r="AT1560" s="59"/>
      <c r="AU1560" s="59"/>
      <c r="AV1560" s="59"/>
      <c r="AW1560" s="59"/>
      <c r="AX1560" s="59"/>
      <c r="AY1560" s="59"/>
      <c r="AZ1560" s="59"/>
      <c r="BA1560" s="59"/>
      <c r="BB1560" s="59"/>
      <c r="BC1560" s="59"/>
      <c r="BD1560" s="59"/>
      <c r="BE1560" s="59"/>
      <c r="BF1560" s="59"/>
      <c r="BG1560" s="59"/>
      <c r="BH1560" s="59"/>
      <c r="BI1560" s="59"/>
      <c r="BJ1560" s="59"/>
      <c r="BK1560" s="59"/>
      <c r="BL1560" s="59"/>
      <c r="BM1560" s="59"/>
      <c r="BN1560" s="59"/>
      <c r="BO1560" s="59"/>
      <c r="BP1560" s="59"/>
      <c r="BQ1560" s="59"/>
      <c r="BR1560" s="59"/>
      <c r="BS1560" s="59"/>
      <c r="BT1560" s="59"/>
      <c r="BU1560" s="59"/>
      <c r="BV1560" s="59"/>
      <c r="BW1560" s="59"/>
      <c r="BX1560" s="59"/>
      <c r="BY1560" s="59"/>
      <c r="BZ1560" s="59"/>
      <c r="CA1560" s="59"/>
      <c r="CB1560" s="59"/>
      <c r="CC1560" s="59"/>
      <c r="CD1560" s="59"/>
      <c r="CE1560" s="59"/>
      <c r="CF1560" s="59"/>
      <c r="CG1560" s="59"/>
      <c r="CH1560" s="59"/>
      <c r="CI1560" s="59"/>
      <c r="CJ1560" s="59"/>
      <c r="CK1560" s="59"/>
      <c r="CL1560" s="59"/>
      <c r="CM1560" s="59"/>
      <c r="CN1560" s="59"/>
      <c r="CO1560" s="59"/>
      <c r="CP1560" s="59"/>
      <c r="CQ1560" s="59"/>
      <c r="CR1560" s="59"/>
      <c r="CS1560" s="59"/>
      <c r="CT1560" s="59"/>
      <c r="CU1560" s="59"/>
      <c r="CV1560" s="59"/>
      <c r="CW1560" s="59"/>
      <c r="CX1560" s="59"/>
      <c r="CY1560" s="59"/>
      <c r="CZ1560" s="59"/>
      <c r="DA1560" s="59"/>
      <c r="DB1560" s="59"/>
      <c r="DC1560" s="59"/>
      <c r="DD1560" s="59"/>
      <c r="DE1560" s="59"/>
      <c r="DF1560" s="59"/>
      <c r="DG1560" s="59"/>
      <c r="DH1560" s="59"/>
      <c r="DI1560" s="59"/>
      <c r="DJ1560" s="59"/>
      <c r="DK1560" s="59"/>
      <c r="DL1560" s="59"/>
      <c r="DM1560" s="59"/>
      <c r="DN1560" s="59"/>
      <c r="DO1560" s="59"/>
      <c r="DP1560" s="59"/>
      <c r="DQ1560" s="59"/>
      <c r="DR1560" s="59"/>
      <c r="DS1560" s="59"/>
      <c r="DT1560" s="59"/>
      <c r="DU1560" s="59"/>
      <c r="DV1560" s="59"/>
    </row>
    <row r="1561" spans="1:126" ht="31.2" x14ac:dyDescent="0.3">
      <c r="A1561" s="5"/>
      <c r="B1561" s="11" t="s">
        <v>234</v>
      </c>
      <c r="C1561" s="5"/>
      <c r="D1561" s="5" t="s">
        <v>8</v>
      </c>
      <c r="E1561" s="15">
        <f>2642.7+3.2</f>
        <v>2645.8999999999996</v>
      </c>
      <c r="F1561" s="15"/>
      <c r="G1561" s="15"/>
    </row>
    <row r="1562" spans="1:126" x14ac:dyDescent="0.3">
      <c r="A1562" s="5"/>
      <c r="B1562" s="5" t="s">
        <v>182</v>
      </c>
      <c r="C1562" s="5"/>
      <c r="D1562" s="5" t="s">
        <v>8</v>
      </c>
      <c r="E1562" s="15">
        <f>38.9</f>
        <v>38.9</v>
      </c>
      <c r="F1562" s="15"/>
      <c r="G1562" s="15"/>
    </row>
    <row r="1563" spans="1:126" s="3" customFormat="1" x14ac:dyDescent="0.3">
      <c r="A1563" s="21"/>
      <c r="B1563" s="21" t="s">
        <v>343</v>
      </c>
      <c r="C1563" s="21"/>
      <c r="D1563" s="21"/>
      <c r="E1563" s="22"/>
      <c r="F1563" s="22"/>
      <c r="G1563" s="22"/>
      <c r="H1563" s="59"/>
      <c r="I1563" s="59"/>
      <c r="J1563" s="59"/>
      <c r="K1563" s="59"/>
      <c r="L1563" s="59"/>
      <c r="M1563" s="59"/>
      <c r="N1563" s="59"/>
      <c r="O1563" s="59"/>
      <c r="P1563" s="59"/>
      <c r="Q1563" s="59"/>
      <c r="R1563" s="59"/>
      <c r="S1563" s="59"/>
      <c r="T1563" s="59"/>
      <c r="U1563" s="59"/>
      <c r="V1563" s="59"/>
      <c r="W1563" s="59"/>
      <c r="X1563" s="59"/>
      <c r="Y1563" s="59"/>
      <c r="Z1563" s="59"/>
      <c r="AA1563" s="59"/>
      <c r="AB1563" s="59"/>
      <c r="AC1563" s="59"/>
      <c r="AD1563" s="59"/>
      <c r="AE1563" s="59"/>
      <c r="AF1563" s="59"/>
      <c r="AG1563" s="59"/>
      <c r="AH1563" s="59"/>
      <c r="AI1563" s="59"/>
      <c r="AJ1563" s="59"/>
      <c r="AK1563" s="59"/>
      <c r="AL1563" s="59"/>
      <c r="AM1563" s="59"/>
      <c r="AN1563" s="59"/>
      <c r="AO1563" s="59"/>
      <c r="AP1563" s="59"/>
      <c r="AQ1563" s="59"/>
      <c r="AR1563" s="59"/>
      <c r="AS1563" s="59"/>
      <c r="AT1563" s="59"/>
      <c r="AU1563" s="59"/>
      <c r="AV1563" s="59"/>
      <c r="AW1563" s="59"/>
      <c r="AX1563" s="59"/>
      <c r="AY1563" s="59"/>
      <c r="AZ1563" s="59"/>
      <c r="BA1563" s="59"/>
      <c r="BB1563" s="59"/>
      <c r="BC1563" s="59"/>
      <c r="BD1563" s="59"/>
      <c r="BE1563" s="59"/>
      <c r="BF1563" s="59"/>
      <c r="BG1563" s="59"/>
      <c r="BH1563" s="59"/>
      <c r="BI1563" s="59"/>
      <c r="BJ1563" s="59"/>
      <c r="BK1563" s="59"/>
      <c r="BL1563" s="59"/>
      <c r="BM1563" s="59"/>
      <c r="BN1563" s="59"/>
      <c r="BO1563" s="59"/>
      <c r="BP1563" s="59"/>
      <c r="BQ1563" s="59"/>
      <c r="BR1563" s="59"/>
      <c r="BS1563" s="59"/>
      <c r="BT1563" s="59"/>
      <c r="BU1563" s="59"/>
      <c r="BV1563" s="59"/>
      <c r="BW1563" s="59"/>
      <c r="BX1563" s="59"/>
      <c r="BY1563" s="59"/>
      <c r="BZ1563" s="59"/>
      <c r="CA1563" s="59"/>
      <c r="CB1563" s="59"/>
      <c r="CC1563" s="59"/>
      <c r="CD1563" s="59"/>
      <c r="CE1563" s="59"/>
      <c r="CF1563" s="59"/>
      <c r="CG1563" s="59"/>
      <c r="CH1563" s="59"/>
      <c r="CI1563" s="59"/>
      <c r="CJ1563" s="59"/>
      <c r="CK1563" s="59"/>
      <c r="CL1563" s="59"/>
      <c r="CM1563" s="59"/>
      <c r="CN1563" s="59"/>
      <c r="CO1563" s="59"/>
      <c r="CP1563" s="59"/>
      <c r="CQ1563" s="59"/>
      <c r="CR1563" s="59"/>
      <c r="CS1563" s="59"/>
      <c r="CT1563" s="59"/>
      <c r="CU1563" s="59"/>
      <c r="CV1563" s="59"/>
      <c r="CW1563" s="59"/>
      <c r="CX1563" s="59"/>
      <c r="CY1563" s="59"/>
      <c r="CZ1563" s="59"/>
      <c r="DA1563" s="59"/>
      <c r="DB1563" s="59"/>
      <c r="DC1563" s="59"/>
      <c r="DD1563" s="59"/>
      <c r="DE1563" s="59"/>
      <c r="DF1563" s="59"/>
      <c r="DG1563" s="59"/>
      <c r="DH1563" s="59"/>
      <c r="DI1563" s="59"/>
      <c r="DJ1563" s="59"/>
      <c r="DK1563" s="59"/>
      <c r="DL1563" s="59"/>
      <c r="DM1563" s="59"/>
      <c r="DN1563" s="59"/>
      <c r="DO1563" s="59"/>
      <c r="DP1563" s="59"/>
      <c r="DQ1563" s="59"/>
      <c r="DR1563" s="59"/>
      <c r="DS1563" s="59"/>
      <c r="DT1563" s="59"/>
      <c r="DU1563" s="59"/>
      <c r="DV1563" s="59"/>
    </row>
    <row r="1564" spans="1:126" s="20" customFormat="1" ht="31.2" x14ac:dyDescent="0.3">
      <c r="A1564" s="18"/>
      <c r="B1564" s="17" t="s">
        <v>342</v>
      </c>
      <c r="C1564" s="18"/>
      <c r="D1564" s="18" t="s">
        <v>8</v>
      </c>
      <c r="E1564" s="19">
        <f>102.6</f>
        <v>102.6</v>
      </c>
      <c r="F1564" s="19"/>
      <c r="G1564" s="19"/>
      <c r="H1564" s="60"/>
      <c r="I1564" s="60"/>
      <c r="J1564" s="60"/>
      <c r="K1564" s="60"/>
      <c r="L1564" s="60"/>
      <c r="M1564" s="60"/>
      <c r="N1564" s="60"/>
      <c r="O1564" s="60"/>
      <c r="P1564" s="60"/>
      <c r="Q1564" s="60"/>
      <c r="R1564" s="60"/>
      <c r="S1564" s="60"/>
      <c r="T1564" s="60"/>
      <c r="U1564" s="60"/>
      <c r="V1564" s="60"/>
      <c r="W1564" s="60"/>
      <c r="X1564" s="60"/>
      <c r="Y1564" s="60"/>
      <c r="Z1564" s="60"/>
      <c r="AA1564" s="60"/>
      <c r="AB1564" s="60"/>
      <c r="AC1564" s="60"/>
      <c r="AD1564" s="60"/>
      <c r="AE1564" s="60"/>
      <c r="AF1564" s="60"/>
      <c r="AG1564" s="60"/>
      <c r="AH1564" s="60"/>
      <c r="AI1564" s="60"/>
      <c r="AJ1564" s="60"/>
      <c r="AK1564" s="60"/>
      <c r="AL1564" s="60"/>
      <c r="AM1564" s="60"/>
      <c r="AN1564" s="60"/>
      <c r="AO1564" s="60"/>
      <c r="AP1564" s="60"/>
      <c r="AQ1564" s="60"/>
      <c r="AR1564" s="60"/>
      <c r="AS1564" s="60"/>
      <c r="AT1564" s="60"/>
      <c r="AU1564" s="60"/>
      <c r="AV1564" s="60"/>
      <c r="AW1564" s="60"/>
      <c r="AX1564" s="60"/>
      <c r="AY1564" s="60"/>
      <c r="AZ1564" s="60"/>
      <c r="BA1564" s="60"/>
      <c r="BB1564" s="60"/>
      <c r="BC1564" s="60"/>
      <c r="BD1564" s="60"/>
      <c r="BE1564" s="60"/>
      <c r="BF1564" s="60"/>
      <c r="BG1564" s="60"/>
      <c r="BH1564" s="60"/>
      <c r="BI1564" s="60"/>
      <c r="BJ1564" s="60"/>
      <c r="BK1564" s="60"/>
      <c r="BL1564" s="60"/>
      <c r="BM1564" s="60"/>
      <c r="BN1564" s="60"/>
      <c r="BO1564" s="60"/>
      <c r="BP1564" s="60"/>
      <c r="BQ1564" s="60"/>
      <c r="BR1564" s="60"/>
      <c r="BS1564" s="60"/>
      <c r="BT1564" s="60"/>
      <c r="BU1564" s="60"/>
      <c r="BV1564" s="60"/>
      <c r="BW1564" s="60"/>
      <c r="BX1564" s="60"/>
      <c r="BY1564" s="60"/>
      <c r="BZ1564" s="60"/>
      <c r="CA1564" s="60"/>
      <c r="CB1564" s="60"/>
      <c r="CC1564" s="60"/>
      <c r="CD1564" s="60"/>
      <c r="CE1564" s="60"/>
      <c r="CF1564" s="60"/>
      <c r="CG1564" s="60"/>
      <c r="CH1564" s="60"/>
      <c r="CI1564" s="60"/>
      <c r="CJ1564" s="60"/>
      <c r="CK1564" s="60"/>
      <c r="CL1564" s="60"/>
      <c r="CM1564" s="60"/>
      <c r="CN1564" s="60"/>
      <c r="CO1564" s="60"/>
      <c r="CP1564" s="60"/>
      <c r="CQ1564" s="60"/>
      <c r="CR1564" s="60"/>
      <c r="CS1564" s="60"/>
      <c r="CT1564" s="60"/>
      <c r="CU1564" s="60"/>
      <c r="CV1564" s="60"/>
      <c r="CW1564" s="60"/>
      <c r="CX1564" s="60"/>
      <c r="CY1564" s="60"/>
      <c r="CZ1564" s="60"/>
      <c r="DA1564" s="60"/>
      <c r="DB1564" s="60"/>
      <c r="DC1564" s="60"/>
      <c r="DD1564" s="60"/>
      <c r="DE1564" s="60"/>
      <c r="DF1564" s="60"/>
      <c r="DG1564" s="60"/>
      <c r="DH1564" s="60"/>
      <c r="DI1564" s="60"/>
      <c r="DJ1564" s="60"/>
      <c r="DK1564" s="60"/>
      <c r="DL1564" s="60"/>
      <c r="DM1564" s="60"/>
      <c r="DN1564" s="60"/>
      <c r="DO1564" s="60"/>
      <c r="DP1564" s="60"/>
      <c r="DQ1564" s="60"/>
      <c r="DR1564" s="60"/>
      <c r="DS1564" s="60"/>
      <c r="DT1564" s="60"/>
      <c r="DU1564" s="60"/>
      <c r="DV1564" s="60"/>
    </row>
    <row r="1565" spans="1:126" ht="31.2" x14ac:dyDescent="0.3">
      <c r="A1565" s="5"/>
      <c r="B1565" s="11" t="s">
        <v>230</v>
      </c>
      <c r="C1565" s="5"/>
      <c r="D1565" s="5" t="s">
        <v>8</v>
      </c>
      <c r="E1565" s="15">
        <f>29</f>
        <v>29</v>
      </c>
      <c r="F1565" s="15"/>
      <c r="G1565" s="15"/>
    </row>
    <row r="1566" spans="1:126" x14ac:dyDescent="0.3">
      <c r="A1566" s="5"/>
      <c r="B1566" s="5" t="s">
        <v>182</v>
      </c>
      <c r="C1566" s="5"/>
      <c r="D1566" s="5" t="s">
        <v>8</v>
      </c>
      <c r="E1566" s="15">
        <f>1.4</f>
        <v>1.4</v>
      </c>
      <c r="F1566" s="15"/>
      <c r="G1566" s="15"/>
    </row>
    <row r="1567" spans="1:126" x14ac:dyDescent="0.3">
      <c r="A1567" s="21"/>
      <c r="B1567" s="21" t="s">
        <v>344</v>
      </c>
      <c r="C1567" s="21"/>
      <c r="D1567" s="21" t="s">
        <v>69</v>
      </c>
      <c r="E1567" s="22">
        <f>2898.3</f>
        <v>2898.3</v>
      </c>
      <c r="F1567" s="22"/>
      <c r="G1567" s="22"/>
    </row>
    <row r="1568" spans="1:126" x14ac:dyDescent="0.3">
      <c r="A1568" s="5"/>
      <c r="B1568" s="5" t="s">
        <v>153</v>
      </c>
      <c r="C1568" s="5"/>
      <c r="D1568" s="5" t="s">
        <v>72</v>
      </c>
      <c r="E1568" s="15">
        <v>2284.4400599999999</v>
      </c>
      <c r="F1568" s="15"/>
      <c r="G1568" s="15"/>
    </row>
    <row r="1569" spans="1:126" x14ac:dyDescent="0.3">
      <c r="A1569" s="5"/>
      <c r="B1569" s="5" t="s">
        <v>155</v>
      </c>
      <c r="C1569" s="5"/>
      <c r="D1569" s="5" t="s">
        <v>72</v>
      </c>
      <c r="E1569" s="15">
        <v>228.444006</v>
      </c>
      <c r="F1569" s="15"/>
      <c r="G1569" s="15"/>
    </row>
    <row r="1570" spans="1:126" x14ac:dyDescent="0.3">
      <c r="A1570" s="21"/>
      <c r="B1570" s="21" t="s">
        <v>345</v>
      </c>
      <c r="C1570" s="21"/>
      <c r="D1570" s="21" t="s">
        <v>69</v>
      </c>
      <c r="E1570" s="22">
        <f>28982.5</f>
        <v>28982.5</v>
      </c>
      <c r="F1570" s="22"/>
      <c r="G1570" s="22"/>
    </row>
    <row r="1571" spans="1:126" x14ac:dyDescent="0.3">
      <c r="A1571" s="5"/>
      <c r="B1571" s="5" t="s">
        <v>239</v>
      </c>
      <c r="C1571" s="5"/>
      <c r="D1571" s="5" t="s">
        <v>72</v>
      </c>
      <c r="E1571" s="15">
        <v>12132.074499999999</v>
      </c>
      <c r="F1571" s="15"/>
      <c r="G1571" s="15"/>
    </row>
    <row r="1572" spans="1:126" x14ac:dyDescent="0.3">
      <c r="A1572" s="5"/>
      <c r="B1572" s="5" t="s">
        <v>155</v>
      </c>
      <c r="C1572" s="5"/>
      <c r="D1572" s="5" t="s">
        <v>72</v>
      </c>
      <c r="E1572" s="15">
        <v>1213.2074499999999</v>
      </c>
      <c r="F1572" s="15"/>
      <c r="G1572" s="15"/>
    </row>
    <row r="1573" spans="1:126" x14ac:dyDescent="0.3">
      <c r="A1573" s="21"/>
      <c r="B1573" s="21" t="s">
        <v>346</v>
      </c>
      <c r="C1573" s="21"/>
      <c r="D1573" s="21" t="s">
        <v>69</v>
      </c>
      <c r="E1573" s="22">
        <f>268</f>
        <v>268</v>
      </c>
      <c r="F1573" s="22"/>
      <c r="G1573" s="22"/>
    </row>
    <row r="1574" spans="1:126" x14ac:dyDescent="0.3">
      <c r="A1574" s="5"/>
      <c r="B1574" s="5" t="s">
        <v>153</v>
      </c>
      <c r="C1574" s="5"/>
      <c r="D1574" s="5" t="s">
        <v>72</v>
      </c>
      <c r="E1574" s="15">
        <v>211.23759999999999</v>
      </c>
      <c r="F1574" s="15"/>
      <c r="G1574" s="15"/>
    </row>
    <row r="1575" spans="1:126" x14ac:dyDescent="0.3">
      <c r="A1575" s="5"/>
      <c r="B1575" s="5" t="s">
        <v>155</v>
      </c>
      <c r="C1575" s="5"/>
      <c r="D1575" s="5" t="s">
        <v>72</v>
      </c>
      <c r="E1575" s="15">
        <v>21.123760000000001</v>
      </c>
      <c r="F1575" s="15"/>
      <c r="G1575" s="15"/>
    </row>
    <row r="1576" spans="1:126" x14ac:dyDescent="0.3">
      <c r="A1576" s="21"/>
      <c r="B1576" s="21" t="s">
        <v>347</v>
      </c>
      <c r="C1576" s="21"/>
      <c r="D1576" s="21" t="s">
        <v>69</v>
      </c>
      <c r="E1576" s="22">
        <f>2688.9</f>
        <v>2688.9</v>
      </c>
      <c r="F1576" s="22"/>
      <c r="G1576" s="22"/>
    </row>
    <row r="1577" spans="1:126" x14ac:dyDescent="0.3">
      <c r="A1577" s="5"/>
      <c r="B1577" s="5" t="s">
        <v>239</v>
      </c>
      <c r="C1577" s="5"/>
      <c r="D1577" s="5" t="s">
        <v>72</v>
      </c>
      <c r="E1577" s="15">
        <v>1125.5735399999999</v>
      </c>
      <c r="F1577" s="15"/>
      <c r="G1577" s="15"/>
    </row>
    <row r="1578" spans="1:126" x14ac:dyDescent="0.3">
      <c r="A1578" s="5"/>
      <c r="B1578" s="5" t="s">
        <v>155</v>
      </c>
      <c r="C1578" s="5"/>
      <c r="D1578" s="5" t="s">
        <v>72</v>
      </c>
      <c r="E1578" s="15">
        <v>112.55735399999999</v>
      </c>
      <c r="F1578" s="15"/>
      <c r="G1578" s="15"/>
    </row>
    <row r="1579" spans="1:126" s="3" customFormat="1" x14ac:dyDescent="0.3">
      <c r="A1579" s="21"/>
      <c r="B1579" s="21" t="s">
        <v>348</v>
      </c>
      <c r="C1579" s="21"/>
      <c r="D1579" s="21"/>
      <c r="E1579" s="22"/>
      <c r="F1579" s="22"/>
      <c r="G1579" s="22"/>
      <c r="H1579" s="59"/>
      <c r="I1579" s="59"/>
      <c r="J1579" s="59"/>
      <c r="K1579" s="59"/>
      <c r="L1579" s="59"/>
      <c r="M1579" s="59"/>
      <c r="N1579" s="59"/>
      <c r="O1579" s="59"/>
      <c r="P1579" s="59"/>
      <c r="Q1579" s="59"/>
      <c r="R1579" s="59"/>
      <c r="S1579" s="59"/>
      <c r="T1579" s="59"/>
      <c r="U1579" s="59"/>
      <c r="V1579" s="59"/>
      <c r="W1579" s="59"/>
      <c r="X1579" s="59"/>
      <c r="Y1579" s="59"/>
      <c r="Z1579" s="59"/>
      <c r="AA1579" s="59"/>
      <c r="AB1579" s="59"/>
      <c r="AC1579" s="59"/>
      <c r="AD1579" s="59"/>
      <c r="AE1579" s="59"/>
      <c r="AF1579" s="59"/>
      <c r="AG1579" s="59"/>
      <c r="AH1579" s="59"/>
      <c r="AI1579" s="59"/>
      <c r="AJ1579" s="59"/>
      <c r="AK1579" s="59"/>
      <c r="AL1579" s="59"/>
      <c r="AM1579" s="59"/>
      <c r="AN1579" s="59"/>
      <c r="AO1579" s="59"/>
      <c r="AP1579" s="59"/>
      <c r="AQ1579" s="59"/>
      <c r="AR1579" s="59"/>
      <c r="AS1579" s="59"/>
      <c r="AT1579" s="59"/>
      <c r="AU1579" s="59"/>
      <c r="AV1579" s="59"/>
      <c r="AW1579" s="59"/>
      <c r="AX1579" s="59"/>
      <c r="AY1579" s="59"/>
      <c r="AZ1579" s="59"/>
      <c r="BA1579" s="59"/>
      <c r="BB1579" s="59"/>
      <c r="BC1579" s="59"/>
      <c r="BD1579" s="59"/>
      <c r="BE1579" s="59"/>
      <c r="BF1579" s="59"/>
      <c r="BG1579" s="59"/>
      <c r="BH1579" s="59"/>
      <c r="BI1579" s="59"/>
      <c r="BJ1579" s="59"/>
      <c r="BK1579" s="59"/>
      <c r="BL1579" s="59"/>
      <c r="BM1579" s="59"/>
      <c r="BN1579" s="59"/>
      <c r="BO1579" s="59"/>
      <c r="BP1579" s="59"/>
      <c r="BQ1579" s="59"/>
      <c r="BR1579" s="59"/>
      <c r="BS1579" s="59"/>
      <c r="BT1579" s="59"/>
      <c r="BU1579" s="59"/>
      <c r="BV1579" s="59"/>
      <c r="BW1579" s="59"/>
      <c r="BX1579" s="59"/>
      <c r="BY1579" s="59"/>
      <c r="BZ1579" s="59"/>
      <c r="CA1579" s="59"/>
      <c r="CB1579" s="59"/>
      <c r="CC1579" s="59"/>
      <c r="CD1579" s="59"/>
      <c r="CE1579" s="59"/>
      <c r="CF1579" s="59"/>
      <c r="CG1579" s="59"/>
      <c r="CH1579" s="59"/>
      <c r="CI1579" s="59"/>
      <c r="CJ1579" s="59"/>
      <c r="CK1579" s="59"/>
      <c r="CL1579" s="59"/>
      <c r="CM1579" s="59"/>
      <c r="CN1579" s="59"/>
      <c r="CO1579" s="59"/>
      <c r="CP1579" s="59"/>
      <c r="CQ1579" s="59"/>
      <c r="CR1579" s="59"/>
      <c r="CS1579" s="59"/>
      <c r="CT1579" s="59"/>
      <c r="CU1579" s="59"/>
      <c r="CV1579" s="59"/>
      <c r="CW1579" s="59"/>
      <c r="CX1579" s="59"/>
      <c r="CY1579" s="59"/>
      <c r="CZ1579" s="59"/>
      <c r="DA1579" s="59"/>
      <c r="DB1579" s="59"/>
      <c r="DC1579" s="59"/>
      <c r="DD1579" s="59"/>
      <c r="DE1579" s="59"/>
      <c r="DF1579" s="59"/>
      <c r="DG1579" s="59"/>
      <c r="DH1579" s="59"/>
      <c r="DI1579" s="59"/>
      <c r="DJ1579" s="59"/>
      <c r="DK1579" s="59"/>
      <c r="DL1579" s="59"/>
      <c r="DM1579" s="59"/>
      <c r="DN1579" s="59"/>
      <c r="DO1579" s="59"/>
      <c r="DP1579" s="59"/>
      <c r="DQ1579" s="59"/>
      <c r="DR1579" s="59"/>
      <c r="DS1579" s="59"/>
      <c r="DT1579" s="59"/>
      <c r="DU1579" s="59"/>
      <c r="DV1579" s="59"/>
    </row>
    <row r="1580" spans="1:126" x14ac:dyDescent="0.3">
      <c r="A1580" s="5"/>
      <c r="B1580" s="5" t="s">
        <v>349</v>
      </c>
      <c r="C1580" s="5"/>
      <c r="D1580" s="5" t="s">
        <v>14</v>
      </c>
      <c r="E1580" s="15">
        <f>1</f>
        <v>1</v>
      </c>
      <c r="F1580" s="15"/>
      <c r="G1580" s="15"/>
    </row>
    <row r="1581" spans="1:126" x14ac:dyDescent="0.3">
      <c r="A1581" s="5"/>
      <c r="B1581" s="5" t="s">
        <v>350</v>
      </c>
      <c r="C1581" s="5"/>
      <c r="D1581" s="5" t="s">
        <v>14</v>
      </c>
      <c r="E1581" s="15">
        <f>1</f>
        <v>1</v>
      </c>
      <c r="F1581" s="15"/>
      <c r="G1581" s="15"/>
    </row>
    <row r="1582" spans="1:126" x14ac:dyDescent="0.3">
      <c r="A1582" s="5"/>
      <c r="B1582" s="5" t="s">
        <v>351</v>
      </c>
      <c r="C1582" s="5"/>
      <c r="D1582" s="5" t="s">
        <v>14</v>
      </c>
      <c r="E1582" s="15">
        <f>1</f>
        <v>1</v>
      </c>
      <c r="F1582" s="15"/>
      <c r="G1582" s="15"/>
    </row>
    <row r="1583" spans="1:126" x14ac:dyDescent="0.3">
      <c r="A1583" s="5"/>
      <c r="B1583" s="5" t="s">
        <v>352</v>
      </c>
      <c r="C1583" s="5"/>
      <c r="D1583" s="5" t="s">
        <v>14</v>
      </c>
      <c r="E1583" s="15">
        <f>1</f>
        <v>1</v>
      </c>
      <c r="F1583" s="15"/>
      <c r="G1583" s="15"/>
    </row>
    <row r="1584" spans="1:126" x14ac:dyDescent="0.3">
      <c r="A1584" s="5"/>
      <c r="B1584" s="5" t="s">
        <v>353</v>
      </c>
      <c r="C1584" s="5"/>
      <c r="D1584" s="5" t="s">
        <v>14</v>
      </c>
      <c r="E1584" s="15">
        <f>1</f>
        <v>1</v>
      </c>
      <c r="F1584" s="15"/>
      <c r="G1584" s="15"/>
    </row>
    <row r="1585" spans="1:126" x14ac:dyDescent="0.3">
      <c r="A1585" s="5"/>
      <c r="B1585" s="5" t="s">
        <v>354</v>
      </c>
      <c r="C1585" s="5"/>
      <c r="D1585" s="5" t="s">
        <v>14</v>
      </c>
      <c r="E1585" s="15">
        <f>1</f>
        <v>1</v>
      </c>
      <c r="F1585" s="15"/>
      <c r="G1585" s="15"/>
    </row>
    <row r="1586" spans="1:126" x14ac:dyDescent="0.3">
      <c r="A1586" s="5"/>
      <c r="B1586" s="5" t="s">
        <v>355</v>
      </c>
      <c r="C1586" s="5"/>
      <c r="D1586" s="5" t="s">
        <v>14</v>
      </c>
      <c r="E1586" s="15">
        <f>1</f>
        <v>1</v>
      </c>
      <c r="F1586" s="15"/>
      <c r="G1586" s="15"/>
    </row>
    <row r="1587" spans="1:126" x14ac:dyDescent="0.3">
      <c r="A1587" s="5"/>
      <c r="B1587" s="5" t="s">
        <v>356</v>
      </c>
      <c r="C1587" s="5"/>
      <c r="D1587" s="5" t="s">
        <v>14</v>
      </c>
      <c r="E1587" s="15">
        <f>1</f>
        <v>1</v>
      </c>
      <c r="F1587" s="15"/>
      <c r="G1587" s="15"/>
    </row>
    <row r="1588" spans="1:126" x14ac:dyDescent="0.3">
      <c r="A1588" s="5"/>
      <c r="B1588" s="5" t="s">
        <v>23</v>
      </c>
      <c r="C1588" s="5"/>
      <c r="D1588" s="5" t="s">
        <v>8</v>
      </c>
      <c r="E1588" s="15">
        <f>0.7744</f>
        <v>0.77439999999999998</v>
      </c>
      <c r="F1588" s="15"/>
      <c r="G1588" s="15"/>
    </row>
    <row r="1589" spans="1:126" s="25" customFormat="1" x14ac:dyDescent="0.3">
      <c r="A1589" s="23"/>
      <c r="B1589" s="23" t="s">
        <v>357</v>
      </c>
      <c r="C1589" s="23" t="s">
        <v>339</v>
      </c>
      <c r="D1589" s="23"/>
      <c r="E1589" s="24"/>
      <c r="F1589" s="24"/>
      <c r="G1589" s="24"/>
      <c r="H1589" s="59"/>
      <c r="I1589" s="59"/>
      <c r="J1589" s="59"/>
      <c r="K1589" s="59"/>
      <c r="L1589" s="59"/>
      <c r="M1589" s="59"/>
      <c r="N1589" s="59"/>
      <c r="O1589" s="59"/>
      <c r="P1589" s="59"/>
      <c r="Q1589" s="59"/>
      <c r="R1589" s="59"/>
      <c r="S1589" s="59"/>
      <c r="T1589" s="59"/>
      <c r="U1589" s="59"/>
      <c r="V1589" s="59"/>
      <c r="W1589" s="59"/>
      <c r="X1589" s="59"/>
      <c r="Y1589" s="59"/>
      <c r="Z1589" s="59"/>
      <c r="AA1589" s="59"/>
      <c r="AB1589" s="59"/>
      <c r="AC1589" s="59"/>
      <c r="AD1589" s="59"/>
      <c r="AE1589" s="59"/>
      <c r="AF1589" s="59"/>
      <c r="AG1589" s="59"/>
      <c r="AH1589" s="59"/>
      <c r="AI1589" s="59"/>
      <c r="AJ1589" s="59"/>
      <c r="AK1589" s="59"/>
      <c r="AL1589" s="59"/>
      <c r="AM1589" s="59"/>
      <c r="AN1589" s="59"/>
      <c r="AO1589" s="59"/>
      <c r="AP1589" s="59"/>
      <c r="AQ1589" s="59"/>
      <c r="AR1589" s="59"/>
      <c r="AS1589" s="59"/>
      <c r="AT1589" s="59"/>
      <c r="AU1589" s="59"/>
      <c r="AV1589" s="59"/>
      <c r="AW1589" s="59"/>
      <c r="AX1589" s="59"/>
      <c r="AY1589" s="59"/>
      <c r="AZ1589" s="59"/>
      <c r="BA1589" s="59"/>
      <c r="BB1589" s="59"/>
      <c r="BC1589" s="59"/>
      <c r="BD1589" s="59"/>
      <c r="BE1589" s="59"/>
      <c r="BF1589" s="59"/>
      <c r="BG1589" s="59"/>
      <c r="BH1589" s="59"/>
      <c r="BI1589" s="59"/>
      <c r="BJ1589" s="59"/>
      <c r="BK1589" s="59"/>
      <c r="BL1589" s="59"/>
      <c r="BM1589" s="59"/>
      <c r="BN1589" s="59"/>
      <c r="BO1589" s="59"/>
      <c r="BP1589" s="59"/>
      <c r="BQ1589" s="59"/>
      <c r="BR1589" s="59"/>
      <c r="BS1589" s="59"/>
      <c r="BT1589" s="59"/>
      <c r="BU1589" s="59"/>
      <c r="BV1589" s="59"/>
      <c r="BW1589" s="59"/>
      <c r="BX1589" s="59"/>
      <c r="BY1589" s="59"/>
      <c r="BZ1589" s="59"/>
      <c r="CA1589" s="59"/>
      <c r="CB1589" s="59"/>
      <c r="CC1589" s="59"/>
      <c r="CD1589" s="59"/>
      <c r="CE1589" s="59"/>
      <c r="CF1589" s="59"/>
      <c r="CG1589" s="59"/>
      <c r="CH1589" s="59"/>
      <c r="CI1589" s="59"/>
      <c r="CJ1589" s="59"/>
      <c r="CK1589" s="59"/>
      <c r="CL1589" s="59"/>
      <c r="CM1589" s="59"/>
      <c r="CN1589" s="59"/>
      <c r="CO1589" s="59"/>
      <c r="CP1589" s="59"/>
      <c r="CQ1589" s="59"/>
      <c r="CR1589" s="59"/>
      <c r="CS1589" s="59"/>
      <c r="CT1589" s="59"/>
      <c r="CU1589" s="59"/>
      <c r="CV1589" s="59"/>
      <c r="CW1589" s="59"/>
      <c r="CX1589" s="59"/>
      <c r="CY1589" s="59"/>
      <c r="CZ1589" s="59"/>
      <c r="DA1589" s="59"/>
      <c r="DB1589" s="59"/>
      <c r="DC1589" s="59"/>
      <c r="DD1589" s="59"/>
      <c r="DE1589" s="59"/>
      <c r="DF1589" s="59"/>
      <c r="DG1589" s="59"/>
      <c r="DH1589" s="59"/>
      <c r="DI1589" s="59"/>
      <c r="DJ1589" s="59"/>
      <c r="DK1589" s="59"/>
      <c r="DL1589" s="59"/>
      <c r="DM1589" s="59"/>
      <c r="DN1589" s="59"/>
      <c r="DO1589" s="59"/>
      <c r="DP1589" s="59"/>
      <c r="DQ1589" s="59"/>
      <c r="DR1589" s="59"/>
      <c r="DS1589" s="59"/>
      <c r="DT1589" s="59"/>
      <c r="DU1589" s="59"/>
      <c r="DV1589" s="59"/>
    </row>
    <row r="1590" spans="1:126" s="3" customFormat="1" x14ac:dyDescent="0.3">
      <c r="A1590" s="21"/>
      <c r="B1590" s="21" t="s">
        <v>358</v>
      </c>
      <c r="C1590" s="21"/>
      <c r="D1590" s="21"/>
      <c r="E1590" s="22"/>
      <c r="F1590" s="22"/>
      <c r="G1590" s="22"/>
      <c r="H1590" s="59"/>
      <c r="I1590" s="59"/>
      <c r="J1590" s="59"/>
      <c r="K1590" s="59"/>
      <c r="L1590" s="59"/>
      <c r="M1590" s="59"/>
      <c r="N1590" s="59"/>
      <c r="O1590" s="59"/>
      <c r="P1590" s="59"/>
      <c r="Q1590" s="59"/>
      <c r="R1590" s="59"/>
      <c r="S1590" s="59"/>
      <c r="T1590" s="59"/>
      <c r="U1590" s="59"/>
      <c r="V1590" s="59"/>
      <c r="W1590" s="59"/>
      <c r="X1590" s="59"/>
      <c r="Y1590" s="59"/>
      <c r="Z1590" s="59"/>
      <c r="AA1590" s="59"/>
      <c r="AB1590" s="59"/>
      <c r="AC1590" s="59"/>
      <c r="AD1590" s="59"/>
      <c r="AE1590" s="59"/>
      <c r="AF1590" s="59"/>
      <c r="AG1590" s="59"/>
      <c r="AH1590" s="59"/>
      <c r="AI1590" s="59"/>
      <c r="AJ1590" s="59"/>
      <c r="AK1590" s="59"/>
      <c r="AL1590" s="59"/>
      <c r="AM1590" s="59"/>
      <c r="AN1590" s="59"/>
      <c r="AO1590" s="59"/>
      <c r="AP1590" s="59"/>
      <c r="AQ1590" s="59"/>
      <c r="AR1590" s="59"/>
      <c r="AS1590" s="59"/>
      <c r="AT1590" s="59"/>
      <c r="AU1590" s="59"/>
      <c r="AV1590" s="59"/>
      <c r="AW1590" s="59"/>
      <c r="AX1590" s="59"/>
      <c r="AY1590" s="59"/>
      <c r="AZ1590" s="59"/>
      <c r="BA1590" s="59"/>
      <c r="BB1590" s="59"/>
      <c r="BC1590" s="59"/>
      <c r="BD1590" s="59"/>
      <c r="BE1590" s="59"/>
      <c r="BF1590" s="59"/>
      <c r="BG1590" s="59"/>
      <c r="BH1590" s="59"/>
      <c r="BI1590" s="59"/>
      <c r="BJ1590" s="59"/>
      <c r="BK1590" s="59"/>
      <c r="BL1590" s="59"/>
      <c r="BM1590" s="59"/>
      <c r="BN1590" s="59"/>
      <c r="BO1590" s="59"/>
      <c r="BP1590" s="59"/>
      <c r="BQ1590" s="59"/>
      <c r="BR1590" s="59"/>
      <c r="BS1590" s="59"/>
      <c r="BT1590" s="59"/>
      <c r="BU1590" s="59"/>
      <c r="BV1590" s="59"/>
      <c r="BW1590" s="59"/>
      <c r="BX1590" s="59"/>
      <c r="BY1590" s="59"/>
      <c r="BZ1590" s="59"/>
      <c r="CA1590" s="59"/>
      <c r="CB1590" s="59"/>
      <c r="CC1590" s="59"/>
      <c r="CD1590" s="59"/>
      <c r="CE1590" s="59"/>
      <c r="CF1590" s="59"/>
      <c r="CG1590" s="59"/>
      <c r="CH1590" s="59"/>
      <c r="CI1590" s="59"/>
      <c r="CJ1590" s="59"/>
      <c r="CK1590" s="59"/>
      <c r="CL1590" s="59"/>
      <c r="CM1590" s="59"/>
      <c r="CN1590" s="59"/>
      <c r="CO1590" s="59"/>
      <c r="CP1590" s="59"/>
      <c r="CQ1590" s="59"/>
      <c r="CR1590" s="59"/>
      <c r="CS1590" s="59"/>
      <c r="CT1590" s="59"/>
      <c r="CU1590" s="59"/>
      <c r="CV1590" s="59"/>
      <c r="CW1590" s="59"/>
      <c r="CX1590" s="59"/>
      <c r="CY1590" s="59"/>
      <c r="CZ1590" s="59"/>
      <c r="DA1590" s="59"/>
      <c r="DB1590" s="59"/>
      <c r="DC1590" s="59"/>
      <c r="DD1590" s="59"/>
      <c r="DE1590" s="59"/>
      <c r="DF1590" s="59"/>
      <c r="DG1590" s="59"/>
      <c r="DH1590" s="59"/>
      <c r="DI1590" s="59"/>
      <c r="DJ1590" s="59"/>
      <c r="DK1590" s="59"/>
      <c r="DL1590" s="59"/>
      <c r="DM1590" s="59"/>
      <c r="DN1590" s="59"/>
      <c r="DO1590" s="59"/>
      <c r="DP1590" s="59"/>
      <c r="DQ1590" s="59"/>
      <c r="DR1590" s="59"/>
      <c r="DS1590" s="59"/>
      <c r="DT1590" s="59"/>
      <c r="DU1590" s="59"/>
      <c r="DV1590" s="59"/>
    </row>
    <row r="1591" spans="1:126" ht="31.2" x14ac:dyDescent="0.3">
      <c r="A1591" s="5"/>
      <c r="B1591" s="11" t="s">
        <v>234</v>
      </c>
      <c r="C1591" s="5"/>
      <c r="D1591" s="5" t="s">
        <v>8</v>
      </c>
      <c r="E1591" s="15">
        <f>2642.7+3.2</f>
        <v>2645.8999999999996</v>
      </c>
      <c r="F1591" s="15"/>
      <c r="G1591" s="15"/>
    </row>
    <row r="1592" spans="1:126" x14ac:dyDescent="0.3">
      <c r="A1592" s="5"/>
      <c r="B1592" s="5" t="s">
        <v>182</v>
      </c>
      <c r="C1592" s="5"/>
      <c r="D1592" s="5" t="s">
        <v>8</v>
      </c>
      <c r="E1592" s="15">
        <f>38.9</f>
        <v>38.9</v>
      </c>
      <c r="F1592" s="15"/>
      <c r="G1592" s="15"/>
    </row>
    <row r="1593" spans="1:126" s="3" customFormat="1" x14ac:dyDescent="0.3">
      <c r="A1593" s="21"/>
      <c r="B1593" s="21" t="s">
        <v>359</v>
      </c>
      <c r="C1593" s="21"/>
      <c r="D1593" s="21"/>
      <c r="E1593" s="22"/>
      <c r="F1593" s="22"/>
      <c r="G1593" s="22"/>
      <c r="H1593" s="59"/>
      <c r="I1593" s="59"/>
      <c r="J1593" s="59"/>
      <c r="K1593" s="59"/>
      <c r="L1593" s="59"/>
      <c r="M1593" s="59"/>
      <c r="N1593" s="59"/>
      <c r="O1593" s="59"/>
      <c r="P1593" s="59"/>
      <c r="Q1593" s="59"/>
      <c r="R1593" s="59"/>
      <c r="S1593" s="59"/>
      <c r="T1593" s="59"/>
      <c r="U1593" s="59"/>
      <c r="V1593" s="59"/>
      <c r="W1593" s="59"/>
      <c r="X1593" s="59"/>
      <c r="Y1593" s="59"/>
      <c r="Z1593" s="59"/>
      <c r="AA1593" s="59"/>
      <c r="AB1593" s="59"/>
      <c r="AC1593" s="59"/>
      <c r="AD1593" s="59"/>
      <c r="AE1593" s="59"/>
      <c r="AF1593" s="59"/>
      <c r="AG1593" s="59"/>
      <c r="AH1593" s="59"/>
      <c r="AI1593" s="59"/>
      <c r="AJ1593" s="59"/>
      <c r="AK1593" s="59"/>
      <c r="AL1593" s="59"/>
      <c r="AM1593" s="59"/>
      <c r="AN1593" s="59"/>
      <c r="AO1593" s="59"/>
      <c r="AP1593" s="59"/>
      <c r="AQ1593" s="59"/>
      <c r="AR1593" s="59"/>
      <c r="AS1593" s="59"/>
      <c r="AT1593" s="59"/>
      <c r="AU1593" s="59"/>
      <c r="AV1593" s="59"/>
      <c r="AW1593" s="59"/>
      <c r="AX1593" s="59"/>
      <c r="AY1593" s="59"/>
      <c r="AZ1593" s="59"/>
      <c r="BA1593" s="59"/>
      <c r="BB1593" s="59"/>
      <c r="BC1593" s="59"/>
      <c r="BD1593" s="59"/>
      <c r="BE1593" s="59"/>
      <c r="BF1593" s="59"/>
      <c r="BG1593" s="59"/>
      <c r="BH1593" s="59"/>
      <c r="BI1593" s="59"/>
      <c r="BJ1593" s="59"/>
      <c r="BK1593" s="59"/>
      <c r="BL1593" s="59"/>
      <c r="BM1593" s="59"/>
      <c r="BN1593" s="59"/>
      <c r="BO1593" s="59"/>
      <c r="BP1593" s="59"/>
      <c r="BQ1593" s="59"/>
      <c r="BR1593" s="59"/>
      <c r="BS1593" s="59"/>
      <c r="BT1593" s="59"/>
      <c r="BU1593" s="59"/>
      <c r="BV1593" s="59"/>
      <c r="BW1593" s="59"/>
      <c r="BX1593" s="59"/>
      <c r="BY1593" s="59"/>
      <c r="BZ1593" s="59"/>
      <c r="CA1593" s="59"/>
      <c r="CB1593" s="59"/>
      <c r="CC1593" s="59"/>
      <c r="CD1593" s="59"/>
      <c r="CE1593" s="59"/>
      <c r="CF1593" s="59"/>
      <c r="CG1593" s="59"/>
      <c r="CH1593" s="59"/>
      <c r="CI1593" s="59"/>
      <c r="CJ1593" s="59"/>
      <c r="CK1593" s="59"/>
      <c r="CL1593" s="59"/>
      <c r="CM1593" s="59"/>
      <c r="CN1593" s="59"/>
      <c r="CO1593" s="59"/>
      <c r="CP1593" s="59"/>
      <c r="CQ1593" s="59"/>
      <c r="CR1593" s="59"/>
      <c r="CS1593" s="59"/>
      <c r="CT1593" s="59"/>
      <c r="CU1593" s="59"/>
      <c r="CV1593" s="59"/>
      <c r="CW1593" s="59"/>
      <c r="CX1593" s="59"/>
      <c r="CY1593" s="59"/>
      <c r="CZ1593" s="59"/>
      <c r="DA1593" s="59"/>
      <c r="DB1593" s="59"/>
      <c r="DC1593" s="59"/>
      <c r="DD1593" s="59"/>
      <c r="DE1593" s="59"/>
      <c r="DF1593" s="59"/>
      <c r="DG1593" s="59"/>
      <c r="DH1593" s="59"/>
      <c r="DI1593" s="59"/>
      <c r="DJ1593" s="59"/>
      <c r="DK1593" s="59"/>
      <c r="DL1593" s="59"/>
      <c r="DM1593" s="59"/>
      <c r="DN1593" s="59"/>
      <c r="DO1593" s="59"/>
      <c r="DP1593" s="59"/>
      <c r="DQ1593" s="59"/>
      <c r="DR1593" s="59"/>
      <c r="DS1593" s="59"/>
      <c r="DT1593" s="59"/>
      <c r="DU1593" s="59"/>
      <c r="DV1593" s="59"/>
    </row>
    <row r="1594" spans="1:126" s="20" customFormat="1" ht="31.2" x14ac:dyDescent="0.3">
      <c r="A1594" s="18"/>
      <c r="B1594" s="17" t="s">
        <v>342</v>
      </c>
      <c r="C1594" s="18"/>
      <c r="D1594" s="18" t="s">
        <v>8</v>
      </c>
      <c r="E1594" s="19">
        <f>102.6</f>
        <v>102.6</v>
      </c>
      <c r="F1594" s="19"/>
      <c r="G1594" s="19"/>
      <c r="H1594" s="60"/>
      <c r="I1594" s="60"/>
      <c r="J1594" s="60"/>
      <c r="K1594" s="60"/>
      <c r="L1594" s="60"/>
      <c r="M1594" s="60"/>
      <c r="N1594" s="60"/>
      <c r="O1594" s="60"/>
      <c r="P1594" s="60"/>
      <c r="Q1594" s="60"/>
      <c r="R1594" s="60"/>
      <c r="S1594" s="60"/>
      <c r="T1594" s="60"/>
      <c r="U1594" s="60"/>
      <c r="V1594" s="60"/>
      <c r="W1594" s="60"/>
      <c r="X1594" s="60"/>
      <c r="Y1594" s="60"/>
      <c r="Z1594" s="60"/>
      <c r="AA1594" s="60"/>
      <c r="AB1594" s="60"/>
      <c r="AC1594" s="60"/>
      <c r="AD1594" s="60"/>
      <c r="AE1594" s="60"/>
      <c r="AF1594" s="60"/>
      <c r="AG1594" s="60"/>
      <c r="AH1594" s="60"/>
      <c r="AI1594" s="60"/>
      <c r="AJ1594" s="60"/>
      <c r="AK1594" s="60"/>
      <c r="AL1594" s="60"/>
      <c r="AM1594" s="60"/>
      <c r="AN1594" s="60"/>
      <c r="AO1594" s="60"/>
      <c r="AP1594" s="60"/>
      <c r="AQ1594" s="60"/>
      <c r="AR1594" s="60"/>
      <c r="AS1594" s="60"/>
      <c r="AT1594" s="60"/>
      <c r="AU1594" s="60"/>
      <c r="AV1594" s="60"/>
      <c r="AW1594" s="60"/>
      <c r="AX1594" s="60"/>
      <c r="AY1594" s="60"/>
      <c r="AZ1594" s="60"/>
      <c r="BA1594" s="60"/>
      <c r="BB1594" s="60"/>
      <c r="BC1594" s="60"/>
      <c r="BD1594" s="60"/>
      <c r="BE1594" s="60"/>
      <c r="BF1594" s="60"/>
      <c r="BG1594" s="60"/>
      <c r="BH1594" s="60"/>
      <c r="BI1594" s="60"/>
      <c r="BJ1594" s="60"/>
      <c r="BK1594" s="60"/>
      <c r="BL1594" s="60"/>
      <c r="BM1594" s="60"/>
      <c r="BN1594" s="60"/>
      <c r="BO1594" s="60"/>
      <c r="BP1594" s="60"/>
      <c r="BQ1594" s="60"/>
      <c r="BR1594" s="60"/>
      <c r="BS1594" s="60"/>
      <c r="BT1594" s="60"/>
      <c r="BU1594" s="60"/>
      <c r="BV1594" s="60"/>
      <c r="BW1594" s="60"/>
      <c r="BX1594" s="60"/>
      <c r="BY1594" s="60"/>
      <c r="BZ1594" s="60"/>
      <c r="CA1594" s="60"/>
      <c r="CB1594" s="60"/>
      <c r="CC1594" s="60"/>
      <c r="CD1594" s="60"/>
      <c r="CE1594" s="60"/>
      <c r="CF1594" s="60"/>
      <c r="CG1594" s="60"/>
      <c r="CH1594" s="60"/>
      <c r="CI1594" s="60"/>
      <c r="CJ1594" s="60"/>
      <c r="CK1594" s="60"/>
      <c r="CL1594" s="60"/>
      <c r="CM1594" s="60"/>
      <c r="CN1594" s="60"/>
      <c r="CO1594" s="60"/>
      <c r="CP1594" s="60"/>
      <c r="CQ1594" s="60"/>
      <c r="CR1594" s="60"/>
      <c r="CS1594" s="60"/>
      <c r="CT1594" s="60"/>
      <c r="CU1594" s="60"/>
      <c r="CV1594" s="60"/>
      <c r="CW1594" s="60"/>
      <c r="CX1594" s="60"/>
      <c r="CY1594" s="60"/>
      <c r="CZ1594" s="60"/>
      <c r="DA1594" s="60"/>
      <c r="DB1594" s="60"/>
      <c r="DC1594" s="60"/>
      <c r="DD1594" s="60"/>
      <c r="DE1594" s="60"/>
      <c r="DF1594" s="60"/>
      <c r="DG1594" s="60"/>
      <c r="DH1594" s="60"/>
      <c r="DI1594" s="60"/>
      <c r="DJ1594" s="60"/>
      <c r="DK1594" s="60"/>
      <c r="DL1594" s="60"/>
      <c r="DM1594" s="60"/>
      <c r="DN1594" s="60"/>
      <c r="DO1594" s="60"/>
      <c r="DP1594" s="60"/>
      <c r="DQ1594" s="60"/>
      <c r="DR1594" s="60"/>
      <c r="DS1594" s="60"/>
      <c r="DT1594" s="60"/>
      <c r="DU1594" s="60"/>
      <c r="DV1594" s="60"/>
    </row>
    <row r="1595" spans="1:126" ht="31.2" x14ac:dyDescent="0.3">
      <c r="A1595" s="5"/>
      <c r="B1595" s="11" t="s">
        <v>230</v>
      </c>
      <c r="C1595" s="5"/>
      <c r="D1595" s="5" t="s">
        <v>8</v>
      </c>
      <c r="E1595" s="15">
        <f>29</f>
        <v>29</v>
      </c>
      <c r="F1595" s="15"/>
      <c r="G1595" s="15"/>
    </row>
    <row r="1596" spans="1:126" x14ac:dyDescent="0.3">
      <c r="A1596" s="5"/>
      <c r="B1596" s="5" t="s">
        <v>182</v>
      </c>
      <c r="C1596" s="5"/>
      <c r="D1596" s="5" t="s">
        <v>8</v>
      </c>
      <c r="E1596" s="15">
        <f>1.4</f>
        <v>1.4</v>
      </c>
      <c r="F1596" s="15"/>
      <c r="G1596" s="15"/>
    </row>
    <row r="1597" spans="1:126" x14ac:dyDescent="0.3">
      <c r="A1597" s="21"/>
      <c r="B1597" s="21" t="s">
        <v>360</v>
      </c>
      <c r="C1597" s="21"/>
      <c r="D1597" s="21" t="s">
        <v>69</v>
      </c>
      <c r="E1597" s="22">
        <f>2898.3</f>
        <v>2898.3</v>
      </c>
      <c r="F1597" s="22"/>
      <c r="G1597" s="22"/>
    </row>
    <row r="1598" spans="1:126" x14ac:dyDescent="0.3">
      <c r="A1598" s="5"/>
      <c r="B1598" s="5" t="s">
        <v>153</v>
      </c>
      <c r="C1598" s="5"/>
      <c r="D1598" s="5" t="s">
        <v>72</v>
      </c>
      <c r="E1598" s="5">
        <v>2284.4400599999999</v>
      </c>
      <c r="F1598" s="5"/>
      <c r="G1598" s="5"/>
    </row>
    <row r="1599" spans="1:126" x14ac:dyDescent="0.3">
      <c r="A1599" s="5"/>
      <c r="B1599" s="5" t="s">
        <v>155</v>
      </c>
      <c r="C1599" s="5"/>
      <c r="D1599" s="5" t="s">
        <v>72</v>
      </c>
      <c r="E1599" s="5">
        <v>228.444006</v>
      </c>
      <c r="F1599" s="5"/>
      <c r="G1599" s="5"/>
    </row>
    <row r="1600" spans="1:126" x14ac:dyDescent="0.3">
      <c r="A1600" s="21"/>
      <c r="B1600" s="21" t="s">
        <v>361</v>
      </c>
      <c r="C1600" s="21"/>
      <c r="D1600" s="21" t="s">
        <v>69</v>
      </c>
      <c r="E1600" s="22">
        <f>28982.5</f>
        <v>28982.5</v>
      </c>
      <c r="F1600" s="22"/>
      <c r="G1600" s="22"/>
    </row>
    <row r="1601" spans="1:126" x14ac:dyDescent="0.3">
      <c r="A1601" s="5"/>
      <c r="B1601" s="5" t="s">
        <v>239</v>
      </c>
      <c r="C1601" s="5"/>
      <c r="D1601" s="5" t="s">
        <v>72</v>
      </c>
      <c r="E1601" s="5">
        <v>12132.074499999999</v>
      </c>
      <c r="F1601" s="5"/>
      <c r="G1601" s="5"/>
    </row>
    <row r="1602" spans="1:126" x14ac:dyDescent="0.3">
      <c r="A1602" s="5"/>
      <c r="B1602" s="5" t="s">
        <v>155</v>
      </c>
      <c r="C1602" s="5"/>
      <c r="D1602" s="5" t="s">
        <v>72</v>
      </c>
      <c r="E1602" s="5">
        <v>1213.2074499999999</v>
      </c>
      <c r="F1602" s="5"/>
      <c r="G1602" s="5"/>
    </row>
    <row r="1603" spans="1:126" x14ac:dyDescent="0.3">
      <c r="A1603" s="21"/>
      <c r="B1603" s="21" t="s">
        <v>362</v>
      </c>
      <c r="C1603" s="21"/>
      <c r="D1603" s="21" t="s">
        <v>69</v>
      </c>
      <c r="E1603" s="22">
        <f>268.9</f>
        <v>268.89999999999998</v>
      </c>
      <c r="F1603" s="22"/>
      <c r="G1603" s="22"/>
    </row>
    <row r="1604" spans="1:126" x14ac:dyDescent="0.3">
      <c r="A1604" s="5"/>
      <c r="B1604" s="5" t="s">
        <v>153</v>
      </c>
      <c r="C1604" s="5"/>
      <c r="D1604" s="5" t="s">
        <v>72</v>
      </c>
      <c r="E1604" s="5">
        <v>211.94697999999997</v>
      </c>
      <c r="F1604" s="5"/>
      <c r="G1604" s="5"/>
    </row>
    <row r="1605" spans="1:126" x14ac:dyDescent="0.3">
      <c r="A1605" s="5"/>
      <c r="B1605" s="5" t="s">
        <v>155</v>
      </c>
      <c r="C1605" s="5"/>
      <c r="D1605" s="5" t="s">
        <v>72</v>
      </c>
      <c r="E1605" s="5">
        <v>21.194697999999999</v>
      </c>
      <c r="F1605" s="5"/>
      <c r="G1605" s="5"/>
    </row>
    <row r="1606" spans="1:126" x14ac:dyDescent="0.3">
      <c r="A1606" s="21"/>
      <c r="B1606" s="21" t="s">
        <v>363</v>
      </c>
      <c r="C1606" s="21"/>
      <c r="D1606" s="21" t="s">
        <v>69</v>
      </c>
      <c r="E1606" s="22">
        <f>2688.9</f>
        <v>2688.9</v>
      </c>
      <c r="F1606" s="22"/>
      <c r="G1606" s="22"/>
    </row>
    <row r="1607" spans="1:126" x14ac:dyDescent="0.3">
      <c r="A1607" s="5"/>
      <c r="B1607" s="5" t="s">
        <v>239</v>
      </c>
      <c r="C1607" s="5"/>
      <c r="D1607" s="5" t="s">
        <v>72</v>
      </c>
      <c r="E1607" s="5">
        <v>1125.5735399999999</v>
      </c>
      <c r="F1607" s="5"/>
      <c r="G1607" s="5"/>
    </row>
    <row r="1608" spans="1:126" x14ac:dyDescent="0.3">
      <c r="A1608" s="5"/>
      <c r="B1608" s="5" t="s">
        <v>155</v>
      </c>
      <c r="C1608" s="5"/>
      <c r="D1608" s="5" t="s">
        <v>72</v>
      </c>
      <c r="E1608" s="5">
        <v>112.55735399999999</v>
      </c>
      <c r="F1608" s="5"/>
      <c r="G1608" s="5"/>
    </row>
    <row r="1609" spans="1:126" s="3" customFormat="1" x14ac:dyDescent="0.3">
      <c r="A1609" s="21"/>
      <c r="B1609" s="21" t="s">
        <v>364</v>
      </c>
      <c r="C1609" s="21"/>
      <c r="D1609" s="21"/>
      <c r="E1609" s="22"/>
      <c r="F1609" s="22"/>
      <c r="G1609" s="22"/>
      <c r="H1609" s="59"/>
      <c r="I1609" s="59"/>
      <c r="J1609" s="59"/>
      <c r="K1609" s="59"/>
      <c r="L1609" s="59"/>
      <c r="M1609" s="59"/>
      <c r="N1609" s="59"/>
      <c r="O1609" s="59"/>
      <c r="P1609" s="59"/>
      <c r="Q1609" s="59"/>
      <c r="R1609" s="59"/>
      <c r="S1609" s="59"/>
      <c r="T1609" s="59"/>
      <c r="U1609" s="59"/>
      <c r="V1609" s="59"/>
      <c r="W1609" s="59"/>
      <c r="X1609" s="59"/>
      <c r="Y1609" s="59"/>
      <c r="Z1609" s="59"/>
      <c r="AA1609" s="59"/>
      <c r="AB1609" s="59"/>
      <c r="AC1609" s="59"/>
      <c r="AD1609" s="59"/>
      <c r="AE1609" s="59"/>
      <c r="AF1609" s="59"/>
      <c r="AG1609" s="59"/>
      <c r="AH1609" s="59"/>
      <c r="AI1609" s="59"/>
      <c r="AJ1609" s="59"/>
      <c r="AK1609" s="59"/>
      <c r="AL1609" s="59"/>
      <c r="AM1609" s="59"/>
      <c r="AN1609" s="59"/>
      <c r="AO1609" s="59"/>
      <c r="AP1609" s="59"/>
      <c r="AQ1609" s="59"/>
      <c r="AR1609" s="59"/>
      <c r="AS1609" s="59"/>
      <c r="AT1609" s="59"/>
      <c r="AU1609" s="59"/>
      <c r="AV1609" s="59"/>
      <c r="AW1609" s="59"/>
      <c r="AX1609" s="59"/>
      <c r="AY1609" s="59"/>
      <c r="AZ1609" s="59"/>
      <c r="BA1609" s="59"/>
      <c r="BB1609" s="59"/>
      <c r="BC1609" s="59"/>
      <c r="BD1609" s="59"/>
      <c r="BE1609" s="59"/>
      <c r="BF1609" s="59"/>
      <c r="BG1609" s="59"/>
      <c r="BH1609" s="59"/>
      <c r="BI1609" s="59"/>
      <c r="BJ1609" s="59"/>
      <c r="BK1609" s="59"/>
      <c r="BL1609" s="59"/>
      <c r="BM1609" s="59"/>
      <c r="BN1609" s="59"/>
      <c r="BO1609" s="59"/>
      <c r="BP1609" s="59"/>
      <c r="BQ1609" s="59"/>
      <c r="BR1609" s="59"/>
      <c r="BS1609" s="59"/>
      <c r="BT1609" s="59"/>
      <c r="BU1609" s="59"/>
      <c r="BV1609" s="59"/>
      <c r="BW1609" s="59"/>
      <c r="BX1609" s="59"/>
      <c r="BY1609" s="59"/>
      <c r="BZ1609" s="59"/>
      <c r="CA1609" s="59"/>
      <c r="CB1609" s="59"/>
      <c r="CC1609" s="59"/>
      <c r="CD1609" s="59"/>
      <c r="CE1609" s="59"/>
      <c r="CF1609" s="59"/>
      <c r="CG1609" s="59"/>
      <c r="CH1609" s="59"/>
      <c r="CI1609" s="59"/>
      <c r="CJ1609" s="59"/>
      <c r="CK1609" s="59"/>
      <c r="CL1609" s="59"/>
      <c r="CM1609" s="59"/>
      <c r="CN1609" s="59"/>
      <c r="CO1609" s="59"/>
      <c r="CP1609" s="59"/>
      <c r="CQ1609" s="59"/>
      <c r="CR1609" s="59"/>
      <c r="CS1609" s="59"/>
      <c r="CT1609" s="59"/>
      <c r="CU1609" s="59"/>
      <c r="CV1609" s="59"/>
      <c r="CW1609" s="59"/>
      <c r="CX1609" s="59"/>
      <c r="CY1609" s="59"/>
      <c r="CZ1609" s="59"/>
      <c r="DA1609" s="59"/>
      <c r="DB1609" s="59"/>
      <c r="DC1609" s="59"/>
      <c r="DD1609" s="59"/>
      <c r="DE1609" s="59"/>
      <c r="DF1609" s="59"/>
      <c r="DG1609" s="59"/>
      <c r="DH1609" s="59"/>
      <c r="DI1609" s="59"/>
      <c r="DJ1609" s="59"/>
      <c r="DK1609" s="59"/>
      <c r="DL1609" s="59"/>
      <c r="DM1609" s="59"/>
      <c r="DN1609" s="59"/>
      <c r="DO1609" s="59"/>
      <c r="DP1609" s="59"/>
      <c r="DQ1609" s="59"/>
      <c r="DR1609" s="59"/>
      <c r="DS1609" s="59"/>
      <c r="DT1609" s="59"/>
      <c r="DU1609" s="59"/>
      <c r="DV1609" s="59"/>
    </row>
    <row r="1610" spans="1:126" x14ac:dyDescent="0.3">
      <c r="A1610" s="5"/>
      <c r="B1610" s="5" t="s">
        <v>349</v>
      </c>
      <c r="C1610" s="5"/>
      <c r="D1610" s="5" t="s">
        <v>14</v>
      </c>
      <c r="E1610" s="15">
        <f>1</f>
        <v>1</v>
      </c>
      <c r="F1610" s="15"/>
      <c r="G1610" s="15"/>
    </row>
    <row r="1611" spans="1:126" x14ac:dyDescent="0.3">
      <c r="A1611" s="5"/>
      <c r="B1611" s="5" t="s">
        <v>350</v>
      </c>
      <c r="C1611" s="5"/>
      <c r="D1611" s="5" t="s">
        <v>14</v>
      </c>
      <c r="E1611" s="15">
        <f>1</f>
        <v>1</v>
      </c>
      <c r="F1611" s="15"/>
      <c r="G1611" s="15"/>
    </row>
    <row r="1612" spans="1:126" x14ac:dyDescent="0.3">
      <c r="A1612" s="5"/>
      <c r="B1612" s="5" t="s">
        <v>351</v>
      </c>
      <c r="C1612" s="5"/>
      <c r="D1612" s="5" t="s">
        <v>14</v>
      </c>
      <c r="E1612" s="15">
        <f>1</f>
        <v>1</v>
      </c>
      <c r="F1612" s="15"/>
      <c r="G1612" s="15"/>
    </row>
    <row r="1613" spans="1:126" x14ac:dyDescent="0.3">
      <c r="A1613" s="5"/>
      <c r="B1613" s="5" t="s">
        <v>352</v>
      </c>
      <c r="C1613" s="5"/>
      <c r="D1613" s="5" t="s">
        <v>14</v>
      </c>
      <c r="E1613" s="15">
        <f>1</f>
        <v>1</v>
      </c>
      <c r="F1613" s="15"/>
      <c r="G1613" s="15"/>
    </row>
    <row r="1614" spans="1:126" x14ac:dyDescent="0.3">
      <c r="A1614" s="5"/>
      <c r="B1614" s="5" t="s">
        <v>353</v>
      </c>
      <c r="C1614" s="5"/>
      <c r="D1614" s="5" t="s">
        <v>14</v>
      </c>
      <c r="E1614" s="15">
        <f>1</f>
        <v>1</v>
      </c>
      <c r="F1614" s="15"/>
      <c r="G1614" s="15"/>
    </row>
    <row r="1615" spans="1:126" x14ac:dyDescent="0.3">
      <c r="A1615" s="5"/>
      <c r="B1615" s="5" t="s">
        <v>354</v>
      </c>
      <c r="C1615" s="5"/>
      <c r="D1615" s="5" t="s">
        <v>14</v>
      </c>
      <c r="E1615" s="15">
        <f>1</f>
        <v>1</v>
      </c>
      <c r="F1615" s="15"/>
      <c r="G1615" s="15"/>
    </row>
    <row r="1616" spans="1:126" x14ac:dyDescent="0.3">
      <c r="A1616" s="5"/>
      <c r="B1616" s="5" t="s">
        <v>355</v>
      </c>
      <c r="C1616" s="5"/>
      <c r="D1616" s="5" t="s">
        <v>14</v>
      </c>
      <c r="E1616" s="15">
        <f>1</f>
        <v>1</v>
      </c>
      <c r="F1616" s="15"/>
      <c r="G1616" s="15"/>
    </row>
    <row r="1617" spans="1:126" x14ac:dyDescent="0.3">
      <c r="A1617" s="5"/>
      <c r="B1617" s="5" t="s">
        <v>356</v>
      </c>
      <c r="C1617" s="5"/>
      <c r="D1617" s="5" t="s">
        <v>14</v>
      </c>
      <c r="E1617" s="15">
        <f>1</f>
        <v>1</v>
      </c>
      <c r="F1617" s="15"/>
      <c r="G1617" s="15"/>
    </row>
    <row r="1618" spans="1:126" x14ac:dyDescent="0.3">
      <c r="A1618" s="5"/>
      <c r="B1618" s="5" t="s">
        <v>23</v>
      </c>
      <c r="C1618" s="5"/>
      <c r="D1618" s="5" t="s">
        <v>8</v>
      </c>
      <c r="E1618" s="15">
        <f>0.7744</f>
        <v>0.77439999999999998</v>
      </c>
      <c r="F1618" s="15"/>
      <c r="G1618" s="15"/>
    </row>
    <row r="1619" spans="1:126" s="25" customFormat="1" x14ac:dyDescent="0.3">
      <c r="A1619" s="23"/>
      <c r="B1619" s="23" t="s">
        <v>365</v>
      </c>
      <c r="C1619" s="23" t="s">
        <v>339</v>
      </c>
      <c r="D1619" s="23"/>
      <c r="E1619" s="24"/>
      <c r="F1619" s="24"/>
      <c r="G1619" s="24"/>
      <c r="H1619" s="59"/>
      <c r="I1619" s="59"/>
      <c r="J1619" s="59"/>
      <c r="K1619" s="59"/>
      <c r="L1619" s="59"/>
      <c r="M1619" s="59"/>
      <c r="N1619" s="59"/>
      <c r="O1619" s="59"/>
      <c r="P1619" s="59"/>
      <c r="Q1619" s="59"/>
      <c r="R1619" s="59"/>
      <c r="S1619" s="59"/>
      <c r="T1619" s="59"/>
      <c r="U1619" s="59"/>
      <c r="V1619" s="59"/>
      <c r="W1619" s="59"/>
      <c r="X1619" s="59"/>
      <c r="Y1619" s="59"/>
      <c r="Z1619" s="59"/>
      <c r="AA1619" s="59"/>
      <c r="AB1619" s="59"/>
      <c r="AC1619" s="59"/>
      <c r="AD1619" s="59"/>
      <c r="AE1619" s="59"/>
      <c r="AF1619" s="59"/>
      <c r="AG1619" s="59"/>
      <c r="AH1619" s="59"/>
      <c r="AI1619" s="59"/>
      <c r="AJ1619" s="59"/>
      <c r="AK1619" s="59"/>
      <c r="AL1619" s="59"/>
      <c r="AM1619" s="59"/>
      <c r="AN1619" s="59"/>
      <c r="AO1619" s="59"/>
      <c r="AP1619" s="59"/>
      <c r="AQ1619" s="59"/>
      <c r="AR1619" s="59"/>
      <c r="AS1619" s="59"/>
      <c r="AT1619" s="59"/>
      <c r="AU1619" s="59"/>
      <c r="AV1619" s="59"/>
      <c r="AW1619" s="59"/>
      <c r="AX1619" s="59"/>
      <c r="AY1619" s="59"/>
      <c r="AZ1619" s="59"/>
      <c r="BA1619" s="59"/>
      <c r="BB1619" s="59"/>
      <c r="BC1619" s="59"/>
      <c r="BD1619" s="59"/>
      <c r="BE1619" s="59"/>
      <c r="BF1619" s="59"/>
      <c r="BG1619" s="59"/>
      <c r="BH1619" s="59"/>
      <c r="BI1619" s="59"/>
      <c r="BJ1619" s="59"/>
      <c r="BK1619" s="59"/>
      <c r="BL1619" s="59"/>
      <c r="BM1619" s="59"/>
      <c r="BN1619" s="59"/>
      <c r="BO1619" s="59"/>
      <c r="BP1619" s="59"/>
      <c r="BQ1619" s="59"/>
      <c r="BR1619" s="59"/>
      <c r="BS1619" s="59"/>
      <c r="BT1619" s="59"/>
      <c r="BU1619" s="59"/>
      <c r="BV1619" s="59"/>
      <c r="BW1619" s="59"/>
      <c r="BX1619" s="59"/>
      <c r="BY1619" s="59"/>
      <c r="BZ1619" s="59"/>
      <c r="CA1619" s="59"/>
      <c r="CB1619" s="59"/>
      <c r="CC1619" s="59"/>
      <c r="CD1619" s="59"/>
      <c r="CE1619" s="59"/>
      <c r="CF1619" s="59"/>
      <c r="CG1619" s="59"/>
      <c r="CH1619" s="59"/>
      <c r="CI1619" s="59"/>
      <c r="CJ1619" s="59"/>
      <c r="CK1619" s="59"/>
      <c r="CL1619" s="59"/>
      <c r="CM1619" s="59"/>
      <c r="CN1619" s="59"/>
      <c r="CO1619" s="59"/>
      <c r="CP1619" s="59"/>
      <c r="CQ1619" s="59"/>
      <c r="CR1619" s="59"/>
      <c r="CS1619" s="59"/>
      <c r="CT1619" s="59"/>
      <c r="CU1619" s="59"/>
      <c r="CV1619" s="59"/>
      <c r="CW1619" s="59"/>
      <c r="CX1619" s="59"/>
      <c r="CY1619" s="59"/>
      <c r="CZ1619" s="59"/>
      <c r="DA1619" s="59"/>
      <c r="DB1619" s="59"/>
      <c r="DC1619" s="59"/>
      <c r="DD1619" s="59"/>
      <c r="DE1619" s="59"/>
      <c r="DF1619" s="59"/>
      <c r="DG1619" s="59"/>
      <c r="DH1619" s="59"/>
      <c r="DI1619" s="59"/>
      <c r="DJ1619" s="59"/>
      <c r="DK1619" s="59"/>
      <c r="DL1619" s="59"/>
      <c r="DM1619" s="59"/>
      <c r="DN1619" s="59"/>
      <c r="DO1619" s="59"/>
      <c r="DP1619" s="59"/>
      <c r="DQ1619" s="59"/>
      <c r="DR1619" s="59"/>
      <c r="DS1619" s="59"/>
      <c r="DT1619" s="59"/>
      <c r="DU1619" s="59"/>
      <c r="DV1619" s="59"/>
    </row>
    <row r="1620" spans="1:126" s="3" customFormat="1" x14ac:dyDescent="0.3">
      <c r="A1620" s="21"/>
      <c r="B1620" s="21" t="s">
        <v>366</v>
      </c>
      <c r="C1620" s="21"/>
      <c r="D1620" s="21"/>
      <c r="E1620" s="22"/>
      <c r="F1620" s="22"/>
      <c r="G1620" s="22"/>
      <c r="H1620" s="59"/>
      <c r="I1620" s="59"/>
      <c r="J1620" s="59"/>
      <c r="K1620" s="59"/>
      <c r="L1620" s="59"/>
      <c r="M1620" s="59"/>
      <c r="N1620" s="59"/>
      <c r="O1620" s="59"/>
      <c r="P1620" s="59"/>
      <c r="Q1620" s="59"/>
      <c r="R1620" s="59"/>
      <c r="S1620" s="59"/>
      <c r="T1620" s="59"/>
      <c r="U1620" s="59"/>
      <c r="V1620" s="59"/>
      <c r="W1620" s="59"/>
      <c r="X1620" s="59"/>
      <c r="Y1620" s="59"/>
      <c r="Z1620" s="59"/>
      <c r="AA1620" s="59"/>
      <c r="AB1620" s="59"/>
      <c r="AC1620" s="59"/>
      <c r="AD1620" s="59"/>
      <c r="AE1620" s="59"/>
      <c r="AF1620" s="59"/>
      <c r="AG1620" s="59"/>
      <c r="AH1620" s="59"/>
      <c r="AI1620" s="59"/>
      <c r="AJ1620" s="59"/>
      <c r="AK1620" s="59"/>
      <c r="AL1620" s="59"/>
      <c r="AM1620" s="59"/>
      <c r="AN1620" s="59"/>
      <c r="AO1620" s="59"/>
      <c r="AP1620" s="59"/>
      <c r="AQ1620" s="59"/>
      <c r="AR1620" s="59"/>
      <c r="AS1620" s="59"/>
      <c r="AT1620" s="59"/>
      <c r="AU1620" s="59"/>
      <c r="AV1620" s="59"/>
      <c r="AW1620" s="59"/>
      <c r="AX1620" s="59"/>
      <c r="AY1620" s="59"/>
      <c r="AZ1620" s="59"/>
      <c r="BA1620" s="59"/>
      <c r="BB1620" s="59"/>
      <c r="BC1620" s="59"/>
      <c r="BD1620" s="59"/>
      <c r="BE1620" s="59"/>
      <c r="BF1620" s="59"/>
      <c r="BG1620" s="59"/>
      <c r="BH1620" s="59"/>
      <c r="BI1620" s="59"/>
      <c r="BJ1620" s="59"/>
      <c r="BK1620" s="59"/>
      <c r="BL1620" s="59"/>
      <c r="BM1620" s="59"/>
      <c r="BN1620" s="59"/>
      <c r="BO1620" s="59"/>
      <c r="BP1620" s="59"/>
      <c r="BQ1620" s="59"/>
      <c r="BR1620" s="59"/>
      <c r="BS1620" s="59"/>
      <c r="BT1620" s="59"/>
      <c r="BU1620" s="59"/>
      <c r="BV1620" s="59"/>
      <c r="BW1620" s="59"/>
      <c r="BX1620" s="59"/>
      <c r="BY1620" s="59"/>
      <c r="BZ1620" s="59"/>
      <c r="CA1620" s="59"/>
      <c r="CB1620" s="59"/>
      <c r="CC1620" s="59"/>
      <c r="CD1620" s="59"/>
      <c r="CE1620" s="59"/>
      <c r="CF1620" s="59"/>
      <c r="CG1620" s="59"/>
      <c r="CH1620" s="59"/>
      <c r="CI1620" s="59"/>
      <c r="CJ1620" s="59"/>
      <c r="CK1620" s="59"/>
      <c r="CL1620" s="59"/>
      <c r="CM1620" s="59"/>
      <c r="CN1620" s="59"/>
      <c r="CO1620" s="59"/>
      <c r="CP1620" s="59"/>
      <c r="CQ1620" s="59"/>
      <c r="CR1620" s="59"/>
      <c r="CS1620" s="59"/>
      <c r="CT1620" s="59"/>
      <c r="CU1620" s="59"/>
      <c r="CV1620" s="59"/>
      <c r="CW1620" s="59"/>
      <c r="CX1620" s="59"/>
      <c r="CY1620" s="59"/>
      <c r="CZ1620" s="59"/>
      <c r="DA1620" s="59"/>
      <c r="DB1620" s="59"/>
      <c r="DC1620" s="59"/>
      <c r="DD1620" s="59"/>
      <c r="DE1620" s="59"/>
      <c r="DF1620" s="59"/>
      <c r="DG1620" s="59"/>
      <c r="DH1620" s="59"/>
      <c r="DI1620" s="59"/>
      <c r="DJ1620" s="59"/>
      <c r="DK1620" s="59"/>
      <c r="DL1620" s="59"/>
      <c r="DM1620" s="59"/>
      <c r="DN1620" s="59"/>
      <c r="DO1620" s="59"/>
      <c r="DP1620" s="59"/>
      <c r="DQ1620" s="59"/>
      <c r="DR1620" s="59"/>
      <c r="DS1620" s="59"/>
      <c r="DT1620" s="59"/>
      <c r="DU1620" s="59"/>
      <c r="DV1620" s="59"/>
    </row>
    <row r="1621" spans="1:126" ht="31.2" x14ac:dyDescent="0.3">
      <c r="A1621" s="5"/>
      <c r="B1621" s="11" t="s">
        <v>234</v>
      </c>
      <c r="C1621" s="5"/>
      <c r="D1621" s="5" t="s">
        <v>8</v>
      </c>
      <c r="E1621" s="15">
        <f>3509.5+2.5</f>
        <v>3512</v>
      </c>
      <c r="F1621" s="15"/>
      <c r="G1621" s="15"/>
    </row>
    <row r="1622" spans="1:126" x14ac:dyDescent="0.3">
      <c r="A1622" s="5"/>
      <c r="B1622" s="5" t="s">
        <v>182</v>
      </c>
      <c r="C1622" s="5"/>
      <c r="D1622" s="5" t="s">
        <v>8</v>
      </c>
      <c r="E1622" s="15">
        <f>51.5</f>
        <v>51.5</v>
      </c>
      <c r="F1622" s="15"/>
      <c r="G1622" s="15"/>
    </row>
    <row r="1623" spans="1:126" s="3" customFormat="1" x14ac:dyDescent="0.3">
      <c r="A1623" s="21"/>
      <c r="B1623" s="21" t="s">
        <v>367</v>
      </c>
      <c r="C1623" s="21"/>
      <c r="D1623" s="21"/>
      <c r="E1623" s="22"/>
      <c r="F1623" s="22"/>
      <c r="G1623" s="22"/>
      <c r="H1623" s="59"/>
      <c r="I1623" s="59"/>
      <c r="J1623" s="59"/>
      <c r="K1623" s="59"/>
      <c r="L1623" s="59"/>
      <c r="M1623" s="59"/>
      <c r="N1623" s="59"/>
      <c r="O1623" s="59"/>
      <c r="P1623" s="59"/>
      <c r="Q1623" s="59"/>
      <c r="R1623" s="59"/>
      <c r="S1623" s="59"/>
      <c r="T1623" s="59"/>
      <c r="U1623" s="59"/>
      <c r="V1623" s="59"/>
      <c r="W1623" s="59"/>
      <c r="X1623" s="59"/>
      <c r="Y1623" s="59"/>
      <c r="Z1623" s="59"/>
      <c r="AA1623" s="59"/>
      <c r="AB1623" s="59"/>
      <c r="AC1623" s="59"/>
      <c r="AD1623" s="59"/>
      <c r="AE1623" s="59"/>
      <c r="AF1623" s="59"/>
      <c r="AG1623" s="59"/>
      <c r="AH1623" s="59"/>
      <c r="AI1623" s="59"/>
      <c r="AJ1623" s="59"/>
      <c r="AK1623" s="59"/>
      <c r="AL1623" s="59"/>
      <c r="AM1623" s="59"/>
      <c r="AN1623" s="59"/>
      <c r="AO1623" s="59"/>
      <c r="AP1623" s="59"/>
      <c r="AQ1623" s="59"/>
      <c r="AR1623" s="59"/>
      <c r="AS1623" s="59"/>
      <c r="AT1623" s="59"/>
      <c r="AU1623" s="59"/>
      <c r="AV1623" s="59"/>
      <c r="AW1623" s="59"/>
      <c r="AX1623" s="59"/>
      <c r="AY1623" s="59"/>
      <c r="AZ1623" s="59"/>
      <c r="BA1623" s="59"/>
      <c r="BB1623" s="59"/>
      <c r="BC1623" s="59"/>
      <c r="BD1623" s="59"/>
      <c r="BE1623" s="59"/>
      <c r="BF1623" s="59"/>
      <c r="BG1623" s="59"/>
      <c r="BH1623" s="59"/>
      <c r="BI1623" s="59"/>
      <c r="BJ1623" s="59"/>
      <c r="BK1623" s="59"/>
      <c r="BL1623" s="59"/>
      <c r="BM1623" s="59"/>
      <c r="BN1623" s="59"/>
      <c r="BO1623" s="59"/>
      <c r="BP1623" s="59"/>
      <c r="BQ1623" s="59"/>
      <c r="BR1623" s="59"/>
      <c r="BS1623" s="59"/>
      <c r="BT1623" s="59"/>
      <c r="BU1623" s="59"/>
      <c r="BV1623" s="59"/>
      <c r="BW1623" s="59"/>
      <c r="BX1623" s="59"/>
      <c r="BY1623" s="59"/>
      <c r="BZ1623" s="59"/>
      <c r="CA1623" s="59"/>
      <c r="CB1623" s="59"/>
      <c r="CC1623" s="59"/>
      <c r="CD1623" s="59"/>
      <c r="CE1623" s="59"/>
      <c r="CF1623" s="59"/>
      <c r="CG1623" s="59"/>
      <c r="CH1623" s="59"/>
      <c r="CI1623" s="59"/>
      <c r="CJ1623" s="59"/>
      <c r="CK1623" s="59"/>
      <c r="CL1623" s="59"/>
      <c r="CM1623" s="59"/>
      <c r="CN1623" s="59"/>
      <c r="CO1623" s="59"/>
      <c r="CP1623" s="59"/>
      <c r="CQ1623" s="59"/>
      <c r="CR1623" s="59"/>
      <c r="CS1623" s="59"/>
      <c r="CT1623" s="59"/>
      <c r="CU1623" s="59"/>
      <c r="CV1623" s="59"/>
      <c r="CW1623" s="59"/>
      <c r="CX1623" s="59"/>
      <c r="CY1623" s="59"/>
      <c r="CZ1623" s="59"/>
      <c r="DA1623" s="59"/>
      <c r="DB1623" s="59"/>
      <c r="DC1623" s="59"/>
      <c r="DD1623" s="59"/>
      <c r="DE1623" s="59"/>
      <c r="DF1623" s="59"/>
      <c r="DG1623" s="59"/>
      <c r="DH1623" s="59"/>
      <c r="DI1623" s="59"/>
      <c r="DJ1623" s="59"/>
      <c r="DK1623" s="59"/>
      <c r="DL1623" s="59"/>
      <c r="DM1623" s="59"/>
      <c r="DN1623" s="59"/>
      <c r="DO1623" s="59"/>
      <c r="DP1623" s="59"/>
      <c r="DQ1623" s="59"/>
      <c r="DR1623" s="59"/>
      <c r="DS1623" s="59"/>
      <c r="DT1623" s="59"/>
      <c r="DU1623" s="59"/>
      <c r="DV1623" s="59"/>
    </row>
    <row r="1624" spans="1:126" s="20" customFormat="1" ht="31.2" x14ac:dyDescent="0.3">
      <c r="A1624" s="18"/>
      <c r="B1624" s="17" t="s">
        <v>342</v>
      </c>
      <c r="C1624" s="18"/>
      <c r="D1624" s="18" t="s">
        <v>8</v>
      </c>
      <c r="E1624" s="19">
        <f>136.6</f>
        <v>136.6</v>
      </c>
      <c r="F1624" s="19"/>
      <c r="G1624" s="19"/>
      <c r="H1624" s="60"/>
      <c r="I1624" s="60"/>
      <c r="J1624" s="60"/>
      <c r="K1624" s="60"/>
      <c r="L1624" s="60"/>
      <c r="M1624" s="60"/>
      <c r="N1624" s="60"/>
      <c r="O1624" s="60"/>
      <c r="P1624" s="60"/>
      <c r="Q1624" s="60"/>
      <c r="R1624" s="60"/>
      <c r="S1624" s="60"/>
      <c r="T1624" s="60"/>
      <c r="U1624" s="60"/>
      <c r="V1624" s="60"/>
      <c r="W1624" s="60"/>
      <c r="X1624" s="60"/>
      <c r="Y1624" s="60"/>
      <c r="Z1624" s="60"/>
      <c r="AA1624" s="60"/>
      <c r="AB1624" s="60"/>
      <c r="AC1624" s="60"/>
      <c r="AD1624" s="60"/>
      <c r="AE1624" s="60"/>
      <c r="AF1624" s="60"/>
      <c r="AG1624" s="60"/>
      <c r="AH1624" s="60"/>
      <c r="AI1624" s="60"/>
      <c r="AJ1624" s="60"/>
      <c r="AK1624" s="60"/>
      <c r="AL1624" s="60"/>
      <c r="AM1624" s="60"/>
      <c r="AN1624" s="60"/>
      <c r="AO1624" s="60"/>
      <c r="AP1624" s="60"/>
      <c r="AQ1624" s="60"/>
      <c r="AR1624" s="60"/>
      <c r="AS1624" s="60"/>
      <c r="AT1624" s="60"/>
      <c r="AU1624" s="60"/>
      <c r="AV1624" s="60"/>
      <c r="AW1624" s="60"/>
      <c r="AX1624" s="60"/>
      <c r="AY1624" s="60"/>
      <c r="AZ1624" s="60"/>
      <c r="BA1624" s="60"/>
      <c r="BB1624" s="60"/>
      <c r="BC1624" s="60"/>
      <c r="BD1624" s="60"/>
      <c r="BE1624" s="60"/>
      <c r="BF1624" s="60"/>
      <c r="BG1624" s="60"/>
      <c r="BH1624" s="60"/>
      <c r="BI1624" s="60"/>
      <c r="BJ1624" s="60"/>
      <c r="BK1624" s="60"/>
      <c r="BL1624" s="60"/>
      <c r="BM1624" s="60"/>
      <c r="BN1624" s="60"/>
      <c r="BO1624" s="60"/>
      <c r="BP1624" s="60"/>
      <c r="BQ1624" s="60"/>
      <c r="BR1624" s="60"/>
      <c r="BS1624" s="60"/>
      <c r="BT1624" s="60"/>
      <c r="BU1624" s="60"/>
      <c r="BV1624" s="60"/>
      <c r="BW1624" s="60"/>
      <c r="BX1624" s="60"/>
      <c r="BY1624" s="60"/>
      <c r="BZ1624" s="60"/>
      <c r="CA1624" s="60"/>
      <c r="CB1624" s="60"/>
      <c r="CC1624" s="60"/>
      <c r="CD1624" s="60"/>
      <c r="CE1624" s="60"/>
      <c r="CF1624" s="60"/>
      <c r="CG1624" s="60"/>
      <c r="CH1624" s="60"/>
      <c r="CI1624" s="60"/>
      <c r="CJ1624" s="60"/>
      <c r="CK1624" s="60"/>
      <c r="CL1624" s="60"/>
      <c r="CM1624" s="60"/>
      <c r="CN1624" s="60"/>
      <c r="CO1624" s="60"/>
      <c r="CP1624" s="60"/>
      <c r="CQ1624" s="60"/>
      <c r="CR1624" s="60"/>
      <c r="CS1624" s="60"/>
      <c r="CT1624" s="60"/>
      <c r="CU1624" s="60"/>
      <c r="CV1624" s="60"/>
      <c r="CW1624" s="60"/>
      <c r="CX1624" s="60"/>
      <c r="CY1624" s="60"/>
      <c r="CZ1624" s="60"/>
      <c r="DA1624" s="60"/>
      <c r="DB1624" s="60"/>
      <c r="DC1624" s="60"/>
      <c r="DD1624" s="60"/>
      <c r="DE1624" s="60"/>
      <c r="DF1624" s="60"/>
      <c r="DG1624" s="60"/>
      <c r="DH1624" s="60"/>
      <c r="DI1624" s="60"/>
      <c r="DJ1624" s="60"/>
      <c r="DK1624" s="60"/>
      <c r="DL1624" s="60"/>
      <c r="DM1624" s="60"/>
      <c r="DN1624" s="60"/>
      <c r="DO1624" s="60"/>
      <c r="DP1624" s="60"/>
      <c r="DQ1624" s="60"/>
      <c r="DR1624" s="60"/>
      <c r="DS1624" s="60"/>
      <c r="DT1624" s="60"/>
      <c r="DU1624" s="60"/>
      <c r="DV1624" s="60"/>
    </row>
    <row r="1625" spans="1:126" ht="31.2" x14ac:dyDescent="0.3">
      <c r="A1625" s="5"/>
      <c r="B1625" s="11" t="s">
        <v>230</v>
      </c>
      <c r="C1625" s="5"/>
      <c r="D1625" s="5" t="s">
        <v>8</v>
      </c>
      <c r="E1625" s="15">
        <f>38.6</f>
        <v>38.6</v>
      </c>
      <c r="F1625" s="15"/>
      <c r="G1625" s="15"/>
    </row>
    <row r="1626" spans="1:126" x14ac:dyDescent="0.3">
      <c r="A1626" s="5"/>
      <c r="B1626" s="5" t="s">
        <v>182</v>
      </c>
      <c r="C1626" s="5"/>
      <c r="D1626" s="5" t="s">
        <v>8</v>
      </c>
      <c r="E1626" s="15">
        <f>1.9</f>
        <v>1.9</v>
      </c>
      <c r="F1626" s="15"/>
      <c r="G1626" s="15"/>
    </row>
    <row r="1627" spans="1:126" x14ac:dyDescent="0.3">
      <c r="A1627" s="21"/>
      <c r="B1627" s="21" t="s">
        <v>368</v>
      </c>
      <c r="C1627" s="21"/>
      <c r="D1627" s="21" t="s">
        <v>69</v>
      </c>
      <c r="E1627" s="22">
        <f>3860</f>
        <v>3860</v>
      </c>
      <c r="F1627" s="22"/>
      <c r="G1627" s="22"/>
    </row>
    <row r="1628" spans="1:126" x14ac:dyDescent="0.3">
      <c r="A1628" s="5"/>
      <c r="B1628" s="5" t="s">
        <v>153</v>
      </c>
      <c r="C1628" s="5"/>
      <c r="D1628" s="5" t="s">
        <v>72</v>
      </c>
      <c r="E1628" s="5">
        <v>3042.4519999999998</v>
      </c>
      <c r="F1628" s="5"/>
      <c r="G1628" s="5"/>
    </row>
    <row r="1629" spans="1:126" x14ac:dyDescent="0.3">
      <c r="A1629" s="5"/>
      <c r="B1629" s="5" t="s">
        <v>155</v>
      </c>
      <c r="C1629" s="5"/>
      <c r="D1629" s="5" t="s">
        <v>72</v>
      </c>
      <c r="E1629" s="5">
        <v>304.24520000000001</v>
      </c>
      <c r="F1629" s="5"/>
      <c r="G1629" s="5"/>
    </row>
    <row r="1630" spans="1:126" x14ac:dyDescent="0.3">
      <c r="A1630" s="21"/>
      <c r="B1630" s="21" t="s">
        <v>369</v>
      </c>
      <c r="C1630" s="21"/>
      <c r="D1630" s="21" t="s">
        <v>69</v>
      </c>
      <c r="E1630" s="22">
        <f>38599.9</f>
        <v>38599.9</v>
      </c>
      <c r="F1630" s="22"/>
      <c r="G1630" s="22"/>
    </row>
    <row r="1631" spans="1:126" x14ac:dyDescent="0.3">
      <c r="A1631" s="5"/>
      <c r="B1631" s="5" t="s">
        <v>239</v>
      </c>
      <c r="C1631" s="5"/>
      <c r="D1631" s="5" t="s">
        <v>72</v>
      </c>
      <c r="E1631" s="5">
        <v>16157.91814</v>
      </c>
      <c r="F1631" s="5"/>
      <c r="G1631" s="5"/>
    </row>
    <row r="1632" spans="1:126" x14ac:dyDescent="0.3">
      <c r="A1632" s="5"/>
      <c r="B1632" s="5" t="s">
        <v>155</v>
      </c>
      <c r="C1632" s="5"/>
      <c r="D1632" s="5" t="s">
        <v>72</v>
      </c>
      <c r="E1632" s="5">
        <v>1615.7918140000002</v>
      </c>
      <c r="F1632" s="5"/>
      <c r="G1632" s="5"/>
    </row>
    <row r="1633" spans="1:126" x14ac:dyDescent="0.3">
      <c r="A1633" s="21"/>
      <c r="B1633" s="21" t="s">
        <v>370</v>
      </c>
      <c r="C1633" s="21"/>
      <c r="D1633" s="21" t="s">
        <v>69</v>
      </c>
      <c r="E1633" s="22">
        <f>358.3</f>
        <v>358.3</v>
      </c>
      <c r="F1633" s="22"/>
      <c r="G1633" s="22"/>
    </row>
    <row r="1634" spans="1:126" x14ac:dyDescent="0.3">
      <c r="A1634" s="5"/>
      <c r="B1634" s="5" t="s">
        <v>153</v>
      </c>
      <c r="C1634" s="5"/>
      <c r="D1634" s="5" t="s">
        <v>72</v>
      </c>
      <c r="E1634" s="5">
        <v>282.41206</v>
      </c>
      <c r="F1634" s="5"/>
      <c r="G1634" s="5"/>
    </row>
    <row r="1635" spans="1:126" x14ac:dyDescent="0.3">
      <c r="A1635" s="5"/>
      <c r="B1635" s="5" t="s">
        <v>155</v>
      </c>
      <c r="C1635" s="5"/>
      <c r="D1635" s="5" t="s">
        <v>72</v>
      </c>
      <c r="E1635" s="5">
        <v>28.241206000000002</v>
      </c>
      <c r="F1635" s="5"/>
      <c r="G1635" s="5"/>
    </row>
    <row r="1636" spans="1:126" x14ac:dyDescent="0.3">
      <c r="A1636" s="21"/>
      <c r="B1636" s="21" t="s">
        <v>371</v>
      </c>
      <c r="C1636" s="21"/>
      <c r="D1636" s="21" t="s">
        <v>69</v>
      </c>
      <c r="E1636" s="22">
        <f>3582.6</f>
        <v>3582.6</v>
      </c>
      <c r="F1636" s="22"/>
      <c r="G1636" s="22"/>
    </row>
    <row r="1637" spans="1:126" x14ac:dyDescent="0.3">
      <c r="A1637" s="5"/>
      <c r="B1637" s="5" t="s">
        <v>239</v>
      </c>
      <c r="C1637" s="5"/>
      <c r="D1637" s="5" t="s">
        <v>72</v>
      </c>
      <c r="E1637" s="5">
        <v>1499.6763599999999</v>
      </c>
      <c r="F1637" s="5"/>
      <c r="G1637" s="5"/>
    </row>
    <row r="1638" spans="1:126" x14ac:dyDescent="0.3">
      <c r="A1638" s="5"/>
      <c r="B1638" s="5" t="s">
        <v>155</v>
      </c>
      <c r="C1638" s="5"/>
      <c r="D1638" s="5" t="s">
        <v>72</v>
      </c>
      <c r="E1638" s="5">
        <v>149.967636</v>
      </c>
      <c r="F1638" s="5"/>
      <c r="G1638" s="5"/>
    </row>
    <row r="1639" spans="1:126" s="3" customFormat="1" x14ac:dyDescent="0.3">
      <c r="A1639" s="21"/>
      <c r="B1639" s="21" t="s">
        <v>372</v>
      </c>
      <c r="C1639" s="21"/>
      <c r="D1639" s="21"/>
      <c r="E1639" s="22"/>
      <c r="F1639" s="22"/>
      <c r="G1639" s="22"/>
      <c r="H1639" s="59"/>
      <c r="I1639" s="59"/>
      <c r="J1639" s="59"/>
      <c r="K1639" s="59"/>
      <c r="L1639" s="59"/>
      <c r="M1639" s="59"/>
      <c r="N1639" s="59"/>
      <c r="O1639" s="59"/>
      <c r="P1639" s="59"/>
      <c r="Q1639" s="59"/>
      <c r="R1639" s="59"/>
      <c r="S1639" s="59"/>
      <c r="T1639" s="59"/>
      <c r="U1639" s="59"/>
      <c r="V1639" s="59"/>
      <c r="W1639" s="59"/>
      <c r="X1639" s="59"/>
      <c r="Y1639" s="59"/>
      <c r="Z1639" s="59"/>
      <c r="AA1639" s="59"/>
      <c r="AB1639" s="59"/>
      <c r="AC1639" s="59"/>
      <c r="AD1639" s="59"/>
      <c r="AE1639" s="59"/>
      <c r="AF1639" s="59"/>
      <c r="AG1639" s="59"/>
      <c r="AH1639" s="59"/>
      <c r="AI1639" s="59"/>
      <c r="AJ1639" s="59"/>
      <c r="AK1639" s="59"/>
      <c r="AL1639" s="59"/>
      <c r="AM1639" s="59"/>
      <c r="AN1639" s="59"/>
      <c r="AO1639" s="59"/>
      <c r="AP1639" s="59"/>
      <c r="AQ1639" s="59"/>
      <c r="AR1639" s="59"/>
      <c r="AS1639" s="59"/>
      <c r="AT1639" s="59"/>
      <c r="AU1639" s="59"/>
      <c r="AV1639" s="59"/>
      <c r="AW1639" s="59"/>
      <c r="AX1639" s="59"/>
      <c r="AY1639" s="59"/>
      <c r="AZ1639" s="59"/>
      <c r="BA1639" s="59"/>
      <c r="BB1639" s="59"/>
      <c r="BC1639" s="59"/>
      <c r="BD1639" s="59"/>
      <c r="BE1639" s="59"/>
      <c r="BF1639" s="59"/>
      <c r="BG1639" s="59"/>
      <c r="BH1639" s="59"/>
      <c r="BI1639" s="59"/>
      <c r="BJ1639" s="59"/>
      <c r="BK1639" s="59"/>
      <c r="BL1639" s="59"/>
      <c r="BM1639" s="59"/>
      <c r="BN1639" s="59"/>
      <c r="BO1639" s="59"/>
      <c r="BP1639" s="59"/>
      <c r="BQ1639" s="59"/>
      <c r="BR1639" s="59"/>
      <c r="BS1639" s="59"/>
      <c r="BT1639" s="59"/>
      <c r="BU1639" s="59"/>
      <c r="BV1639" s="59"/>
      <c r="BW1639" s="59"/>
      <c r="BX1639" s="59"/>
      <c r="BY1639" s="59"/>
      <c r="BZ1639" s="59"/>
      <c r="CA1639" s="59"/>
      <c r="CB1639" s="59"/>
      <c r="CC1639" s="59"/>
      <c r="CD1639" s="59"/>
      <c r="CE1639" s="59"/>
      <c r="CF1639" s="59"/>
      <c r="CG1639" s="59"/>
      <c r="CH1639" s="59"/>
      <c r="CI1639" s="59"/>
      <c r="CJ1639" s="59"/>
      <c r="CK1639" s="59"/>
      <c r="CL1639" s="59"/>
      <c r="CM1639" s="59"/>
      <c r="CN1639" s="59"/>
      <c r="CO1639" s="59"/>
      <c r="CP1639" s="59"/>
      <c r="CQ1639" s="59"/>
      <c r="CR1639" s="59"/>
      <c r="CS1639" s="59"/>
      <c r="CT1639" s="59"/>
      <c r="CU1639" s="59"/>
      <c r="CV1639" s="59"/>
      <c r="CW1639" s="59"/>
      <c r="CX1639" s="59"/>
      <c r="CY1639" s="59"/>
      <c r="CZ1639" s="59"/>
      <c r="DA1639" s="59"/>
      <c r="DB1639" s="59"/>
      <c r="DC1639" s="59"/>
      <c r="DD1639" s="59"/>
      <c r="DE1639" s="59"/>
      <c r="DF1639" s="59"/>
      <c r="DG1639" s="59"/>
      <c r="DH1639" s="59"/>
      <c r="DI1639" s="59"/>
      <c r="DJ1639" s="59"/>
      <c r="DK1639" s="59"/>
      <c r="DL1639" s="59"/>
      <c r="DM1639" s="59"/>
      <c r="DN1639" s="59"/>
      <c r="DO1639" s="59"/>
      <c r="DP1639" s="59"/>
      <c r="DQ1639" s="59"/>
      <c r="DR1639" s="59"/>
      <c r="DS1639" s="59"/>
      <c r="DT1639" s="59"/>
      <c r="DU1639" s="59"/>
      <c r="DV1639" s="59"/>
    </row>
    <row r="1640" spans="1:126" x14ac:dyDescent="0.3">
      <c r="A1640" s="5"/>
      <c r="B1640" s="5" t="s">
        <v>349</v>
      </c>
      <c r="C1640" s="5"/>
      <c r="D1640" s="5" t="s">
        <v>14</v>
      </c>
      <c r="E1640" s="15">
        <f>1</f>
        <v>1</v>
      </c>
      <c r="F1640" s="15"/>
      <c r="G1640" s="15"/>
    </row>
    <row r="1641" spans="1:126" x14ac:dyDescent="0.3">
      <c r="A1641" s="5"/>
      <c r="B1641" s="5" t="s">
        <v>350</v>
      </c>
      <c r="C1641" s="5"/>
      <c r="D1641" s="5" t="s">
        <v>14</v>
      </c>
      <c r="E1641" s="15">
        <f>1</f>
        <v>1</v>
      </c>
      <c r="F1641" s="15"/>
      <c r="G1641" s="15"/>
    </row>
    <row r="1642" spans="1:126" x14ac:dyDescent="0.3">
      <c r="A1642" s="5"/>
      <c r="B1642" s="5" t="s">
        <v>351</v>
      </c>
      <c r="C1642" s="5"/>
      <c r="D1642" s="5" t="s">
        <v>14</v>
      </c>
      <c r="E1642" s="15">
        <f>1</f>
        <v>1</v>
      </c>
      <c r="F1642" s="15"/>
      <c r="G1642" s="15"/>
    </row>
    <row r="1643" spans="1:126" x14ac:dyDescent="0.3">
      <c r="A1643" s="5"/>
      <c r="B1643" s="5" t="s">
        <v>352</v>
      </c>
      <c r="C1643" s="5"/>
      <c r="D1643" s="5" t="s">
        <v>14</v>
      </c>
      <c r="E1643" s="15">
        <f>1</f>
        <v>1</v>
      </c>
      <c r="F1643" s="15"/>
      <c r="G1643" s="15"/>
    </row>
    <row r="1644" spans="1:126" x14ac:dyDescent="0.3">
      <c r="A1644" s="5"/>
      <c r="B1644" s="5" t="s">
        <v>373</v>
      </c>
      <c r="C1644" s="5"/>
      <c r="D1644" s="5" t="s">
        <v>14</v>
      </c>
      <c r="E1644" s="15">
        <f>1</f>
        <v>1</v>
      </c>
      <c r="F1644" s="15"/>
      <c r="G1644" s="15"/>
    </row>
    <row r="1645" spans="1:126" x14ac:dyDescent="0.3">
      <c r="A1645" s="5"/>
      <c r="B1645" s="5" t="s">
        <v>374</v>
      </c>
      <c r="C1645" s="5"/>
      <c r="D1645" s="5" t="s">
        <v>14</v>
      </c>
      <c r="E1645" s="15">
        <f>1</f>
        <v>1</v>
      </c>
      <c r="F1645" s="15"/>
      <c r="G1645" s="15"/>
    </row>
    <row r="1646" spans="1:126" x14ac:dyDescent="0.3">
      <c r="A1646" s="5"/>
      <c r="B1646" s="5" t="s">
        <v>351</v>
      </c>
      <c r="C1646" s="5"/>
      <c r="D1646" s="5" t="s">
        <v>14</v>
      </c>
      <c r="E1646" s="15">
        <f>1</f>
        <v>1</v>
      </c>
      <c r="F1646" s="15"/>
      <c r="G1646" s="15"/>
    </row>
    <row r="1647" spans="1:126" x14ac:dyDescent="0.3">
      <c r="A1647" s="5"/>
      <c r="B1647" s="5" t="s">
        <v>352</v>
      </c>
      <c r="C1647" s="5"/>
      <c r="D1647" s="5" t="s">
        <v>14</v>
      </c>
      <c r="E1647" s="15">
        <f>1</f>
        <v>1</v>
      </c>
      <c r="F1647" s="15"/>
      <c r="G1647" s="15"/>
    </row>
    <row r="1648" spans="1:126" x14ac:dyDescent="0.3">
      <c r="A1648" s="5"/>
      <c r="B1648" s="5" t="s">
        <v>375</v>
      </c>
      <c r="C1648" s="5"/>
      <c r="D1648" s="5" t="s">
        <v>14</v>
      </c>
      <c r="E1648" s="15">
        <f>1</f>
        <v>1</v>
      </c>
      <c r="F1648" s="15"/>
      <c r="G1648" s="15"/>
    </row>
    <row r="1649" spans="1:126" x14ac:dyDescent="0.3">
      <c r="A1649" s="5"/>
      <c r="B1649" s="5" t="s">
        <v>376</v>
      </c>
      <c r="C1649" s="5"/>
      <c r="D1649" s="5" t="s">
        <v>14</v>
      </c>
      <c r="E1649" s="15">
        <f>1</f>
        <v>1</v>
      </c>
      <c r="F1649" s="15"/>
      <c r="G1649" s="15"/>
    </row>
    <row r="1650" spans="1:126" x14ac:dyDescent="0.3">
      <c r="A1650" s="5"/>
      <c r="B1650" s="5" t="s">
        <v>23</v>
      </c>
      <c r="C1650" s="5"/>
      <c r="D1650" s="5" t="s">
        <v>8</v>
      </c>
      <c r="E1650" s="15">
        <f>0.968</f>
        <v>0.96799999999999997</v>
      </c>
      <c r="F1650" s="15"/>
      <c r="G1650" s="15"/>
    </row>
    <row r="1651" spans="1:126" s="25" customFormat="1" x14ac:dyDescent="0.3">
      <c r="A1651" s="23"/>
      <c r="B1651" s="23" t="s">
        <v>377</v>
      </c>
      <c r="C1651" s="23" t="s">
        <v>339</v>
      </c>
      <c r="D1651" s="23"/>
      <c r="E1651" s="24"/>
      <c r="F1651" s="24"/>
      <c r="G1651" s="24"/>
      <c r="H1651" s="59"/>
      <c r="I1651" s="59"/>
      <c r="J1651" s="59"/>
      <c r="K1651" s="59"/>
      <c r="L1651" s="59"/>
      <c r="M1651" s="59"/>
      <c r="N1651" s="59"/>
      <c r="O1651" s="59"/>
      <c r="P1651" s="59"/>
      <c r="Q1651" s="59"/>
      <c r="R1651" s="59"/>
      <c r="S1651" s="59"/>
      <c r="T1651" s="59"/>
      <c r="U1651" s="59"/>
      <c r="V1651" s="59"/>
      <c r="W1651" s="59"/>
      <c r="X1651" s="59"/>
      <c r="Y1651" s="59"/>
      <c r="Z1651" s="59"/>
      <c r="AA1651" s="59"/>
      <c r="AB1651" s="59"/>
      <c r="AC1651" s="59"/>
      <c r="AD1651" s="59"/>
      <c r="AE1651" s="59"/>
      <c r="AF1651" s="59"/>
      <c r="AG1651" s="59"/>
      <c r="AH1651" s="59"/>
      <c r="AI1651" s="59"/>
      <c r="AJ1651" s="59"/>
      <c r="AK1651" s="59"/>
      <c r="AL1651" s="59"/>
      <c r="AM1651" s="59"/>
      <c r="AN1651" s="59"/>
      <c r="AO1651" s="59"/>
      <c r="AP1651" s="59"/>
      <c r="AQ1651" s="59"/>
      <c r="AR1651" s="59"/>
      <c r="AS1651" s="59"/>
      <c r="AT1651" s="59"/>
      <c r="AU1651" s="59"/>
      <c r="AV1651" s="59"/>
      <c r="AW1651" s="59"/>
      <c r="AX1651" s="59"/>
      <c r="AY1651" s="59"/>
      <c r="AZ1651" s="59"/>
      <c r="BA1651" s="59"/>
      <c r="BB1651" s="59"/>
      <c r="BC1651" s="59"/>
      <c r="BD1651" s="59"/>
      <c r="BE1651" s="59"/>
      <c r="BF1651" s="59"/>
      <c r="BG1651" s="59"/>
      <c r="BH1651" s="59"/>
      <c r="BI1651" s="59"/>
      <c r="BJ1651" s="59"/>
      <c r="BK1651" s="59"/>
      <c r="BL1651" s="59"/>
      <c r="BM1651" s="59"/>
      <c r="BN1651" s="59"/>
      <c r="BO1651" s="59"/>
      <c r="BP1651" s="59"/>
      <c r="BQ1651" s="59"/>
      <c r="BR1651" s="59"/>
      <c r="BS1651" s="59"/>
      <c r="BT1651" s="59"/>
      <c r="BU1651" s="59"/>
      <c r="BV1651" s="59"/>
      <c r="BW1651" s="59"/>
      <c r="BX1651" s="59"/>
      <c r="BY1651" s="59"/>
      <c r="BZ1651" s="59"/>
      <c r="CA1651" s="59"/>
      <c r="CB1651" s="59"/>
      <c r="CC1651" s="59"/>
      <c r="CD1651" s="59"/>
      <c r="CE1651" s="59"/>
      <c r="CF1651" s="59"/>
      <c r="CG1651" s="59"/>
      <c r="CH1651" s="59"/>
      <c r="CI1651" s="59"/>
      <c r="CJ1651" s="59"/>
      <c r="CK1651" s="59"/>
      <c r="CL1651" s="59"/>
      <c r="CM1651" s="59"/>
      <c r="CN1651" s="59"/>
      <c r="CO1651" s="59"/>
      <c r="CP1651" s="59"/>
      <c r="CQ1651" s="59"/>
      <c r="CR1651" s="59"/>
      <c r="CS1651" s="59"/>
      <c r="CT1651" s="59"/>
      <c r="CU1651" s="59"/>
      <c r="CV1651" s="59"/>
      <c r="CW1651" s="59"/>
      <c r="CX1651" s="59"/>
      <c r="CY1651" s="59"/>
      <c r="CZ1651" s="59"/>
      <c r="DA1651" s="59"/>
      <c r="DB1651" s="59"/>
      <c r="DC1651" s="59"/>
      <c r="DD1651" s="59"/>
      <c r="DE1651" s="59"/>
      <c r="DF1651" s="59"/>
      <c r="DG1651" s="59"/>
      <c r="DH1651" s="59"/>
      <c r="DI1651" s="59"/>
      <c r="DJ1651" s="59"/>
      <c r="DK1651" s="59"/>
      <c r="DL1651" s="59"/>
      <c r="DM1651" s="59"/>
      <c r="DN1651" s="59"/>
      <c r="DO1651" s="59"/>
      <c r="DP1651" s="59"/>
      <c r="DQ1651" s="59"/>
      <c r="DR1651" s="59"/>
      <c r="DS1651" s="59"/>
      <c r="DT1651" s="59"/>
      <c r="DU1651" s="59"/>
      <c r="DV1651" s="59"/>
    </row>
    <row r="1652" spans="1:126" s="3" customFormat="1" x14ac:dyDescent="0.3">
      <c r="A1652" s="21"/>
      <c r="B1652" s="21" t="s">
        <v>378</v>
      </c>
      <c r="C1652" s="21"/>
      <c r="D1652" s="21"/>
      <c r="E1652" s="22"/>
      <c r="F1652" s="22"/>
      <c r="G1652" s="22"/>
      <c r="H1652" s="59"/>
      <c r="I1652" s="59"/>
      <c r="J1652" s="59"/>
      <c r="K1652" s="59"/>
      <c r="L1652" s="59"/>
      <c r="M1652" s="59"/>
      <c r="N1652" s="59"/>
      <c r="O1652" s="59"/>
      <c r="P1652" s="59"/>
      <c r="Q1652" s="59"/>
      <c r="R1652" s="59"/>
      <c r="S1652" s="59"/>
      <c r="T1652" s="59"/>
      <c r="U1652" s="59"/>
      <c r="V1652" s="59"/>
      <c r="W1652" s="59"/>
      <c r="X1652" s="59"/>
      <c r="Y1652" s="59"/>
      <c r="Z1652" s="59"/>
      <c r="AA1652" s="59"/>
      <c r="AB1652" s="59"/>
      <c r="AC1652" s="59"/>
      <c r="AD1652" s="59"/>
      <c r="AE1652" s="59"/>
      <c r="AF1652" s="59"/>
      <c r="AG1652" s="59"/>
      <c r="AH1652" s="59"/>
      <c r="AI1652" s="59"/>
      <c r="AJ1652" s="59"/>
      <c r="AK1652" s="59"/>
      <c r="AL1652" s="59"/>
      <c r="AM1652" s="59"/>
      <c r="AN1652" s="59"/>
      <c r="AO1652" s="59"/>
      <c r="AP1652" s="59"/>
      <c r="AQ1652" s="59"/>
      <c r="AR1652" s="59"/>
      <c r="AS1652" s="59"/>
      <c r="AT1652" s="59"/>
      <c r="AU1652" s="59"/>
      <c r="AV1652" s="59"/>
      <c r="AW1652" s="59"/>
      <c r="AX1652" s="59"/>
      <c r="AY1652" s="59"/>
      <c r="AZ1652" s="59"/>
      <c r="BA1652" s="59"/>
      <c r="BB1652" s="59"/>
      <c r="BC1652" s="59"/>
      <c r="BD1652" s="59"/>
      <c r="BE1652" s="59"/>
      <c r="BF1652" s="59"/>
      <c r="BG1652" s="59"/>
      <c r="BH1652" s="59"/>
      <c r="BI1652" s="59"/>
      <c r="BJ1652" s="59"/>
      <c r="BK1652" s="59"/>
      <c r="BL1652" s="59"/>
      <c r="BM1652" s="59"/>
      <c r="BN1652" s="59"/>
      <c r="BO1652" s="59"/>
      <c r="BP1652" s="59"/>
      <c r="BQ1652" s="59"/>
      <c r="BR1652" s="59"/>
      <c r="BS1652" s="59"/>
      <c r="BT1652" s="59"/>
      <c r="BU1652" s="59"/>
      <c r="BV1652" s="59"/>
      <c r="BW1652" s="59"/>
      <c r="BX1652" s="59"/>
      <c r="BY1652" s="59"/>
      <c r="BZ1652" s="59"/>
      <c r="CA1652" s="59"/>
      <c r="CB1652" s="59"/>
      <c r="CC1652" s="59"/>
      <c r="CD1652" s="59"/>
      <c r="CE1652" s="59"/>
      <c r="CF1652" s="59"/>
      <c r="CG1652" s="59"/>
      <c r="CH1652" s="59"/>
      <c r="CI1652" s="59"/>
      <c r="CJ1652" s="59"/>
      <c r="CK1652" s="59"/>
      <c r="CL1652" s="59"/>
      <c r="CM1652" s="59"/>
      <c r="CN1652" s="59"/>
      <c r="CO1652" s="59"/>
      <c r="CP1652" s="59"/>
      <c r="CQ1652" s="59"/>
      <c r="CR1652" s="59"/>
      <c r="CS1652" s="59"/>
      <c r="CT1652" s="59"/>
      <c r="CU1652" s="59"/>
      <c r="CV1652" s="59"/>
      <c r="CW1652" s="59"/>
      <c r="CX1652" s="59"/>
      <c r="CY1652" s="59"/>
      <c r="CZ1652" s="59"/>
      <c r="DA1652" s="59"/>
      <c r="DB1652" s="59"/>
      <c r="DC1652" s="59"/>
      <c r="DD1652" s="59"/>
      <c r="DE1652" s="59"/>
      <c r="DF1652" s="59"/>
      <c r="DG1652" s="59"/>
      <c r="DH1652" s="59"/>
      <c r="DI1652" s="59"/>
      <c r="DJ1652" s="59"/>
      <c r="DK1652" s="59"/>
      <c r="DL1652" s="59"/>
      <c r="DM1652" s="59"/>
      <c r="DN1652" s="59"/>
      <c r="DO1652" s="59"/>
      <c r="DP1652" s="59"/>
      <c r="DQ1652" s="59"/>
      <c r="DR1652" s="59"/>
      <c r="DS1652" s="59"/>
      <c r="DT1652" s="59"/>
      <c r="DU1652" s="59"/>
      <c r="DV1652" s="59"/>
    </row>
    <row r="1653" spans="1:126" ht="31.2" x14ac:dyDescent="0.3">
      <c r="A1653" s="5"/>
      <c r="B1653" s="11" t="s">
        <v>234</v>
      </c>
      <c r="C1653" s="5"/>
      <c r="D1653" s="5" t="s">
        <v>8</v>
      </c>
      <c r="E1653" s="15">
        <f>3509.5+2.5</f>
        <v>3512</v>
      </c>
      <c r="F1653" s="15"/>
      <c r="G1653" s="15"/>
    </row>
    <row r="1654" spans="1:126" x14ac:dyDescent="0.3">
      <c r="A1654" s="5"/>
      <c r="B1654" s="5" t="s">
        <v>182</v>
      </c>
      <c r="C1654" s="5"/>
      <c r="D1654" s="5" t="s">
        <v>8</v>
      </c>
      <c r="E1654" s="15">
        <f>51.5</f>
        <v>51.5</v>
      </c>
      <c r="F1654" s="15"/>
      <c r="G1654" s="15"/>
    </row>
    <row r="1655" spans="1:126" s="3" customFormat="1" x14ac:dyDescent="0.3">
      <c r="A1655" s="21"/>
      <c r="B1655" s="21" t="s">
        <v>379</v>
      </c>
      <c r="C1655" s="21"/>
      <c r="D1655" s="21"/>
      <c r="E1655" s="22"/>
      <c r="F1655" s="22"/>
      <c r="G1655" s="22"/>
      <c r="H1655" s="59"/>
      <c r="I1655" s="59"/>
      <c r="J1655" s="59"/>
      <c r="K1655" s="59"/>
      <c r="L1655" s="59"/>
      <c r="M1655" s="59"/>
      <c r="N1655" s="59"/>
      <c r="O1655" s="59"/>
      <c r="P1655" s="59"/>
      <c r="Q1655" s="59"/>
      <c r="R1655" s="59"/>
      <c r="S1655" s="59"/>
      <c r="T1655" s="59"/>
      <c r="U1655" s="59"/>
      <c r="V1655" s="59"/>
      <c r="W1655" s="59"/>
      <c r="X1655" s="59"/>
      <c r="Y1655" s="59"/>
      <c r="Z1655" s="59"/>
      <c r="AA1655" s="59"/>
      <c r="AB1655" s="59"/>
      <c r="AC1655" s="59"/>
      <c r="AD1655" s="59"/>
      <c r="AE1655" s="59"/>
      <c r="AF1655" s="59"/>
      <c r="AG1655" s="59"/>
      <c r="AH1655" s="59"/>
      <c r="AI1655" s="59"/>
      <c r="AJ1655" s="59"/>
      <c r="AK1655" s="59"/>
      <c r="AL1655" s="59"/>
      <c r="AM1655" s="59"/>
      <c r="AN1655" s="59"/>
      <c r="AO1655" s="59"/>
      <c r="AP1655" s="59"/>
      <c r="AQ1655" s="59"/>
      <c r="AR1655" s="59"/>
      <c r="AS1655" s="59"/>
      <c r="AT1655" s="59"/>
      <c r="AU1655" s="59"/>
      <c r="AV1655" s="59"/>
      <c r="AW1655" s="59"/>
      <c r="AX1655" s="59"/>
      <c r="AY1655" s="59"/>
      <c r="AZ1655" s="59"/>
      <c r="BA1655" s="59"/>
      <c r="BB1655" s="59"/>
      <c r="BC1655" s="59"/>
      <c r="BD1655" s="59"/>
      <c r="BE1655" s="59"/>
      <c r="BF1655" s="59"/>
      <c r="BG1655" s="59"/>
      <c r="BH1655" s="59"/>
      <c r="BI1655" s="59"/>
      <c r="BJ1655" s="59"/>
      <c r="BK1655" s="59"/>
      <c r="BL1655" s="59"/>
      <c r="BM1655" s="59"/>
      <c r="BN1655" s="59"/>
      <c r="BO1655" s="59"/>
      <c r="BP1655" s="59"/>
      <c r="BQ1655" s="59"/>
      <c r="BR1655" s="59"/>
      <c r="BS1655" s="59"/>
      <c r="BT1655" s="59"/>
      <c r="BU1655" s="59"/>
      <c r="BV1655" s="59"/>
      <c r="BW1655" s="59"/>
      <c r="BX1655" s="59"/>
      <c r="BY1655" s="59"/>
      <c r="BZ1655" s="59"/>
      <c r="CA1655" s="59"/>
      <c r="CB1655" s="59"/>
      <c r="CC1655" s="59"/>
      <c r="CD1655" s="59"/>
      <c r="CE1655" s="59"/>
      <c r="CF1655" s="59"/>
      <c r="CG1655" s="59"/>
      <c r="CH1655" s="59"/>
      <c r="CI1655" s="59"/>
      <c r="CJ1655" s="59"/>
      <c r="CK1655" s="59"/>
      <c r="CL1655" s="59"/>
      <c r="CM1655" s="59"/>
      <c r="CN1655" s="59"/>
      <c r="CO1655" s="59"/>
      <c r="CP1655" s="59"/>
      <c r="CQ1655" s="59"/>
      <c r="CR1655" s="59"/>
      <c r="CS1655" s="59"/>
      <c r="CT1655" s="59"/>
      <c r="CU1655" s="59"/>
      <c r="CV1655" s="59"/>
      <c r="CW1655" s="59"/>
      <c r="CX1655" s="59"/>
      <c r="CY1655" s="59"/>
      <c r="CZ1655" s="59"/>
      <c r="DA1655" s="59"/>
      <c r="DB1655" s="59"/>
      <c r="DC1655" s="59"/>
      <c r="DD1655" s="59"/>
      <c r="DE1655" s="59"/>
      <c r="DF1655" s="59"/>
      <c r="DG1655" s="59"/>
      <c r="DH1655" s="59"/>
      <c r="DI1655" s="59"/>
      <c r="DJ1655" s="59"/>
      <c r="DK1655" s="59"/>
      <c r="DL1655" s="59"/>
      <c r="DM1655" s="59"/>
      <c r="DN1655" s="59"/>
      <c r="DO1655" s="59"/>
      <c r="DP1655" s="59"/>
      <c r="DQ1655" s="59"/>
      <c r="DR1655" s="59"/>
      <c r="DS1655" s="59"/>
      <c r="DT1655" s="59"/>
      <c r="DU1655" s="59"/>
      <c r="DV1655" s="59"/>
    </row>
    <row r="1656" spans="1:126" s="20" customFormat="1" ht="31.2" x14ac:dyDescent="0.3">
      <c r="A1656" s="18"/>
      <c r="B1656" s="17" t="s">
        <v>342</v>
      </c>
      <c r="C1656" s="18"/>
      <c r="D1656" s="18" t="s">
        <v>8</v>
      </c>
      <c r="E1656" s="19">
        <f>136.6</f>
        <v>136.6</v>
      </c>
      <c r="F1656" s="19"/>
      <c r="G1656" s="19"/>
      <c r="H1656" s="60"/>
      <c r="I1656" s="60"/>
      <c r="J1656" s="60"/>
      <c r="K1656" s="60"/>
      <c r="L1656" s="60"/>
      <c r="M1656" s="60"/>
      <c r="N1656" s="60"/>
      <c r="O1656" s="60"/>
      <c r="P1656" s="60"/>
      <c r="Q1656" s="60"/>
      <c r="R1656" s="60"/>
      <c r="S1656" s="60"/>
      <c r="T1656" s="60"/>
      <c r="U1656" s="60"/>
      <c r="V1656" s="60"/>
      <c r="W1656" s="60"/>
      <c r="X1656" s="60"/>
      <c r="Y1656" s="60"/>
      <c r="Z1656" s="60"/>
      <c r="AA1656" s="60"/>
      <c r="AB1656" s="60"/>
      <c r="AC1656" s="60"/>
      <c r="AD1656" s="60"/>
      <c r="AE1656" s="60"/>
      <c r="AF1656" s="60"/>
      <c r="AG1656" s="60"/>
      <c r="AH1656" s="60"/>
      <c r="AI1656" s="60"/>
      <c r="AJ1656" s="60"/>
      <c r="AK1656" s="60"/>
      <c r="AL1656" s="60"/>
      <c r="AM1656" s="60"/>
      <c r="AN1656" s="60"/>
      <c r="AO1656" s="60"/>
      <c r="AP1656" s="60"/>
      <c r="AQ1656" s="60"/>
      <c r="AR1656" s="60"/>
      <c r="AS1656" s="60"/>
      <c r="AT1656" s="60"/>
      <c r="AU1656" s="60"/>
      <c r="AV1656" s="60"/>
      <c r="AW1656" s="60"/>
      <c r="AX1656" s="60"/>
      <c r="AY1656" s="60"/>
      <c r="AZ1656" s="60"/>
      <c r="BA1656" s="60"/>
      <c r="BB1656" s="60"/>
      <c r="BC1656" s="60"/>
      <c r="BD1656" s="60"/>
      <c r="BE1656" s="60"/>
      <c r="BF1656" s="60"/>
      <c r="BG1656" s="60"/>
      <c r="BH1656" s="60"/>
      <c r="BI1656" s="60"/>
      <c r="BJ1656" s="60"/>
      <c r="BK1656" s="60"/>
      <c r="BL1656" s="60"/>
      <c r="BM1656" s="60"/>
      <c r="BN1656" s="60"/>
      <c r="BO1656" s="60"/>
      <c r="BP1656" s="60"/>
      <c r="BQ1656" s="60"/>
      <c r="BR1656" s="60"/>
      <c r="BS1656" s="60"/>
      <c r="BT1656" s="60"/>
      <c r="BU1656" s="60"/>
      <c r="BV1656" s="60"/>
      <c r="BW1656" s="60"/>
      <c r="BX1656" s="60"/>
      <c r="BY1656" s="60"/>
      <c r="BZ1656" s="60"/>
      <c r="CA1656" s="60"/>
      <c r="CB1656" s="60"/>
      <c r="CC1656" s="60"/>
      <c r="CD1656" s="60"/>
      <c r="CE1656" s="60"/>
      <c r="CF1656" s="60"/>
      <c r="CG1656" s="60"/>
      <c r="CH1656" s="60"/>
      <c r="CI1656" s="60"/>
      <c r="CJ1656" s="60"/>
      <c r="CK1656" s="60"/>
      <c r="CL1656" s="60"/>
      <c r="CM1656" s="60"/>
      <c r="CN1656" s="60"/>
      <c r="CO1656" s="60"/>
      <c r="CP1656" s="60"/>
      <c r="CQ1656" s="60"/>
      <c r="CR1656" s="60"/>
      <c r="CS1656" s="60"/>
      <c r="CT1656" s="60"/>
      <c r="CU1656" s="60"/>
      <c r="CV1656" s="60"/>
      <c r="CW1656" s="60"/>
      <c r="CX1656" s="60"/>
      <c r="CY1656" s="60"/>
      <c r="CZ1656" s="60"/>
      <c r="DA1656" s="60"/>
      <c r="DB1656" s="60"/>
      <c r="DC1656" s="60"/>
      <c r="DD1656" s="60"/>
      <c r="DE1656" s="60"/>
      <c r="DF1656" s="60"/>
      <c r="DG1656" s="60"/>
      <c r="DH1656" s="60"/>
      <c r="DI1656" s="60"/>
      <c r="DJ1656" s="60"/>
      <c r="DK1656" s="60"/>
      <c r="DL1656" s="60"/>
      <c r="DM1656" s="60"/>
      <c r="DN1656" s="60"/>
      <c r="DO1656" s="60"/>
      <c r="DP1656" s="60"/>
      <c r="DQ1656" s="60"/>
      <c r="DR1656" s="60"/>
      <c r="DS1656" s="60"/>
      <c r="DT1656" s="60"/>
      <c r="DU1656" s="60"/>
      <c r="DV1656" s="60"/>
    </row>
    <row r="1657" spans="1:126" ht="31.2" x14ac:dyDescent="0.3">
      <c r="A1657" s="5"/>
      <c r="B1657" s="11" t="s">
        <v>230</v>
      </c>
      <c r="C1657" s="5"/>
      <c r="D1657" s="5" t="s">
        <v>8</v>
      </c>
      <c r="E1657" s="15">
        <f>38.6</f>
        <v>38.6</v>
      </c>
      <c r="F1657" s="15"/>
      <c r="G1657" s="15"/>
    </row>
    <row r="1658" spans="1:126" x14ac:dyDescent="0.3">
      <c r="A1658" s="5"/>
      <c r="B1658" s="5" t="s">
        <v>182</v>
      </c>
      <c r="C1658" s="5"/>
      <c r="D1658" s="5" t="s">
        <v>8</v>
      </c>
      <c r="E1658" s="15">
        <f>1.9</f>
        <v>1.9</v>
      </c>
      <c r="F1658" s="15"/>
      <c r="G1658" s="15"/>
    </row>
    <row r="1659" spans="1:126" x14ac:dyDescent="0.3">
      <c r="A1659" s="21"/>
      <c r="B1659" s="21" t="s">
        <v>380</v>
      </c>
      <c r="C1659" s="21"/>
      <c r="D1659" s="21" t="s">
        <v>69</v>
      </c>
      <c r="E1659" s="22">
        <f>3860</f>
        <v>3860</v>
      </c>
      <c r="F1659" s="22"/>
      <c r="G1659" s="22"/>
    </row>
    <row r="1660" spans="1:126" x14ac:dyDescent="0.3">
      <c r="A1660" s="5"/>
      <c r="B1660" s="5" t="s">
        <v>153</v>
      </c>
      <c r="C1660" s="5"/>
      <c r="D1660" s="5" t="s">
        <v>72</v>
      </c>
      <c r="E1660" s="5">
        <v>3042.4519999999998</v>
      </c>
      <c r="F1660" s="5"/>
      <c r="G1660" s="5"/>
    </row>
    <row r="1661" spans="1:126" x14ac:dyDescent="0.3">
      <c r="A1661" s="5"/>
      <c r="B1661" s="5" t="s">
        <v>155</v>
      </c>
      <c r="C1661" s="5"/>
      <c r="D1661" s="5" t="s">
        <v>72</v>
      </c>
      <c r="E1661" s="5">
        <v>304.24520000000001</v>
      </c>
      <c r="F1661" s="5"/>
      <c r="G1661" s="5"/>
    </row>
    <row r="1662" spans="1:126" x14ac:dyDescent="0.3">
      <c r="A1662" s="21"/>
      <c r="B1662" s="21" t="s">
        <v>381</v>
      </c>
      <c r="C1662" s="21"/>
      <c r="D1662" s="21" t="s">
        <v>69</v>
      </c>
      <c r="E1662" s="22">
        <f>38599.9</f>
        <v>38599.9</v>
      </c>
      <c r="F1662" s="22"/>
      <c r="G1662" s="22"/>
    </row>
    <row r="1663" spans="1:126" x14ac:dyDescent="0.3">
      <c r="A1663" s="5"/>
      <c r="B1663" s="5" t="s">
        <v>239</v>
      </c>
      <c r="C1663" s="5"/>
      <c r="D1663" s="5" t="s">
        <v>72</v>
      </c>
      <c r="E1663" s="5">
        <v>16157.91814</v>
      </c>
      <c r="F1663" s="5"/>
      <c r="G1663" s="5"/>
    </row>
    <row r="1664" spans="1:126" x14ac:dyDescent="0.3">
      <c r="A1664" s="5"/>
      <c r="B1664" s="5" t="s">
        <v>155</v>
      </c>
      <c r="C1664" s="5"/>
      <c r="D1664" s="5" t="s">
        <v>72</v>
      </c>
      <c r="E1664" s="5">
        <v>1615.7918140000002</v>
      </c>
      <c r="F1664" s="5"/>
      <c r="G1664" s="5"/>
    </row>
    <row r="1665" spans="1:126" x14ac:dyDescent="0.3">
      <c r="A1665" s="21"/>
      <c r="B1665" s="21" t="s">
        <v>382</v>
      </c>
      <c r="C1665" s="21"/>
      <c r="D1665" s="21" t="s">
        <v>69</v>
      </c>
      <c r="E1665" s="22">
        <f>358.3</f>
        <v>358.3</v>
      </c>
      <c r="F1665" s="22"/>
      <c r="G1665" s="22"/>
    </row>
    <row r="1666" spans="1:126" x14ac:dyDescent="0.3">
      <c r="A1666" s="5"/>
      <c r="B1666" s="5" t="s">
        <v>153</v>
      </c>
      <c r="C1666" s="5"/>
      <c r="D1666" s="5" t="s">
        <v>72</v>
      </c>
      <c r="E1666" s="5">
        <v>282.41206</v>
      </c>
      <c r="F1666" s="5"/>
      <c r="G1666" s="5"/>
    </row>
    <row r="1667" spans="1:126" x14ac:dyDescent="0.3">
      <c r="A1667" s="5"/>
      <c r="B1667" s="5" t="s">
        <v>155</v>
      </c>
      <c r="C1667" s="5"/>
      <c r="D1667" s="5" t="s">
        <v>72</v>
      </c>
      <c r="E1667" s="5">
        <v>28.241206000000002</v>
      </c>
      <c r="F1667" s="5"/>
      <c r="G1667" s="5"/>
    </row>
    <row r="1668" spans="1:126" x14ac:dyDescent="0.3">
      <c r="A1668" s="21"/>
      <c r="B1668" s="21" t="s">
        <v>383</v>
      </c>
      <c r="C1668" s="21"/>
      <c r="D1668" s="21" t="s">
        <v>69</v>
      </c>
      <c r="E1668" s="22">
        <f>3582.6</f>
        <v>3582.6</v>
      </c>
      <c r="F1668" s="22"/>
      <c r="G1668" s="22"/>
    </row>
    <row r="1669" spans="1:126" x14ac:dyDescent="0.3">
      <c r="A1669" s="5"/>
      <c r="B1669" s="5" t="s">
        <v>239</v>
      </c>
      <c r="C1669" s="5"/>
      <c r="D1669" s="5" t="s">
        <v>72</v>
      </c>
      <c r="E1669" s="5">
        <v>1499.6763599999999</v>
      </c>
      <c r="F1669" s="5"/>
      <c r="G1669" s="5"/>
    </row>
    <row r="1670" spans="1:126" x14ac:dyDescent="0.3">
      <c r="A1670" s="5"/>
      <c r="B1670" s="5" t="s">
        <v>155</v>
      </c>
      <c r="C1670" s="5"/>
      <c r="D1670" s="5" t="s">
        <v>72</v>
      </c>
      <c r="E1670" s="5">
        <v>149.967636</v>
      </c>
      <c r="F1670" s="5"/>
      <c r="G1670" s="5"/>
    </row>
    <row r="1671" spans="1:126" s="3" customFormat="1" x14ac:dyDescent="0.3">
      <c r="A1671" s="21"/>
      <c r="B1671" s="21" t="s">
        <v>384</v>
      </c>
      <c r="C1671" s="21"/>
      <c r="D1671" s="21"/>
      <c r="E1671" s="22"/>
      <c r="F1671" s="22"/>
      <c r="G1671" s="22"/>
      <c r="H1671" s="59"/>
      <c r="I1671" s="59"/>
      <c r="J1671" s="59"/>
      <c r="K1671" s="59"/>
      <c r="L1671" s="59"/>
      <c r="M1671" s="59"/>
      <c r="N1671" s="59"/>
      <c r="O1671" s="59"/>
      <c r="P1671" s="59"/>
      <c r="Q1671" s="59"/>
      <c r="R1671" s="59"/>
      <c r="S1671" s="59"/>
      <c r="T1671" s="59"/>
      <c r="U1671" s="59"/>
      <c r="V1671" s="59"/>
      <c r="W1671" s="59"/>
      <c r="X1671" s="59"/>
      <c r="Y1671" s="59"/>
      <c r="Z1671" s="59"/>
      <c r="AA1671" s="59"/>
      <c r="AB1671" s="59"/>
      <c r="AC1671" s="59"/>
      <c r="AD1671" s="59"/>
      <c r="AE1671" s="59"/>
      <c r="AF1671" s="59"/>
      <c r="AG1671" s="59"/>
      <c r="AH1671" s="59"/>
      <c r="AI1671" s="59"/>
      <c r="AJ1671" s="59"/>
      <c r="AK1671" s="59"/>
      <c r="AL1671" s="59"/>
      <c r="AM1671" s="59"/>
      <c r="AN1671" s="59"/>
      <c r="AO1671" s="59"/>
      <c r="AP1671" s="59"/>
      <c r="AQ1671" s="59"/>
      <c r="AR1671" s="59"/>
      <c r="AS1671" s="59"/>
      <c r="AT1671" s="59"/>
      <c r="AU1671" s="59"/>
      <c r="AV1671" s="59"/>
      <c r="AW1671" s="59"/>
      <c r="AX1671" s="59"/>
      <c r="AY1671" s="59"/>
      <c r="AZ1671" s="59"/>
      <c r="BA1671" s="59"/>
      <c r="BB1671" s="59"/>
      <c r="BC1671" s="59"/>
      <c r="BD1671" s="59"/>
      <c r="BE1671" s="59"/>
      <c r="BF1671" s="59"/>
      <c r="BG1671" s="59"/>
      <c r="BH1671" s="59"/>
      <c r="BI1671" s="59"/>
      <c r="BJ1671" s="59"/>
      <c r="BK1671" s="59"/>
      <c r="BL1671" s="59"/>
      <c r="BM1671" s="59"/>
      <c r="BN1671" s="59"/>
      <c r="BO1671" s="59"/>
      <c r="BP1671" s="59"/>
      <c r="BQ1671" s="59"/>
      <c r="BR1671" s="59"/>
      <c r="BS1671" s="59"/>
      <c r="BT1671" s="59"/>
      <c r="BU1671" s="59"/>
      <c r="BV1671" s="59"/>
      <c r="BW1671" s="59"/>
      <c r="BX1671" s="59"/>
      <c r="BY1671" s="59"/>
      <c r="BZ1671" s="59"/>
      <c r="CA1671" s="59"/>
      <c r="CB1671" s="59"/>
      <c r="CC1671" s="59"/>
      <c r="CD1671" s="59"/>
      <c r="CE1671" s="59"/>
      <c r="CF1671" s="59"/>
      <c r="CG1671" s="59"/>
      <c r="CH1671" s="59"/>
      <c r="CI1671" s="59"/>
      <c r="CJ1671" s="59"/>
      <c r="CK1671" s="59"/>
      <c r="CL1671" s="59"/>
      <c r="CM1671" s="59"/>
      <c r="CN1671" s="59"/>
      <c r="CO1671" s="59"/>
      <c r="CP1671" s="59"/>
      <c r="CQ1671" s="59"/>
      <c r="CR1671" s="59"/>
      <c r="CS1671" s="59"/>
      <c r="CT1671" s="59"/>
      <c r="CU1671" s="59"/>
      <c r="CV1671" s="59"/>
      <c r="CW1671" s="59"/>
      <c r="CX1671" s="59"/>
      <c r="CY1671" s="59"/>
      <c r="CZ1671" s="59"/>
      <c r="DA1671" s="59"/>
      <c r="DB1671" s="59"/>
      <c r="DC1671" s="59"/>
      <c r="DD1671" s="59"/>
      <c r="DE1671" s="59"/>
      <c r="DF1671" s="59"/>
      <c r="DG1671" s="59"/>
      <c r="DH1671" s="59"/>
      <c r="DI1671" s="59"/>
      <c r="DJ1671" s="59"/>
      <c r="DK1671" s="59"/>
      <c r="DL1671" s="59"/>
      <c r="DM1671" s="59"/>
      <c r="DN1671" s="59"/>
      <c r="DO1671" s="59"/>
      <c r="DP1671" s="59"/>
      <c r="DQ1671" s="59"/>
      <c r="DR1671" s="59"/>
      <c r="DS1671" s="59"/>
      <c r="DT1671" s="59"/>
      <c r="DU1671" s="59"/>
      <c r="DV1671" s="59"/>
    </row>
    <row r="1672" spans="1:126" x14ac:dyDescent="0.3">
      <c r="A1672" s="5"/>
      <c r="B1672" s="5" t="s">
        <v>375</v>
      </c>
      <c r="C1672" s="5"/>
      <c r="D1672" s="5" t="s">
        <v>14</v>
      </c>
      <c r="E1672" s="15">
        <f>1</f>
        <v>1</v>
      </c>
      <c r="F1672" s="15"/>
      <c r="G1672" s="15"/>
    </row>
    <row r="1673" spans="1:126" x14ac:dyDescent="0.3">
      <c r="A1673" s="5"/>
      <c r="B1673" s="5" t="s">
        <v>376</v>
      </c>
      <c r="C1673" s="5"/>
      <c r="D1673" s="5" t="s">
        <v>14</v>
      </c>
      <c r="E1673" s="15">
        <f>1</f>
        <v>1</v>
      </c>
      <c r="F1673" s="15"/>
      <c r="G1673" s="15"/>
    </row>
    <row r="1674" spans="1:126" x14ac:dyDescent="0.3">
      <c r="A1674" s="5"/>
      <c r="B1674" s="5" t="s">
        <v>351</v>
      </c>
      <c r="C1674" s="5"/>
      <c r="D1674" s="5" t="s">
        <v>14</v>
      </c>
      <c r="E1674" s="15">
        <f>1</f>
        <v>1</v>
      </c>
      <c r="F1674" s="15"/>
      <c r="G1674" s="15"/>
    </row>
    <row r="1675" spans="1:126" x14ac:dyDescent="0.3">
      <c r="A1675" s="5"/>
      <c r="B1675" s="5" t="s">
        <v>352</v>
      </c>
      <c r="C1675" s="5"/>
      <c r="D1675" s="5" t="s">
        <v>14</v>
      </c>
      <c r="E1675" s="15">
        <f>1</f>
        <v>1</v>
      </c>
      <c r="F1675" s="15"/>
      <c r="G1675" s="15"/>
    </row>
    <row r="1676" spans="1:126" x14ac:dyDescent="0.3">
      <c r="A1676" s="5"/>
      <c r="B1676" s="5" t="s">
        <v>373</v>
      </c>
      <c r="C1676" s="5"/>
      <c r="D1676" s="5" t="s">
        <v>14</v>
      </c>
      <c r="E1676" s="15">
        <f>1</f>
        <v>1</v>
      </c>
      <c r="F1676" s="15"/>
      <c r="G1676" s="15"/>
    </row>
    <row r="1677" spans="1:126" x14ac:dyDescent="0.3">
      <c r="A1677" s="5"/>
      <c r="B1677" s="5" t="s">
        <v>374</v>
      </c>
      <c r="C1677" s="5"/>
      <c r="D1677" s="5" t="s">
        <v>14</v>
      </c>
      <c r="E1677" s="15">
        <f>1</f>
        <v>1</v>
      </c>
      <c r="F1677" s="15"/>
      <c r="G1677" s="15"/>
    </row>
    <row r="1678" spans="1:126" x14ac:dyDescent="0.3">
      <c r="A1678" s="5"/>
      <c r="B1678" s="5" t="s">
        <v>351</v>
      </c>
      <c r="C1678" s="5"/>
      <c r="D1678" s="5" t="s">
        <v>14</v>
      </c>
      <c r="E1678" s="15">
        <f>1</f>
        <v>1</v>
      </c>
      <c r="F1678" s="15"/>
      <c r="G1678" s="15"/>
    </row>
    <row r="1679" spans="1:126" x14ac:dyDescent="0.3">
      <c r="A1679" s="5"/>
      <c r="B1679" s="5" t="s">
        <v>352</v>
      </c>
      <c r="C1679" s="5"/>
      <c r="D1679" s="5" t="s">
        <v>14</v>
      </c>
      <c r="E1679" s="15">
        <f>1</f>
        <v>1</v>
      </c>
      <c r="F1679" s="15"/>
      <c r="G1679" s="15"/>
    </row>
    <row r="1680" spans="1:126" x14ac:dyDescent="0.3">
      <c r="A1680" s="5"/>
      <c r="B1680" s="5" t="s">
        <v>349</v>
      </c>
      <c r="C1680" s="5"/>
      <c r="D1680" s="5" t="s">
        <v>14</v>
      </c>
      <c r="E1680" s="15">
        <f>1</f>
        <v>1</v>
      </c>
      <c r="F1680" s="15"/>
      <c r="G1680" s="15"/>
    </row>
    <row r="1681" spans="1:126" x14ac:dyDescent="0.3">
      <c r="A1681" s="5"/>
      <c r="B1681" s="5" t="s">
        <v>350</v>
      </c>
      <c r="C1681" s="5"/>
      <c r="D1681" s="5" t="s">
        <v>14</v>
      </c>
      <c r="E1681" s="15">
        <f>1</f>
        <v>1</v>
      </c>
      <c r="F1681" s="15"/>
      <c r="G1681" s="15"/>
    </row>
    <row r="1682" spans="1:126" x14ac:dyDescent="0.3">
      <c r="A1682" s="5"/>
      <c r="B1682" s="5" t="s">
        <v>23</v>
      </c>
      <c r="C1682" s="5"/>
      <c r="D1682" s="5" t="s">
        <v>8</v>
      </c>
      <c r="E1682" s="15">
        <f>0.968</f>
        <v>0.96799999999999997</v>
      </c>
      <c r="F1682" s="15"/>
      <c r="G1682" s="15"/>
    </row>
    <row r="1683" spans="1:126" s="25" customFormat="1" x14ac:dyDescent="0.3">
      <c r="A1683" s="23"/>
      <c r="B1683" s="23" t="s">
        <v>385</v>
      </c>
      <c r="C1683" s="23" t="s">
        <v>339</v>
      </c>
      <c r="D1683" s="23"/>
      <c r="E1683" s="24"/>
      <c r="F1683" s="24"/>
      <c r="G1683" s="24"/>
      <c r="H1683" s="59"/>
      <c r="I1683" s="59"/>
      <c r="J1683" s="59"/>
      <c r="K1683" s="59"/>
      <c r="L1683" s="59"/>
      <c r="M1683" s="59"/>
      <c r="N1683" s="59"/>
      <c r="O1683" s="59"/>
      <c r="P1683" s="59"/>
      <c r="Q1683" s="59"/>
      <c r="R1683" s="59"/>
      <c r="S1683" s="59"/>
      <c r="T1683" s="59"/>
      <c r="U1683" s="59"/>
      <c r="V1683" s="59"/>
      <c r="W1683" s="59"/>
      <c r="X1683" s="59"/>
      <c r="Y1683" s="59"/>
      <c r="Z1683" s="59"/>
      <c r="AA1683" s="59"/>
      <c r="AB1683" s="59"/>
      <c r="AC1683" s="59"/>
      <c r="AD1683" s="59"/>
      <c r="AE1683" s="59"/>
      <c r="AF1683" s="59"/>
      <c r="AG1683" s="59"/>
      <c r="AH1683" s="59"/>
      <c r="AI1683" s="59"/>
      <c r="AJ1683" s="59"/>
      <c r="AK1683" s="59"/>
      <c r="AL1683" s="59"/>
      <c r="AM1683" s="59"/>
      <c r="AN1683" s="59"/>
      <c r="AO1683" s="59"/>
      <c r="AP1683" s="59"/>
      <c r="AQ1683" s="59"/>
      <c r="AR1683" s="59"/>
      <c r="AS1683" s="59"/>
      <c r="AT1683" s="59"/>
      <c r="AU1683" s="59"/>
      <c r="AV1683" s="59"/>
      <c r="AW1683" s="59"/>
      <c r="AX1683" s="59"/>
      <c r="AY1683" s="59"/>
      <c r="AZ1683" s="59"/>
      <c r="BA1683" s="59"/>
      <c r="BB1683" s="59"/>
      <c r="BC1683" s="59"/>
      <c r="BD1683" s="59"/>
      <c r="BE1683" s="59"/>
      <c r="BF1683" s="59"/>
      <c r="BG1683" s="59"/>
      <c r="BH1683" s="59"/>
      <c r="BI1683" s="59"/>
      <c r="BJ1683" s="59"/>
      <c r="BK1683" s="59"/>
      <c r="BL1683" s="59"/>
      <c r="BM1683" s="59"/>
      <c r="BN1683" s="59"/>
      <c r="BO1683" s="59"/>
      <c r="BP1683" s="59"/>
      <c r="BQ1683" s="59"/>
      <c r="BR1683" s="59"/>
      <c r="BS1683" s="59"/>
      <c r="BT1683" s="59"/>
      <c r="BU1683" s="59"/>
      <c r="BV1683" s="59"/>
      <c r="BW1683" s="59"/>
      <c r="BX1683" s="59"/>
      <c r="BY1683" s="59"/>
      <c r="BZ1683" s="59"/>
      <c r="CA1683" s="59"/>
      <c r="CB1683" s="59"/>
      <c r="CC1683" s="59"/>
      <c r="CD1683" s="59"/>
      <c r="CE1683" s="59"/>
      <c r="CF1683" s="59"/>
      <c r="CG1683" s="59"/>
      <c r="CH1683" s="59"/>
      <c r="CI1683" s="59"/>
      <c r="CJ1683" s="59"/>
      <c r="CK1683" s="59"/>
      <c r="CL1683" s="59"/>
      <c r="CM1683" s="59"/>
      <c r="CN1683" s="59"/>
      <c r="CO1683" s="59"/>
      <c r="CP1683" s="59"/>
      <c r="CQ1683" s="59"/>
      <c r="CR1683" s="59"/>
      <c r="CS1683" s="59"/>
      <c r="CT1683" s="59"/>
      <c r="CU1683" s="59"/>
      <c r="CV1683" s="59"/>
      <c r="CW1683" s="59"/>
      <c r="CX1683" s="59"/>
      <c r="CY1683" s="59"/>
      <c r="CZ1683" s="59"/>
      <c r="DA1683" s="59"/>
      <c r="DB1683" s="59"/>
      <c r="DC1683" s="59"/>
      <c r="DD1683" s="59"/>
      <c r="DE1683" s="59"/>
      <c r="DF1683" s="59"/>
      <c r="DG1683" s="59"/>
      <c r="DH1683" s="59"/>
      <c r="DI1683" s="59"/>
      <c r="DJ1683" s="59"/>
      <c r="DK1683" s="59"/>
      <c r="DL1683" s="59"/>
      <c r="DM1683" s="59"/>
      <c r="DN1683" s="59"/>
      <c r="DO1683" s="59"/>
      <c r="DP1683" s="59"/>
      <c r="DQ1683" s="59"/>
      <c r="DR1683" s="59"/>
      <c r="DS1683" s="59"/>
      <c r="DT1683" s="59"/>
      <c r="DU1683" s="59"/>
      <c r="DV1683" s="59"/>
    </row>
    <row r="1684" spans="1:126" s="3" customFormat="1" x14ac:dyDescent="0.3">
      <c r="A1684" s="21"/>
      <c r="B1684" s="21" t="s">
        <v>386</v>
      </c>
      <c r="C1684" s="21"/>
      <c r="D1684" s="21"/>
      <c r="E1684" s="22"/>
      <c r="F1684" s="22"/>
      <c r="G1684" s="22"/>
      <c r="H1684" s="59"/>
      <c r="I1684" s="59"/>
      <c r="J1684" s="59"/>
      <c r="K1684" s="59"/>
      <c r="L1684" s="59"/>
      <c r="M1684" s="59"/>
      <c r="N1684" s="59"/>
      <c r="O1684" s="59"/>
      <c r="P1684" s="59"/>
      <c r="Q1684" s="59"/>
      <c r="R1684" s="59"/>
      <c r="S1684" s="59"/>
      <c r="T1684" s="59"/>
      <c r="U1684" s="59"/>
      <c r="V1684" s="59"/>
      <c r="W1684" s="59"/>
      <c r="X1684" s="59"/>
      <c r="Y1684" s="59"/>
      <c r="Z1684" s="59"/>
      <c r="AA1684" s="59"/>
      <c r="AB1684" s="59"/>
      <c r="AC1684" s="59"/>
      <c r="AD1684" s="59"/>
      <c r="AE1684" s="59"/>
      <c r="AF1684" s="59"/>
      <c r="AG1684" s="59"/>
      <c r="AH1684" s="59"/>
      <c r="AI1684" s="59"/>
      <c r="AJ1684" s="59"/>
      <c r="AK1684" s="59"/>
      <c r="AL1684" s="59"/>
      <c r="AM1684" s="59"/>
      <c r="AN1684" s="59"/>
      <c r="AO1684" s="59"/>
      <c r="AP1684" s="59"/>
      <c r="AQ1684" s="59"/>
      <c r="AR1684" s="59"/>
      <c r="AS1684" s="59"/>
      <c r="AT1684" s="59"/>
      <c r="AU1684" s="59"/>
      <c r="AV1684" s="59"/>
      <c r="AW1684" s="59"/>
      <c r="AX1684" s="59"/>
      <c r="AY1684" s="59"/>
      <c r="AZ1684" s="59"/>
      <c r="BA1684" s="59"/>
      <c r="BB1684" s="59"/>
      <c r="BC1684" s="59"/>
      <c r="BD1684" s="59"/>
      <c r="BE1684" s="59"/>
      <c r="BF1684" s="59"/>
      <c r="BG1684" s="59"/>
      <c r="BH1684" s="59"/>
      <c r="BI1684" s="59"/>
      <c r="BJ1684" s="59"/>
      <c r="BK1684" s="59"/>
      <c r="BL1684" s="59"/>
      <c r="BM1684" s="59"/>
      <c r="BN1684" s="59"/>
      <c r="BO1684" s="59"/>
      <c r="BP1684" s="59"/>
      <c r="BQ1684" s="59"/>
      <c r="BR1684" s="59"/>
      <c r="BS1684" s="59"/>
      <c r="BT1684" s="59"/>
      <c r="BU1684" s="59"/>
      <c r="BV1684" s="59"/>
      <c r="BW1684" s="59"/>
      <c r="BX1684" s="59"/>
      <c r="BY1684" s="59"/>
      <c r="BZ1684" s="59"/>
      <c r="CA1684" s="59"/>
      <c r="CB1684" s="59"/>
      <c r="CC1684" s="59"/>
      <c r="CD1684" s="59"/>
      <c r="CE1684" s="59"/>
      <c r="CF1684" s="59"/>
      <c r="CG1684" s="59"/>
      <c r="CH1684" s="59"/>
      <c r="CI1684" s="59"/>
      <c r="CJ1684" s="59"/>
      <c r="CK1684" s="59"/>
      <c r="CL1684" s="59"/>
      <c r="CM1684" s="59"/>
      <c r="CN1684" s="59"/>
      <c r="CO1684" s="59"/>
      <c r="CP1684" s="59"/>
      <c r="CQ1684" s="59"/>
      <c r="CR1684" s="59"/>
      <c r="CS1684" s="59"/>
      <c r="CT1684" s="59"/>
      <c r="CU1684" s="59"/>
      <c r="CV1684" s="59"/>
      <c r="CW1684" s="59"/>
      <c r="CX1684" s="59"/>
      <c r="CY1684" s="59"/>
      <c r="CZ1684" s="59"/>
      <c r="DA1684" s="59"/>
      <c r="DB1684" s="59"/>
      <c r="DC1684" s="59"/>
      <c r="DD1684" s="59"/>
      <c r="DE1684" s="59"/>
      <c r="DF1684" s="59"/>
      <c r="DG1684" s="59"/>
      <c r="DH1684" s="59"/>
      <c r="DI1684" s="59"/>
      <c r="DJ1684" s="59"/>
      <c r="DK1684" s="59"/>
      <c r="DL1684" s="59"/>
      <c r="DM1684" s="59"/>
      <c r="DN1684" s="59"/>
      <c r="DO1684" s="59"/>
      <c r="DP1684" s="59"/>
      <c r="DQ1684" s="59"/>
      <c r="DR1684" s="59"/>
      <c r="DS1684" s="59"/>
      <c r="DT1684" s="59"/>
      <c r="DU1684" s="59"/>
      <c r="DV1684" s="59"/>
    </row>
    <row r="1685" spans="1:126" ht="31.2" x14ac:dyDescent="0.3">
      <c r="A1685" s="5"/>
      <c r="B1685" s="11" t="s">
        <v>234</v>
      </c>
      <c r="C1685" s="5"/>
      <c r="D1685" s="5" t="s">
        <v>8</v>
      </c>
      <c r="E1685" s="15">
        <f>2642.7+3.2</f>
        <v>2645.8999999999996</v>
      </c>
      <c r="F1685" s="15"/>
      <c r="G1685" s="15"/>
    </row>
    <row r="1686" spans="1:126" x14ac:dyDescent="0.3">
      <c r="A1686" s="5"/>
      <c r="B1686" s="5" t="s">
        <v>182</v>
      </c>
      <c r="C1686" s="5"/>
      <c r="D1686" s="5" t="s">
        <v>8</v>
      </c>
      <c r="E1686" s="15">
        <f>38.9</f>
        <v>38.9</v>
      </c>
      <c r="F1686" s="15"/>
      <c r="G1686" s="15"/>
    </row>
    <row r="1687" spans="1:126" s="3" customFormat="1" x14ac:dyDescent="0.3">
      <c r="A1687" s="21"/>
      <c r="B1687" s="21" t="s">
        <v>387</v>
      </c>
      <c r="C1687" s="21"/>
      <c r="D1687" s="21"/>
      <c r="E1687" s="22"/>
      <c r="F1687" s="22"/>
      <c r="G1687" s="22"/>
      <c r="H1687" s="59"/>
      <c r="I1687" s="59"/>
      <c r="J1687" s="59"/>
      <c r="K1687" s="59"/>
      <c r="L1687" s="59"/>
      <c r="M1687" s="59"/>
      <c r="N1687" s="59"/>
      <c r="O1687" s="59"/>
      <c r="P1687" s="59"/>
      <c r="Q1687" s="59"/>
      <c r="R1687" s="59"/>
      <c r="S1687" s="59"/>
      <c r="T1687" s="59"/>
      <c r="U1687" s="59"/>
      <c r="V1687" s="59"/>
      <c r="W1687" s="59"/>
      <c r="X1687" s="59"/>
      <c r="Y1687" s="59"/>
      <c r="Z1687" s="59"/>
      <c r="AA1687" s="59"/>
      <c r="AB1687" s="59"/>
      <c r="AC1687" s="59"/>
      <c r="AD1687" s="59"/>
      <c r="AE1687" s="59"/>
      <c r="AF1687" s="59"/>
      <c r="AG1687" s="59"/>
      <c r="AH1687" s="59"/>
      <c r="AI1687" s="59"/>
      <c r="AJ1687" s="59"/>
      <c r="AK1687" s="59"/>
      <c r="AL1687" s="59"/>
      <c r="AM1687" s="59"/>
      <c r="AN1687" s="59"/>
      <c r="AO1687" s="59"/>
      <c r="AP1687" s="59"/>
      <c r="AQ1687" s="59"/>
      <c r="AR1687" s="59"/>
      <c r="AS1687" s="59"/>
      <c r="AT1687" s="59"/>
      <c r="AU1687" s="59"/>
      <c r="AV1687" s="59"/>
      <c r="AW1687" s="59"/>
      <c r="AX1687" s="59"/>
      <c r="AY1687" s="59"/>
      <c r="AZ1687" s="59"/>
      <c r="BA1687" s="59"/>
      <c r="BB1687" s="59"/>
      <c r="BC1687" s="59"/>
      <c r="BD1687" s="59"/>
      <c r="BE1687" s="59"/>
      <c r="BF1687" s="59"/>
      <c r="BG1687" s="59"/>
      <c r="BH1687" s="59"/>
      <c r="BI1687" s="59"/>
      <c r="BJ1687" s="59"/>
      <c r="BK1687" s="59"/>
      <c r="BL1687" s="59"/>
      <c r="BM1687" s="59"/>
      <c r="BN1687" s="59"/>
      <c r="BO1687" s="59"/>
      <c r="BP1687" s="59"/>
      <c r="BQ1687" s="59"/>
      <c r="BR1687" s="59"/>
      <c r="BS1687" s="59"/>
      <c r="BT1687" s="59"/>
      <c r="BU1687" s="59"/>
      <c r="BV1687" s="59"/>
      <c r="BW1687" s="59"/>
      <c r="BX1687" s="59"/>
      <c r="BY1687" s="59"/>
      <c r="BZ1687" s="59"/>
      <c r="CA1687" s="59"/>
      <c r="CB1687" s="59"/>
      <c r="CC1687" s="59"/>
      <c r="CD1687" s="59"/>
      <c r="CE1687" s="59"/>
      <c r="CF1687" s="59"/>
      <c r="CG1687" s="59"/>
      <c r="CH1687" s="59"/>
      <c r="CI1687" s="59"/>
      <c r="CJ1687" s="59"/>
      <c r="CK1687" s="59"/>
      <c r="CL1687" s="59"/>
      <c r="CM1687" s="59"/>
      <c r="CN1687" s="59"/>
      <c r="CO1687" s="59"/>
      <c r="CP1687" s="59"/>
      <c r="CQ1687" s="59"/>
      <c r="CR1687" s="59"/>
      <c r="CS1687" s="59"/>
      <c r="CT1687" s="59"/>
      <c r="CU1687" s="59"/>
      <c r="CV1687" s="59"/>
      <c r="CW1687" s="59"/>
      <c r="CX1687" s="59"/>
      <c r="CY1687" s="59"/>
      <c r="CZ1687" s="59"/>
      <c r="DA1687" s="59"/>
      <c r="DB1687" s="59"/>
      <c r="DC1687" s="59"/>
      <c r="DD1687" s="59"/>
      <c r="DE1687" s="59"/>
      <c r="DF1687" s="59"/>
      <c r="DG1687" s="59"/>
      <c r="DH1687" s="59"/>
      <c r="DI1687" s="59"/>
      <c r="DJ1687" s="59"/>
      <c r="DK1687" s="59"/>
      <c r="DL1687" s="59"/>
      <c r="DM1687" s="59"/>
      <c r="DN1687" s="59"/>
      <c r="DO1687" s="59"/>
      <c r="DP1687" s="59"/>
      <c r="DQ1687" s="59"/>
      <c r="DR1687" s="59"/>
      <c r="DS1687" s="59"/>
      <c r="DT1687" s="59"/>
      <c r="DU1687" s="59"/>
      <c r="DV1687" s="59"/>
    </row>
    <row r="1688" spans="1:126" s="20" customFormat="1" ht="31.2" x14ac:dyDescent="0.3">
      <c r="A1688" s="18"/>
      <c r="B1688" s="17" t="s">
        <v>342</v>
      </c>
      <c r="C1688" s="18"/>
      <c r="D1688" s="18" t="s">
        <v>8</v>
      </c>
      <c r="E1688" s="19">
        <f>102.6</f>
        <v>102.6</v>
      </c>
      <c r="F1688" s="19"/>
      <c r="G1688" s="19"/>
      <c r="H1688" s="60"/>
      <c r="I1688" s="60"/>
      <c r="J1688" s="60"/>
      <c r="K1688" s="60"/>
      <c r="L1688" s="60"/>
      <c r="M1688" s="60"/>
      <c r="N1688" s="60"/>
      <c r="O1688" s="60"/>
      <c r="P1688" s="60"/>
      <c r="Q1688" s="60"/>
      <c r="R1688" s="60"/>
      <c r="S1688" s="60"/>
      <c r="T1688" s="60"/>
      <c r="U1688" s="60"/>
      <c r="V1688" s="60"/>
      <c r="W1688" s="60"/>
      <c r="X1688" s="60"/>
      <c r="Y1688" s="60"/>
      <c r="Z1688" s="60"/>
      <c r="AA1688" s="60"/>
      <c r="AB1688" s="60"/>
      <c r="AC1688" s="60"/>
      <c r="AD1688" s="60"/>
      <c r="AE1688" s="60"/>
      <c r="AF1688" s="60"/>
      <c r="AG1688" s="60"/>
      <c r="AH1688" s="60"/>
      <c r="AI1688" s="60"/>
      <c r="AJ1688" s="60"/>
      <c r="AK1688" s="60"/>
      <c r="AL1688" s="60"/>
      <c r="AM1688" s="60"/>
      <c r="AN1688" s="60"/>
      <c r="AO1688" s="60"/>
      <c r="AP1688" s="60"/>
      <c r="AQ1688" s="60"/>
      <c r="AR1688" s="60"/>
      <c r="AS1688" s="60"/>
      <c r="AT1688" s="60"/>
      <c r="AU1688" s="60"/>
      <c r="AV1688" s="60"/>
      <c r="AW1688" s="60"/>
      <c r="AX1688" s="60"/>
      <c r="AY1688" s="60"/>
      <c r="AZ1688" s="60"/>
      <c r="BA1688" s="60"/>
      <c r="BB1688" s="60"/>
      <c r="BC1688" s="60"/>
      <c r="BD1688" s="60"/>
      <c r="BE1688" s="60"/>
      <c r="BF1688" s="60"/>
      <c r="BG1688" s="60"/>
      <c r="BH1688" s="60"/>
      <c r="BI1688" s="60"/>
      <c r="BJ1688" s="60"/>
      <c r="BK1688" s="60"/>
      <c r="BL1688" s="60"/>
      <c r="BM1688" s="60"/>
      <c r="BN1688" s="60"/>
      <c r="BO1688" s="60"/>
      <c r="BP1688" s="60"/>
      <c r="BQ1688" s="60"/>
      <c r="BR1688" s="60"/>
      <c r="BS1688" s="60"/>
      <c r="BT1688" s="60"/>
      <c r="BU1688" s="60"/>
      <c r="BV1688" s="60"/>
      <c r="BW1688" s="60"/>
      <c r="BX1688" s="60"/>
      <c r="BY1688" s="60"/>
      <c r="BZ1688" s="60"/>
      <c r="CA1688" s="60"/>
      <c r="CB1688" s="60"/>
      <c r="CC1688" s="60"/>
      <c r="CD1688" s="60"/>
      <c r="CE1688" s="60"/>
      <c r="CF1688" s="60"/>
      <c r="CG1688" s="60"/>
      <c r="CH1688" s="60"/>
      <c r="CI1688" s="60"/>
      <c r="CJ1688" s="60"/>
      <c r="CK1688" s="60"/>
      <c r="CL1688" s="60"/>
      <c r="CM1688" s="60"/>
      <c r="CN1688" s="60"/>
      <c r="CO1688" s="60"/>
      <c r="CP1688" s="60"/>
      <c r="CQ1688" s="60"/>
      <c r="CR1688" s="60"/>
      <c r="CS1688" s="60"/>
      <c r="CT1688" s="60"/>
      <c r="CU1688" s="60"/>
      <c r="CV1688" s="60"/>
      <c r="CW1688" s="60"/>
      <c r="CX1688" s="60"/>
      <c r="CY1688" s="60"/>
      <c r="CZ1688" s="60"/>
      <c r="DA1688" s="60"/>
      <c r="DB1688" s="60"/>
      <c r="DC1688" s="60"/>
      <c r="DD1688" s="60"/>
      <c r="DE1688" s="60"/>
      <c r="DF1688" s="60"/>
      <c r="DG1688" s="60"/>
      <c r="DH1688" s="60"/>
      <c r="DI1688" s="60"/>
      <c r="DJ1688" s="60"/>
      <c r="DK1688" s="60"/>
      <c r="DL1688" s="60"/>
      <c r="DM1688" s="60"/>
      <c r="DN1688" s="60"/>
      <c r="DO1688" s="60"/>
      <c r="DP1688" s="60"/>
      <c r="DQ1688" s="60"/>
      <c r="DR1688" s="60"/>
      <c r="DS1688" s="60"/>
      <c r="DT1688" s="60"/>
      <c r="DU1688" s="60"/>
      <c r="DV1688" s="60"/>
    </row>
    <row r="1689" spans="1:126" ht="31.2" x14ac:dyDescent="0.3">
      <c r="A1689" s="5"/>
      <c r="B1689" s="11" t="s">
        <v>230</v>
      </c>
      <c r="C1689" s="5"/>
      <c r="D1689" s="5" t="s">
        <v>8</v>
      </c>
      <c r="E1689" s="15">
        <f>29</f>
        <v>29</v>
      </c>
      <c r="F1689" s="15"/>
      <c r="G1689" s="15"/>
    </row>
    <row r="1690" spans="1:126" x14ac:dyDescent="0.3">
      <c r="A1690" s="5"/>
      <c r="B1690" s="5" t="s">
        <v>182</v>
      </c>
      <c r="C1690" s="5"/>
      <c r="D1690" s="5" t="s">
        <v>8</v>
      </c>
      <c r="E1690" s="15">
        <f>1.4</f>
        <v>1.4</v>
      </c>
      <c r="F1690" s="15"/>
      <c r="G1690" s="15"/>
    </row>
    <row r="1691" spans="1:126" x14ac:dyDescent="0.3">
      <c r="A1691" s="21"/>
      <c r="B1691" s="21" t="s">
        <v>388</v>
      </c>
      <c r="C1691" s="21"/>
      <c r="D1691" s="21" t="s">
        <v>69</v>
      </c>
      <c r="E1691" s="22">
        <f>2898.3</f>
        <v>2898.3</v>
      </c>
      <c r="F1691" s="22"/>
      <c r="G1691" s="22"/>
    </row>
    <row r="1692" spans="1:126" x14ac:dyDescent="0.3">
      <c r="A1692" s="5"/>
      <c r="B1692" s="5" t="s">
        <v>153</v>
      </c>
      <c r="C1692" s="5"/>
      <c r="D1692" s="5" t="s">
        <v>72</v>
      </c>
      <c r="E1692" s="5">
        <v>2284.4400599999999</v>
      </c>
      <c r="F1692" s="5"/>
      <c r="G1692" s="5"/>
    </row>
    <row r="1693" spans="1:126" x14ac:dyDescent="0.3">
      <c r="A1693" s="5"/>
      <c r="B1693" s="5" t="s">
        <v>155</v>
      </c>
      <c r="C1693" s="5"/>
      <c r="D1693" s="5" t="s">
        <v>72</v>
      </c>
      <c r="E1693" s="5">
        <v>228.444006</v>
      </c>
      <c r="F1693" s="5"/>
      <c r="G1693" s="5"/>
    </row>
    <row r="1694" spans="1:126" x14ac:dyDescent="0.3">
      <c r="A1694" s="21"/>
      <c r="B1694" s="21" t="s">
        <v>389</v>
      </c>
      <c r="C1694" s="21"/>
      <c r="D1694" s="21" t="s">
        <v>69</v>
      </c>
      <c r="E1694" s="22">
        <f>28982.5</f>
        <v>28982.5</v>
      </c>
      <c r="F1694" s="22"/>
      <c r="G1694" s="22"/>
    </row>
    <row r="1695" spans="1:126" x14ac:dyDescent="0.3">
      <c r="A1695" s="5"/>
      <c r="B1695" s="5" t="s">
        <v>239</v>
      </c>
      <c r="C1695" s="5"/>
      <c r="D1695" s="5" t="s">
        <v>72</v>
      </c>
      <c r="E1695" s="5">
        <v>12132.074499999999</v>
      </c>
      <c r="F1695" s="5"/>
      <c r="G1695" s="5"/>
    </row>
    <row r="1696" spans="1:126" x14ac:dyDescent="0.3">
      <c r="A1696" s="5"/>
      <c r="B1696" s="5" t="s">
        <v>155</v>
      </c>
      <c r="C1696" s="5"/>
      <c r="D1696" s="5" t="s">
        <v>72</v>
      </c>
      <c r="E1696" s="5">
        <v>1213.2074499999999</v>
      </c>
      <c r="F1696" s="5"/>
      <c r="G1696" s="5"/>
    </row>
    <row r="1697" spans="1:126" x14ac:dyDescent="0.3">
      <c r="A1697" s="21"/>
      <c r="B1697" s="21" t="s">
        <v>390</v>
      </c>
      <c r="C1697" s="21"/>
      <c r="D1697" s="21" t="s">
        <v>69</v>
      </c>
      <c r="E1697" s="22">
        <f>268.9</f>
        <v>268.89999999999998</v>
      </c>
      <c r="F1697" s="22"/>
      <c r="G1697" s="22"/>
    </row>
    <row r="1698" spans="1:126" x14ac:dyDescent="0.3">
      <c r="A1698" s="5"/>
      <c r="B1698" s="5" t="s">
        <v>153</v>
      </c>
      <c r="C1698" s="5"/>
      <c r="D1698" s="5" t="s">
        <v>72</v>
      </c>
      <c r="E1698" s="5">
        <v>211.94697999999997</v>
      </c>
      <c r="F1698" s="5"/>
      <c r="G1698" s="5"/>
    </row>
    <row r="1699" spans="1:126" x14ac:dyDescent="0.3">
      <c r="A1699" s="5"/>
      <c r="B1699" s="5" t="s">
        <v>155</v>
      </c>
      <c r="C1699" s="5"/>
      <c r="D1699" s="5" t="s">
        <v>72</v>
      </c>
      <c r="E1699" s="5">
        <v>21.194697999999999</v>
      </c>
      <c r="F1699" s="5"/>
      <c r="G1699" s="5"/>
    </row>
    <row r="1700" spans="1:126" x14ac:dyDescent="0.3">
      <c r="A1700" s="21"/>
      <c r="B1700" s="21" t="s">
        <v>391</v>
      </c>
      <c r="C1700" s="21"/>
      <c r="D1700" s="21" t="s">
        <v>69</v>
      </c>
      <c r="E1700" s="22">
        <f>2688.9</f>
        <v>2688.9</v>
      </c>
      <c r="F1700" s="22"/>
      <c r="G1700" s="22"/>
    </row>
    <row r="1701" spans="1:126" x14ac:dyDescent="0.3">
      <c r="A1701" s="5"/>
      <c r="B1701" s="5" t="s">
        <v>239</v>
      </c>
      <c r="C1701" s="5"/>
      <c r="D1701" s="5" t="s">
        <v>72</v>
      </c>
      <c r="E1701" s="5">
        <v>1125.5735399999999</v>
      </c>
      <c r="F1701" s="5"/>
      <c r="G1701" s="5"/>
    </row>
    <row r="1702" spans="1:126" x14ac:dyDescent="0.3">
      <c r="A1702" s="5"/>
      <c r="B1702" s="5" t="s">
        <v>155</v>
      </c>
      <c r="C1702" s="5"/>
      <c r="D1702" s="5" t="s">
        <v>72</v>
      </c>
      <c r="E1702" s="5">
        <v>112.55735399999999</v>
      </c>
      <c r="F1702" s="5"/>
      <c r="G1702" s="5"/>
    </row>
    <row r="1703" spans="1:126" s="3" customFormat="1" x14ac:dyDescent="0.3">
      <c r="A1703" s="21"/>
      <c r="B1703" s="21" t="s">
        <v>392</v>
      </c>
      <c r="C1703" s="21"/>
      <c r="D1703" s="21"/>
      <c r="E1703" s="22"/>
      <c r="F1703" s="22"/>
      <c r="G1703" s="22"/>
      <c r="H1703" s="59"/>
      <c r="I1703" s="59"/>
      <c r="J1703" s="59"/>
      <c r="K1703" s="59"/>
      <c r="L1703" s="59"/>
      <c r="M1703" s="59"/>
      <c r="N1703" s="59"/>
      <c r="O1703" s="59"/>
      <c r="P1703" s="59"/>
      <c r="Q1703" s="59"/>
      <c r="R1703" s="59"/>
      <c r="S1703" s="59"/>
      <c r="T1703" s="59"/>
      <c r="U1703" s="59"/>
      <c r="V1703" s="59"/>
      <c r="W1703" s="59"/>
      <c r="X1703" s="59"/>
      <c r="Y1703" s="59"/>
      <c r="Z1703" s="59"/>
      <c r="AA1703" s="59"/>
      <c r="AB1703" s="59"/>
      <c r="AC1703" s="59"/>
      <c r="AD1703" s="59"/>
      <c r="AE1703" s="59"/>
      <c r="AF1703" s="59"/>
      <c r="AG1703" s="59"/>
      <c r="AH1703" s="59"/>
      <c r="AI1703" s="59"/>
      <c r="AJ1703" s="59"/>
      <c r="AK1703" s="59"/>
      <c r="AL1703" s="59"/>
      <c r="AM1703" s="59"/>
      <c r="AN1703" s="59"/>
      <c r="AO1703" s="59"/>
      <c r="AP1703" s="59"/>
      <c r="AQ1703" s="59"/>
      <c r="AR1703" s="59"/>
      <c r="AS1703" s="59"/>
      <c r="AT1703" s="59"/>
      <c r="AU1703" s="59"/>
      <c r="AV1703" s="59"/>
      <c r="AW1703" s="59"/>
      <c r="AX1703" s="59"/>
      <c r="AY1703" s="59"/>
      <c r="AZ1703" s="59"/>
      <c r="BA1703" s="59"/>
      <c r="BB1703" s="59"/>
      <c r="BC1703" s="59"/>
      <c r="BD1703" s="59"/>
      <c r="BE1703" s="59"/>
      <c r="BF1703" s="59"/>
      <c r="BG1703" s="59"/>
      <c r="BH1703" s="59"/>
      <c r="BI1703" s="59"/>
      <c r="BJ1703" s="59"/>
      <c r="BK1703" s="59"/>
      <c r="BL1703" s="59"/>
      <c r="BM1703" s="59"/>
      <c r="BN1703" s="59"/>
      <c r="BO1703" s="59"/>
      <c r="BP1703" s="59"/>
      <c r="BQ1703" s="59"/>
      <c r="BR1703" s="59"/>
      <c r="BS1703" s="59"/>
      <c r="BT1703" s="59"/>
      <c r="BU1703" s="59"/>
      <c r="BV1703" s="59"/>
      <c r="BW1703" s="59"/>
      <c r="BX1703" s="59"/>
      <c r="BY1703" s="59"/>
      <c r="BZ1703" s="59"/>
      <c r="CA1703" s="59"/>
      <c r="CB1703" s="59"/>
      <c r="CC1703" s="59"/>
      <c r="CD1703" s="59"/>
      <c r="CE1703" s="59"/>
      <c r="CF1703" s="59"/>
      <c r="CG1703" s="59"/>
      <c r="CH1703" s="59"/>
      <c r="CI1703" s="59"/>
      <c r="CJ1703" s="59"/>
      <c r="CK1703" s="59"/>
      <c r="CL1703" s="59"/>
      <c r="CM1703" s="59"/>
      <c r="CN1703" s="59"/>
      <c r="CO1703" s="59"/>
      <c r="CP1703" s="59"/>
      <c r="CQ1703" s="59"/>
      <c r="CR1703" s="59"/>
      <c r="CS1703" s="59"/>
      <c r="CT1703" s="59"/>
      <c r="CU1703" s="59"/>
      <c r="CV1703" s="59"/>
      <c r="CW1703" s="59"/>
      <c r="CX1703" s="59"/>
      <c r="CY1703" s="59"/>
      <c r="CZ1703" s="59"/>
      <c r="DA1703" s="59"/>
      <c r="DB1703" s="59"/>
      <c r="DC1703" s="59"/>
      <c r="DD1703" s="59"/>
      <c r="DE1703" s="59"/>
      <c r="DF1703" s="59"/>
      <c r="DG1703" s="59"/>
      <c r="DH1703" s="59"/>
      <c r="DI1703" s="59"/>
      <c r="DJ1703" s="59"/>
      <c r="DK1703" s="59"/>
      <c r="DL1703" s="59"/>
      <c r="DM1703" s="59"/>
      <c r="DN1703" s="59"/>
      <c r="DO1703" s="59"/>
      <c r="DP1703" s="59"/>
      <c r="DQ1703" s="59"/>
      <c r="DR1703" s="59"/>
      <c r="DS1703" s="59"/>
      <c r="DT1703" s="59"/>
      <c r="DU1703" s="59"/>
      <c r="DV1703" s="59"/>
    </row>
    <row r="1704" spans="1:126" x14ac:dyDescent="0.3">
      <c r="A1704" s="5"/>
      <c r="B1704" s="5" t="s">
        <v>349</v>
      </c>
      <c r="C1704" s="5"/>
      <c r="D1704" s="5" t="s">
        <v>14</v>
      </c>
      <c r="E1704" s="15">
        <f>1</f>
        <v>1</v>
      </c>
      <c r="F1704" s="15"/>
      <c r="G1704" s="15"/>
    </row>
    <row r="1705" spans="1:126" x14ac:dyDescent="0.3">
      <c r="A1705" s="5"/>
      <c r="B1705" s="5" t="s">
        <v>350</v>
      </c>
      <c r="C1705" s="5"/>
      <c r="D1705" s="5" t="s">
        <v>14</v>
      </c>
      <c r="E1705" s="15">
        <f>1</f>
        <v>1</v>
      </c>
      <c r="F1705" s="15"/>
      <c r="G1705" s="15"/>
    </row>
    <row r="1706" spans="1:126" x14ac:dyDescent="0.3">
      <c r="A1706" s="5"/>
      <c r="B1706" s="5" t="s">
        <v>351</v>
      </c>
      <c r="C1706" s="5"/>
      <c r="D1706" s="5" t="s">
        <v>14</v>
      </c>
      <c r="E1706" s="15">
        <f>1</f>
        <v>1</v>
      </c>
      <c r="F1706" s="15"/>
      <c r="G1706" s="15"/>
    </row>
    <row r="1707" spans="1:126" x14ac:dyDescent="0.3">
      <c r="A1707" s="5"/>
      <c r="B1707" s="5" t="s">
        <v>352</v>
      </c>
      <c r="C1707" s="5"/>
      <c r="D1707" s="5" t="s">
        <v>14</v>
      </c>
      <c r="E1707" s="15">
        <f>1</f>
        <v>1</v>
      </c>
      <c r="F1707" s="15"/>
      <c r="G1707" s="15"/>
    </row>
    <row r="1708" spans="1:126" x14ac:dyDescent="0.3">
      <c r="A1708" s="5"/>
      <c r="B1708" s="5" t="s">
        <v>353</v>
      </c>
      <c r="C1708" s="5"/>
      <c r="D1708" s="5" t="s">
        <v>14</v>
      </c>
      <c r="E1708" s="15">
        <f>1</f>
        <v>1</v>
      </c>
      <c r="F1708" s="15"/>
      <c r="G1708" s="15"/>
    </row>
    <row r="1709" spans="1:126" x14ac:dyDescent="0.3">
      <c r="A1709" s="5"/>
      <c r="B1709" s="5" t="s">
        <v>354</v>
      </c>
      <c r="C1709" s="5"/>
      <c r="D1709" s="5" t="s">
        <v>14</v>
      </c>
      <c r="E1709" s="15">
        <f>1</f>
        <v>1</v>
      </c>
      <c r="F1709" s="15"/>
      <c r="G1709" s="15"/>
    </row>
    <row r="1710" spans="1:126" x14ac:dyDescent="0.3">
      <c r="A1710" s="5"/>
      <c r="B1710" s="5" t="s">
        <v>355</v>
      </c>
      <c r="C1710" s="5"/>
      <c r="D1710" s="5" t="s">
        <v>14</v>
      </c>
      <c r="E1710" s="15">
        <f>1</f>
        <v>1</v>
      </c>
      <c r="F1710" s="15"/>
      <c r="G1710" s="15"/>
    </row>
    <row r="1711" spans="1:126" x14ac:dyDescent="0.3">
      <c r="A1711" s="5"/>
      <c r="B1711" s="5" t="s">
        <v>356</v>
      </c>
      <c r="C1711" s="5"/>
      <c r="D1711" s="5" t="s">
        <v>14</v>
      </c>
      <c r="E1711" s="15">
        <f>1</f>
        <v>1</v>
      </c>
      <c r="F1711" s="15"/>
      <c r="G1711" s="15"/>
    </row>
    <row r="1712" spans="1:126" x14ac:dyDescent="0.3">
      <c r="A1712" s="5"/>
      <c r="B1712" s="5" t="s">
        <v>23</v>
      </c>
      <c r="C1712" s="5"/>
      <c r="D1712" s="5" t="s">
        <v>8</v>
      </c>
      <c r="E1712" s="15">
        <f>0.7744</f>
        <v>0.77439999999999998</v>
      </c>
      <c r="F1712" s="15"/>
      <c r="G1712" s="15"/>
    </row>
    <row r="1713" spans="1:126" s="25" customFormat="1" x14ac:dyDescent="0.3">
      <c r="A1713" s="23"/>
      <c r="B1713" s="23" t="s">
        <v>393</v>
      </c>
      <c r="C1713" s="23" t="s">
        <v>339</v>
      </c>
      <c r="D1713" s="23"/>
      <c r="E1713" s="24"/>
      <c r="F1713" s="24"/>
      <c r="G1713" s="24"/>
      <c r="H1713" s="59"/>
      <c r="I1713" s="59"/>
      <c r="J1713" s="59"/>
      <c r="K1713" s="59"/>
      <c r="L1713" s="59"/>
      <c r="M1713" s="59"/>
      <c r="N1713" s="59"/>
      <c r="O1713" s="59"/>
      <c r="P1713" s="59"/>
      <c r="Q1713" s="59"/>
      <c r="R1713" s="59"/>
      <c r="S1713" s="59"/>
      <c r="T1713" s="59"/>
      <c r="U1713" s="59"/>
      <c r="V1713" s="59"/>
      <c r="W1713" s="59"/>
      <c r="X1713" s="59"/>
      <c r="Y1713" s="59"/>
      <c r="Z1713" s="59"/>
      <c r="AA1713" s="59"/>
      <c r="AB1713" s="59"/>
      <c r="AC1713" s="59"/>
      <c r="AD1713" s="59"/>
      <c r="AE1713" s="59"/>
      <c r="AF1713" s="59"/>
      <c r="AG1713" s="59"/>
      <c r="AH1713" s="59"/>
      <c r="AI1713" s="59"/>
      <c r="AJ1713" s="59"/>
      <c r="AK1713" s="59"/>
      <c r="AL1713" s="59"/>
      <c r="AM1713" s="59"/>
      <c r="AN1713" s="59"/>
      <c r="AO1713" s="59"/>
      <c r="AP1713" s="59"/>
      <c r="AQ1713" s="59"/>
      <c r="AR1713" s="59"/>
      <c r="AS1713" s="59"/>
      <c r="AT1713" s="59"/>
      <c r="AU1713" s="59"/>
      <c r="AV1713" s="59"/>
      <c r="AW1713" s="59"/>
      <c r="AX1713" s="59"/>
      <c r="AY1713" s="59"/>
      <c r="AZ1713" s="59"/>
      <c r="BA1713" s="59"/>
      <c r="BB1713" s="59"/>
      <c r="BC1713" s="59"/>
      <c r="BD1713" s="59"/>
      <c r="BE1713" s="59"/>
      <c r="BF1713" s="59"/>
      <c r="BG1713" s="59"/>
      <c r="BH1713" s="59"/>
      <c r="BI1713" s="59"/>
      <c r="BJ1713" s="59"/>
      <c r="BK1713" s="59"/>
      <c r="BL1713" s="59"/>
      <c r="BM1713" s="59"/>
      <c r="BN1713" s="59"/>
      <c r="BO1713" s="59"/>
      <c r="BP1713" s="59"/>
      <c r="BQ1713" s="59"/>
      <c r="BR1713" s="59"/>
      <c r="BS1713" s="59"/>
      <c r="BT1713" s="59"/>
      <c r="BU1713" s="59"/>
      <c r="BV1713" s="59"/>
      <c r="BW1713" s="59"/>
      <c r="BX1713" s="59"/>
      <c r="BY1713" s="59"/>
      <c r="BZ1713" s="59"/>
      <c r="CA1713" s="59"/>
      <c r="CB1713" s="59"/>
      <c r="CC1713" s="59"/>
      <c r="CD1713" s="59"/>
      <c r="CE1713" s="59"/>
      <c r="CF1713" s="59"/>
      <c r="CG1713" s="59"/>
      <c r="CH1713" s="59"/>
      <c r="CI1713" s="59"/>
      <c r="CJ1713" s="59"/>
      <c r="CK1713" s="59"/>
      <c r="CL1713" s="59"/>
      <c r="CM1713" s="59"/>
      <c r="CN1713" s="59"/>
      <c r="CO1713" s="59"/>
      <c r="CP1713" s="59"/>
      <c r="CQ1713" s="59"/>
      <c r="CR1713" s="59"/>
      <c r="CS1713" s="59"/>
      <c r="CT1713" s="59"/>
      <c r="CU1713" s="59"/>
      <c r="CV1713" s="59"/>
      <c r="CW1713" s="59"/>
      <c r="CX1713" s="59"/>
      <c r="CY1713" s="59"/>
      <c r="CZ1713" s="59"/>
      <c r="DA1713" s="59"/>
      <c r="DB1713" s="59"/>
      <c r="DC1713" s="59"/>
      <c r="DD1713" s="59"/>
      <c r="DE1713" s="59"/>
      <c r="DF1713" s="59"/>
      <c r="DG1713" s="59"/>
      <c r="DH1713" s="59"/>
      <c r="DI1713" s="59"/>
      <c r="DJ1713" s="59"/>
      <c r="DK1713" s="59"/>
      <c r="DL1713" s="59"/>
      <c r="DM1713" s="59"/>
      <c r="DN1713" s="59"/>
      <c r="DO1713" s="59"/>
      <c r="DP1713" s="59"/>
      <c r="DQ1713" s="59"/>
      <c r="DR1713" s="59"/>
      <c r="DS1713" s="59"/>
      <c r="DT1713" s="59"/>
      <c r="DU1713" s="59"/>
      <c r="DV1713" s="59"/>
    </row>
    <row r="1714" spans="1:126" s="3" customFormat="1" x14ac:dyDescent="0.3">
      <c r="A1714" s="21"/>
      <c r="B1714" s="21" t="s">
        <v>394</v>
      </c>
      <c r="C1714" s="21"/>
      <c r="D1714" s="21"/>
      <c r="E1714" s="22"/>
      <c r="F1714" s="22"/>
      <c r="G1714" s="22"/>
      <c r="H1714" s="59"/>
      <c r="I1714" s="59"/>
      <c r="J1714" s="59"/>
      <c r="K1714" s="59"/>
      <c r="L1714" s="59"/>
      <c r="M1714" s="59"/>
      <c r="N1714" s="59"/>
      <c r="O1714" s="59"/>
      <c r="P1714" s="59"/>
      <c r="Q1714" s="59"/>
      <c r="R1714" s="59"/>
      <c r="S1714" s="59"/>
      <c r="T1714" s="59"/>
      <c r="U1714" s="59"/>
      <c r="V1714" s="59"/>
      <c r="W1714" s="59"/>
      <c r="X1714" s="59"/>
      <c r="Y1714" s="59"/>
      <c r="Z1714" s="59"/>
      <c r="AA1714" s="59"/>
      <c r="AB1714" s="59"/>
      <c r="AC1714" s="59"/>
      <c r="AD1714" s="59"/>
      <c r="AE1714" s="59"/>
      <c r="AF1714" s="59"/>
      <c r="AG1714" s="59"/>
      <c r="AH1714" s="59"/>
      <c r="AI1714" s="59"/>
      <c r="AJ1714" s="59"/>
      <c r="AK1714" s="59"/>
      <c r="AL1714" s="59"/>
      <c r="AM1714" s="59"/>
      <c r="AN1714" s="59"/>
      <c r="AO1714" s="59"/>
      <c r="AP1714" s="59"/>
      <c r="AQ1714" s="59"/>
      <c r="AR1714" s="59"/>
      <c r="AS1714" s="59"/>
      <c r="AT1714" s="59"/>
      <c r="AU1714" s="59"/>
      <c r="AV1714" s="59"/>
      <c r="AW1714" s="59"/>
      <c r="AX1714" s="59"/>
      <c r="AY1714" s="59"/>
      <c r="AZ1714" s="59"/>
      <c r="BA1714" s="59"/>
      <c r="BB1714" s="59"/>
      <c r="BC1714" s="59"/>
      <c r="BD1714" s="59"/>
      <c r="BE1714" s="59"/>
      <c r="BF1714" s="59"/>
      <c r="BG1714" s="59"/>
      <c r="BH1714" s="59"/>
      <c r="BI1714" s="59"/>
      <c r="BJ1714" s="59"/>
      <c r="BK1714" s="59"/>
      <c r="BL1714" s="59"/>
      <c r="BM1714" s="59"/>
      <c r="BN1714" s="59"/>
      <c r="BO1714" s="59"/>
      <c r="BP1714" s="59"/>
      <c r="BQ1714" s="59"/>
      <c r="BR1714" s="59"/>
      <c r="BS1714" s="59"/>
      <c r="BT1714" s="59"/>
      <c r="BU1714" s="59"/>
      <c r="BV1714" s="59"/>
      <c r="BW1714" s="59"/>
      <c r="BX1714" s="59"/>
      <c r="BY1714" s="59"/>
      <c r="BZ1714" s="59"/>
      <c r="CA1714" s="59"/>
      <c r="CB1714" s="59"/>
      <c r="CC1714" s="59"/>
      <c r="CD1714" s="59"/>
      <c r="CE1714" s="59"/>
      <c r="CF1714" s="59"/>
      <c r="CG1714" s="59"/>
      <c r="CH1714" s="59"/>
      <c r="CI1714" s="59"/>
      <c r="CJ1714" s="59"/>
      <c r="CK1714" s="59"/>
      <c r="CL1714" s="59"/>
      <c r="CM1714" s="59"/>
      <c r="CN1714" s="59"/>
      <c r="CO1714" s="59"/>
      <c r="CP1714" s="59"/>
      <c r="CQ1714" s="59"/>
      <c r="CR1714" s="59"/>
      <c r="CS1714" s="59"/>
      <c r="CT1714" s="59"/>
      <c r="CU1714" s="59"/>
      <c r="CV1714" s="59"/>
      <c r="CW1714" s="59"/>
      <c r="CX1714" s="59"/>
      <c r="CY1714" s="59"/>
      <c r="CZ1714" s="59"/>
      <c r="DA1714" s="59"/>
      <c r="DB1714" s="59"/>
      <c r="DC1714" s="59"/>
      <c r="DD1714" s="59"/>
      <c r="DE1714" s="59"/>
      <c r="DF1714" s="59"/>
      <c r="DG1714" s="59"/>
      <c r="DH1714" s="59"/>
      <c r="DI1714" s="59"/>
      <c r="DJ1714" s="59"/>
      <c r="DK1714" s="59"/>
      <c r="DL1714" s="59"/>
      <c r="DM1714" s="59"/>
      <c r="DN1714" s="59"/>
      <c r="DO1714" s="59"/>
      <c r="DP1714" s="59"/>
      <c r="DQ1714" s="59"/>
      <c r="DR1714" s="59"/>
      <c r="DS1714" s="59"/>
      <c r="DT1714" s="59"/>
      <c r="DU1714" s="59"/>
      <c r="DV1714" s="59"/>
    </row>
    <row r="1715" spans="1:126" ht="31.2" x14ac:dyDescent="0.3">
      <c r="A1715" s="5"/>
      <c r="B1715" s="11" t="s">
        <v>395</v>
      </c>
      <c r="C1715" s="5"/>
      <c r="D1715" s="5" t="s">
        <v>8</v>
      </c>
      <c r="E1715" s="15">
        <f>13.41</f>
        <v>13.41</v>
      </c>
      <c r="F1715" s="15"/>
      <c r="G1715" s="15"/>
    </row>
    <row r="1716" spans="1:126" x14ac:dyDescent="0.3">
      <c r="A1716" s="5"/>
      <c r="B1716" s="5" t="s">
        <v>215</v>
      </c>
      <c r="C1716" s="5"/>
      <c r="D1716" s="5" t="s">
        <v>10</v>
      </c>
      <c r="E1716" s="15">
        <f>2.82</f>
        <v>2.82</v>
      </c>
      <c r="F1716" s="15"/>
      <c r="G1716" s="15"/>
    </row>
    <row r="1717" spans="1:126" x14ac:dyDescent="0.3">
      <c r="A1717" s="5"/>
      <c r="B1717" s="11" t="s">
        <v>396</v>
      </c>
      <c r="C1717" s="5"/>
      <c r="D1717" s="5" t="s">
        <v>74</v>
      </c>
      <c r="E1717" s="15">
        <f>702.3</f>
        <v>702.3</v>
      </c>
      <c r="F1717" s="15"/>
      <c r="G1717" s="15"/>
    </row>
    <row r="1718" spans="1:126" x14ac:dyDescent="0.3">
      <c r="A1718" s="5"/>
      <c r="B1718" s="5" t="s">
        <v>150</v>
      </c>
      <c r="C1718" s="5"/>
      <c r="D1718" s="5" t="s">
        <v>14</v>
      </c>
      <c r="E1718" s="15">
        <f>1408</f>
        <v>1408</v>
      </c>
      <c r="F1718" s="15"/>
      <c r="G1718" s="15"/>
    </row>
    <row r="1719" spans="1:126" x14ac:dyDescent="0.3">
      <c r="A1719" s="5"/>
      <c r="B1719" s="5" t="s">
        <v>151</v>
      </c>
      <c r="C1719" s="5"/>
      <c r="D1719" s="5" t="s">
        <v>14</v>
      </c>
      <c r="E1719" s="15">
        <f>1408</f>
        <v>1408</v>
      </c>
      <c r="F1719" s="15"/>
      <c r="G1719" s="15"/>
    </row>
    <row r="1720" spans="1:126" s="3" customFormat="1" x14ac:dyDescent="0.3">
      <c r="A1720" s="21"/>
      <c r="B1720" s="21" t="s">
        <v>397</v>
      </c>
      <c r="C1720" s="21"/>
      <c r="D1720" s="21"/>
      <c r="E1720" s="22"/>
      <c r="F1720" s="22"/>
      <c r="G1720" s="22"/>
      <c r="H1720" s="59"/>
      <c r="I1720" s="59"/>
      <c r="J1720" s="59"/>
      <c r="K1720" s="59"/>
      <c r="L1720" s="59"/>
      <c r="M1720" s="59"/>
      <c r="N1720" s="59"/>
      <c r="O1720" s="59"/>
      <c r="P1720" s="59"/>
      <c r="Q1720" s="59"/>
      <c r="R1720" s="59"/>
      <c r="S1720" s="59"/>
      <c r="T1720" s="59"/>
      <c r="U1720" s="59"/>
      <c r="V1720" s="59"/>
      <c r="W1720" s="59"/>
      <c r="X1720" s="59"/>
      <c r="Y1720" s="59"/>
      <c r="Z1720" s="59"/>
      <c r="AA1720" s="59"/>
      <c r="AB1720" s="59"/>
      <c r="AC1720" s="59"/>
      <c r="AD1720" s="59"/>
      <c r="AE1720" s="59"/>
      <c r="AF1720" s="59"/>
      <c r="AG1720" s="59"/>
      <c r="AH1720" s="59"/>
      <c r="AI1720" s="59"/>
      <c r="AJ1720" s="59"/>
      <c r="AK1720" s="59"/>
      <c r="AL1720" s="59"/>
      <c r="AM1720" s="59"/>
      <c r="AN1720" s="59"/>
      <c r="AO1720" s="59"/>
      <c r="AP1720" s="59"/>
      <c r="AQ1720" s="59"/>
      <c r="AR1720" s="59"/>
      <c r="AS1720" s="59"/>
      <c r="AT1720" s="59"/>
      <c r="AU1720" s="59"/>
      <c r="AV1720" s="59"/>
      <c r="AW1720" s="59"/>
      <c r="AX1720" s="59"/>
      <c r="AY1720" s="59"/>
      <c r="AZ1720" s="59"/>
      <c r="BA1720" s="59"/>
      <c r="BB1720" s="59"/>
      <c r="BC1720" s="59"/>
      <c r="BD1720" s="59"/>
      <c r="BE1720" s="59"/>
      <c r="BF1720" s="59"/>
      <c r="BG1720" s="59"/>
      <c r="BH1720" s="59"/>
      <c r="BI1720" s="59"/>
      <c r="BJ1720" s="59"/>
      <c r="BK1720" s="59"/>
      <c r="BL1720" s="59"/>
      <c r="BM1720" s="59"/>
      <c r="BN1720" s="59"/>
      <c r="BO1720" s="59"/>
      <c r="BP1720" s="59"/>
      <c r="BQ1720" s="59"/>
      <c r="BR1720" s="59"/>
      <c r="BS1720" s="59"/>
      <c r="BT1720" s="59"/>
      <c r="BU1720" s="59"/>
      <c r="BV1720" s="59"/>
      <c r="BW1720" s="59"/>
      <c r="BX1720" s="59"/>
      <c r="BY1720" s="59"/>
      <c r="BZ1720" s="59"/>
      <c r="CA1720" s="59"/>
      <c r="CB1720" s="59"/>
      <c r="CC1720" s="59"/>
      <c r="CD1720" s="59"/>
      <c r="CE1720" s="59"/>
      <c r="CF1720" s="59"/>
      <c r="CG1720" s="59"/>
      <c r="CH1720" s="59"/>
      <c r="CI1720" s="59"/>
      <c r="CJ1720" s="59"/>
      <c r="CK1720" s="59"/>
      <c r="CL1720" s="59"/>
      <c r="CM1720" s="59"/>
      <c r="CN1720" s="59"/>
      <c r="CO1720" s="59"/>
      <c r="CP1720" s="59"/>
      <c r="CQ1720" s="59"/>
      <c r="CR1720" s="59"/>
      <c r="CS1720" s="59"/>
      <c r="CT1720" s="59"/>
      <c r="CU1720" s="59"/>
      <c r="CV1720" s="59"/>
      <c r="CW1720" s="59"/>
      <c r="CX1720" s="59"/>
      <c r="CY1720" s="59"/>
      <c r="CZ1720" s="59"/>
      <c r="DA1720" s="59"/>
      <c r="DB1720" s="59"/>
      <c r="DC1720" s="59"/>
      <c r="DD1720" s="59"/>
      <c r="DE1720" s="59"/>
      <c r="DF1720" s="59"/>
      <c r="DG1720" s="59"/>
      <c r="DH1720" s="59"/>
      <c r="DI1720" s="59"/>
      <c r="DJ1720" s="59"/>
      <c r="DK1720" s="59"/>
      <c r="DL1720" s="59"/>
      <c r="DM1720" s="59"/>
      <c r="DN1720" s="59"/>
      <c r="DO1720" s="59"/>
      <c r="DP1720" s="59"/>
      <c r="DQ1720" s="59"/>
      <c r="DR1720" s="59"/>
      <c r="DS1720" s="59"/>
      <c r="DT1720" s="59"/>
      <c r="DU1720" s="59"/>
      <c r="DV1720" s="59"/>
    </row>
    <row r="1721" spans="1:126" x14ac:dyDescent="0.3">
      <c r="A1721" s="5"/>
      <c r="B1721" s="5" t="s">
        <v>255</v>
      </c>
      <c r="C1721" s="5"/>
      <c r="D1721" s="5" t="s">
        <v>10</v>
      </c>
      <c r="E1721" s="15">
        <f>6.14</f>
        <v>6.14</v>
      </c>
      <c r="F1721" s="15"/>
      <c r="G1721" s="15"/>
    </row>
    <row r="1722" spans="1:126" x14ac:dyDescent="0.3">
      <c r="A1722" s="5"/>
      <c r="B1722" s="5" t="s">
        <v>398</v>
      </c>
      <c r="C1722" s="5"/>
      <c r="D1722" s="5" t="s">
        <v>69</v>
      </c>
      <c r="E1722" s="15">
        <f>5.52</f>
        <v>5.52</v>
      </c>
      <c r="F1722" s="15"/>
      <c r="G1722" s="15"/>
    </row>
    <row r="1723" spans="1:126" s="3" customFormat="1" x14ac:dyDescent="0.3">
      <c r="A1723" s="21"/>
      <c r="B1723" s="21" t="s">
        <v>399</v>
      </c>
      <c r="C1723" s="21"/>
      <c r="D1723" s="21"/>
      <c r="E1723" s="22"/>
      <c r="F1723" s="22"/>
      <c r="G1723" s="22"/>
      <c r="H1723" s="59"/>
      <c r="I1723" s="59"/>
      <c r="J1723" s="59"/>
      <c r="K1723" s="59"/>
      <c r="L1723" s="59"/>
      <c r="M1723" s="59"/>
      <c r="N1723" s="59"/>
      <c r="O1723" s="59"/>
      <c r="P1723" s="59"/>
      <c r="Q1723" s="59"/>
      <c r="R1723" s="59"/>
      <c r="S1723" s="59"/>
      <c r="T1723" s="59"/>
      <c r="U1723" s="59"/>
      <c r="V1723" s="59"/>
      <c r="W1723" s="59"/>
      <c r="X1723" s="59"/>
      <c r="Y1723" s="59"/>
      <c r="Z1723" s="59"/>
      <c r="AA1723" s="59"/>
      <c r="AB1723" s="59"/>
      <c r="AC1723" s="59"/>
      <c r="AD1723" s="59"/>
      <c r="AE1723" s="59"/>
      <c r="AF1723" s="59"/>
      <c r="AG1723" s="59"/>
      <c r="AH1723" s="59"/>
      <c r="AI1723" s="59"/>
      <c r="AJ1723" s="59"/>
      <c r="AK1723" s="59"/>
      <c r="AL1723" s="59"/>
      <c r="AM1723" s="59"/>
      <c r="AN1723" s="59"/>
      <c r="AO1723" s="59"/>
      <c r="AP1723" s="59"/>
      <c r="AQ1723" s="59"/>
      <c r="AR1723" s="59"/>
      <c r="AS1723" s="59"/>
      <c r="AT1723" s="59"/>
      <c r="AU1723" s="59"/>
      <c r="AV1723" s="59"/>
      <c r="AW1723" s="59"/>
      <c r="AX1723" s="59"/>
      <c r="AY1723" s="59"/>
      <c r="AZ1723" s="59"/>
      <c r="BA1723" s="59"/>
      <c r="BB1723" s="59"/>
      <c r="BC1723" s="59"/>
      <c r="BD1723" s="59"/>
      <c r="BE1723" s="59"/>
      <c r="BF1723" s="59"/>
      <c r="BG1723" s="59"/>
      <c r="BH1723" s="59"/>
      <c r="BI1723" s="59"/>
      <c r="BJ1723" s="59"/>
      <c r="BK1723" s="59"/>
      <c r="BL1723" s="59"/>
      <c r="BM1723" s="59"/>
      <c r="BN1723" s="59"/>
      <c r="BO1723" s="59"/>
      <c r="BP1723" s="59"/>
      <c r="BQ1723" s="59"/>
      <c r="BR1723" s="59"/>
      <c r="BS1723" s="59"/>
      <c r="BT1723" s="59"/>
      <c r="BU1723" s="59"/>
      <c r="BV1723" s="59"/>
      <c r="BW1723" s="59"/>
      <c r="BX1723" s="59"/>
      <c r="BY1723" s="59"/>
      <c r="BZ1723" s="59"/>
      <c r="CA1723" s="59"/>
      <c r="CB1723" s="59"/>
      <c r="CC1723" s="59"/>
      <c r="CD1723" s="59"/>
      <c r="CE1723" s="59"/>
      <c r="CF1723" s="59"/>
      <c r="CG1723" s="59"/>
      <c r="CH1723" s="59"/>
      <c r="CI1723" s="59"/>
      <c r="CJ1723" s="59"/>
      <c r="CK1723" s="59"/>
      <c r="CL1723" s="59"/>
      <c r="CM1723" s="59"/>
      <c r="CN1723" s="59"/>
      <c r="CO1723" s="59"/>
      <c r="CP1723" s="59"/>
      <c r="CQ1723" s="59"/>
      <c r="CR1723" s="59"/>
      <c r="CS1723" s="59"/>
      <c r="CT1723" s="59"/>
      <c r="CU1723" s="59"/>
      <c r="CV1723" s="59"/>
      <c r="CW1723" s="59"/>
      <c r="CX1723" s="59"/>
      <c r="CY1723" s="59"/>
      <c r="CZ1723" s="59"/>
      <c r="DA1723" s="59"/>
      <c r="DB1723" s="59"/>
      <c r="DC1723" s="59"/>
      <c r="DD1723" s="59"/>
      <c r="DE1723" s="59"/>
      <c r="DF1723" s="59"/>
      <c r="DG1723" s="59"/>
      <c r="DH1723" s="59"/>
      <c r="DI1723" s="59"/>
      <c r="DJ1723" s="59"/>
      <c r="DK1723" s="59"/>
      <c r="DL1723" s="59"/>
      <c r="DM1723" s="59"/>
      <c r="DN1723" s="59"/>
      <c r="DO1723" s="59"/>
      <c r="DP1723" s="59"/>
      <c r="DQ1723" s="59"/>
      <c r="DR1723" s="59"/>
      <c r="DS1723" s="59"/>
      <c r="DT1723" s="59"/>
      <c r="DU1723" s="59"/>
      <c r="DV1723" s="59"/>
    </row>
    <row r="1724" spans="1:126" ht="31.2" x14ac:dyDescent="0.3">
      <c r="A1724" s="5"/>
      <c r="B1724" s="11" t="s">
        <v>400</v>
      </c>
      <c r="C1724" s="5"/>
      <c r="D1724" s="5" t="s">
        <v>14</v>
      </c>
      <c r="E1724" s="15">
        <f>140</f>
        <v>140</v>
      </c>
      <c r="F1724" s="15"/>
      <c r="G1724" s="15"/>
    </row>
    <row r="1725" spans="1:126" ht="31.2" x14ac:dyDescent="0.3">
      <c r="A1725" s="5"/>
      <c r="B1725" s="11" t="s">
        <v>401</v>
      </c>
      <c r="C1725" s="5"/>
      <c r="D1725" s="5" t="s">
        <v>14</v>
      </c>
      <c r="E1725" s="15">
        <f>140</f>
        <v>140</v>
      </c>
      <c r="F1725" s="15"/>
      <c r="G1725" s="15"/>
    </row>
    <row r="1726" spans="1:126" s="3" customFormat="1" x14ac:dyDescent="0.3">
      <c r="A1726" s="21"/>
      <c r="B1726" s="21" t="s">
        <v>402</v>
      </c>
      <c r="C1726" s="21"/>
      <c r="D1726" s="21" t="s">
        <v>69</v>
      </c>
      <c r="E1726" s="22">
        <f>4653.44</f>
        <v>4653.4399999999996</v>
      </c>
      <c r="F1726" s="22"/>
      <c r="G1726" s="22"/>
      <c r="H1726" s="59"/>
      <c r="I1726" s="59"/>
      <c r="J1726" s="59"/>
      <c r="K1726" s="59"/>
      <c r="L1726" s="59"/>
      <c r="M1726" s="59"/>
      <c r="N1726" s="59"/>
      <c r="O1726" s="59"/>
      <c r="P1726" s="59"/>
      <c r="Q1726" s="59"/>
      <c r="R1726" s="59"/>
      <c r="S1726" s="59"/>
      <c r="T1726" s="59"/>
      <c r="U1726" s="59"/>
      <c r="V1726" s="59"/>
      <c r="W1726" s="59"/>
      <c r="X1726" s="59"/>
      <c r="Y1726" s="59"/>
      <c r="Z1726" s="59"/>
      <c r="AA1726" s="59"/>
      <c r="AB1726" s="59"/>
      <c r="AC1726" s="59"/>
      <c r="AD1726" s="59"/>
      <c r="AE1726" s="59"/>
      <c r="AF1726" s="59"/>
      <c r="AG1726" s="59"/>
      <c r="AH1726" s="59"/>
      <c r="AI1726" s="59"/>
      <c r="AJ1726" s="59"/>
      <c r="AK1726" s="59"/>
      <c r="AL1726" s="59"/>
      <c r="AM1726" s="59"/>
      <c r="AN1726" s="59"/>
      <c r="AO1726" s="59"/>
      <c r="AP1726" s="59"/>
      <c r="AQ1726" s="59"/>
      <c r="AR1726" s="59"/>
      <c r="AS1726" s="59"/>
      <c r="AT1726" s="59"/>
      <c r="AU1726" s="59"/>
      <c r="AV1726" s="59"/>
      <c r="AW1726" s="59"/>
      <c r="AX1726" s="59"/>
      <c r="AY1726" s="59"/>
      <c r="AZ1726" s="59"/>
      <c r="BA1726" s="59"/>
      <c r="BB1726" s="59"/>
      <c r="BC1726" s="59"/>
      <c r="BD1726" s="59"/>
      <c r="BE1726" s="59"/>
      <c r="BF1726" s="59"/>
      <c r="BG1726" s="59"/>
      <c r="BH1726" s="59"/>
      <c r="BI1726" s="59"/>
      <c r="BJ1726" s="59"/>
      <c r="BK1726" s="59"/>
      <c r="BL1726" s="59"/>
      <c r="BM1726" s="59"/>
      <c r="BN1726" s="59"/>
      <c r="BO1726" s="59"/>
      <c r="BP1726" s="59"/>
      <c r="BQ1726" s="59"/>
      <c r="BR1726" s="59"/>
      <c r="BS1726" s="59"/>
      <c r="BT1726" s="59"/>
      <c r="BU1726" s="59"/>
      <c r="BV1726" s="59"/>
      <c r="BW1726" s="59"/>
      <c r="BX1726" s="59"/>
      <c r="BY1726" s="59"/>
      <c r="BZ1726" s="59"/>
      <c r="CA1726" s="59"/>
      <c r="CB1726" s="59"/>
      <c r="CC1726" s="59"/>
      <c r="CD1726" s="59"/>
      <c r="CE1726" s="59"/>
      <c r="CF1726" s="59"/>
      <c r="CG1726" s="59"/>
      <c r="CH1726" s="59"/>
      <c r="CI1726" s="59"/>
      <c r="CJ1726" s="59"/>
      <c r="CK1726" s="59"/>
      <c r="CL1726" s="59"/>
      <c r="CM1726" s="59"/>
      <c r="CN1726" s="59"/>
      <c r="CO1726" s="59"/>
      <c r="CP1726" s="59"/>
      <c r="CQ1726" s="59"/>
      <c r="CR1726" s="59"/>
      <c r="CS1726" s="59"/>
      <c r="CT1726" s="59"/>
      <c r="CU1726" s="59"/>
      <c r="CV1726" s="59"/>
      <c r="CW1726" s="59"/>
      <c r="CX1726" s="59"/>
      <c r="CY1726" s="59"/>
      <c r="CZ1726" s="59"/>
      <c r="DA1726" s="59"/>
      <c r="DB1726" s="59"/>
      <c r="DC1726" s="59"/>
      <c r="DD1726" s="59"/>
      <c r="DE1726" s="59"/>
      <c r="DF1726" s="59"/>
      <c r="DG1726" s="59"/>
      <c r="DH1726" s="59"/>
      <c r="DI1726" s="59"/>
      <c r="DJ1726" s="59"/>
      <c r="DK1726" s="59"/>
      <c r="DL1726" s="59"/>
      <c r="DM1726" s="59"/>
      <c r="DN1726" s="59"/>
      <c r="DO1726" s="59"/>
      <c r="DP1726" s="59"/>
      <c r="DQ1726" s="59"/>
      <c r="DR1726" s="59"/>
      <c r="DS1726" s="59"/>
      <c r="DT1726" s="59"/>
      <c r="DU1726" s="59"/>
      <c r="DV1726" s="59"/>
    </row>
    <row r="1727" spans="1:126" x14ac:dyDescent="0.3">
      <c r="A1727" s="5"/>
      <c r="B1727" s="5" t="s">
        <v>567</v>
      </c>
      <c r="C1727" s="5"/>
      <c r="D1727" s="5" t="s">
        <v>72</v>
      </c>
      <c r="E1727" s="15">
        <v>1535.6351999999999</v>
      </c>
      <c r="F1727" s="15"/>
      <c r="G1727" s="15"/>
    </row>
    <row r="1728" spans="1:126" x14ac:dyDescent="0.3">
      <c r="A1728" s="5"/>
      <c r="B1728" s="5" t="s">
        <v>568</v>
      </c>
      <c r="C1728" s="5"/>
      <c r="D1728" s="5" t="s">
        <v>72</v>
      </c>
      <c r="E1728" s="15">
        <v>12564.288</v>
      </c>
      <c r="F1728" s="15"/>
      <c r="G1728" s="15"/>
    </row>
    <row r="1729" spans="1:126" x14ac:dyDescent="0.3">
      <c r="A1729" s="5"/>
      <c r="B1729" s="5" t="s">
        <v>569</v>
      </c>
      <c r="C1729" s="5"/>
      <c r="D1729" s="5" t="s">
        <v>72</v>
      </c>
      <c r="E1729" s="15">
        <v>1396.0319999999999</v>
      </c>
      <c r="F1729" s="15"/>
      <c r="G1729" s="15"/>
    </row>
    <row r="1730" spans="1:126" x14ac:dyDescent="0.3">
      <c r="A1730" s="5"/>
      <c r="B1730" s="5" t="s">
        <v>566</v>
      </c>
      <c r="C1730" s="5"/>
      <c r="D1730" s="5" t="s">
        <v>72</v>
      </c>
      <c r="E1730" s="15">
        <v>4653.4399999999996</v>
      </c>
      <c r="F1730" s="15"/>
      <c r="G1730" s="15"/>
    </row>
    <row r="1731" spans="1:126" x14ac:dyDescent="0.3">
      <c r="A1731" s="5"/>
      <c r="B1731" s="5" t="s">
        <v>70</v>
      </c>
      <c r="C1731" s="5"/>
      <c r="D1731" s="5" t="s">
        <v>72</v>
      </c>
      <c r="E1731" s="15">
        <v>4653.4399999999996</v>
      </c>
      <c r="F1731" s="15"/>
      <c r="G1731" s="15"/>
    </row>
    <row r="1732" spans="1:126" s="3" customFormat="1" x14ac:dyDescent="0.3">
      <c r="A1732" s="21"/>
      <c r="B1732" s="21" t="s">
        <v>403</v>
      </c>
      <c r="C1732" s="21"/>
      <c r="D1732" s="21"/>
      <c r="E1732" s="22"/>
      <c r="F1732" s="22"/>
      <c r="G1732" s="22"/>
      <c r="H1732" s="59"/>
      <c r="I1732" s="59"/>
      <c r="J1732" s="59"/>
      <c r="K1732" s="59"/>
      <c r="L1732" s="59"/>
      <c r="M1732" s="59"/>
      <c r="N1732" s="59"/>
      <c r="O1732" s="59"/>
      <c r="P1732" s="59"/>
      <c r="Q1732" s="59"/>
      <c r="R1732" s="59"/>
      <c r="S1732" s="59"/>
      <c r="T1732" s="59"/>
      <c r="U1732" s="59"/>
      <c r="V1732" s="59"/>
      <c r="W1732" s="59"/>
      <c r="X1732" s="59"/>
      <c r="Y1732" s="59"/>
      <c r="Z1732" s="59"/>
      <c r="AA1732" s="59"/>
      <c r="AB1732" s="59"/>
      <c r="AC1732" s="59"/>
      <c r="AD1732" s="59"/>
      <c r="AE1732" s="59"/>
      <c r="AF1732" s="59"/>
      <c r="AG1732" s="59"/>
      <c r="AH1732" s="59"/>
      <c r="AI1732" s="59"/>
      <c r="AJ1732" s="59"/>
      <c r="AK1732" s="59"/>
      <c r="AL1732" s="59"/>
      <c r="AM1732" s="59"/>
      <c r="AN1732" s="59"/>
      <c r="AO1732" s="59"/>
      <c r="AP1732" s="59"/>
      <c r="AQ1732" s="59"/>
      <c r="AR1732" s="59"/>
      <c r="AS1732" s="59"/>
      <c r="AT1732" s="59"/>
      <c r="AU1732" s="59"/>
      <c r="AV1732" s="59"/>
      <c r="AW1732" s="59"/>
      <c r="AX1732" s="59"/>
      <c r="AY1732" s="59"/>
      <c r="AZ1732" s="59"/>
      <c r="BA1732" s="59"/>
      <c r="BB1732" s="59"/>
      <c r="BC1732" s="59"/>
      <c r="BD1732" s="59"/>
      <c r="BE1732" s="59"/>
      <c r="BF1732" s="59"/>
      <c r="BG1732" s="59"/>
      <c r="BH1732" s="59"/>
      <c r="BI1732" s="59"/>
      <c r="BJ1732" s="59"/>
      <c r="BK1732" s="59"/>
      <c r="BL1732" s="59"/>
      <c r="BM1732" s="59"/>
      <c r="BN1732" s="59"/>
      <c r="BO1732" s="59"/>
      <c r="BP1732" s="59"/>
      <c r="BQ1732" s="59"/>
      <c r="BR1732" s="59"/>
      <c r="BS1732" s="59"/>
      <c r="BT1732" s="59"/>
      <c r="BU1732" s="59"/>
      <c r="BV1732" s="59"/>
      <c r="BW1732" s="59"/>
      <c r="BX1732" s="59"/>
      <c r="BY1732" s="59"/>
      <c r="BZ1732" s="59"/>
      <c r="CA1732" s="59"/>
      <c r="CB1732" s="59"/>
      <c r="CC1732" s="59"/>
      <c r="CD1732" s="59"/>
      <c r="CE1732" s="59"/>
      <c r="CF1732" s="59"/>
      <c r="CG1732" s="59"/>
      <c r="CH1732" s="59"/>
      <c r="CI1732" s="59"/>
      <c r="CJ1732" s="59"/>
      <c r="CK1732" s="59"/>
      <c r="CL1732" s="59"/>
      <c r="CM1732" s="59"/>
      <c r="CN1732" s="59"/>
      <c r="CO1732" s="59"/>
      <c r="CP1732" s="59"/>
      <c r="CQ1732" s="59"/>
      <c r="CR1732" s="59"/>
      <c r="CS1732" s="59"/>
      <c r="CT1732" s="59"/>
      <c r="CU1732" s="59"/>
      <c r="CV1732" s="59"/>
      <c r="CW1732" s="59"/>
      <c r="CX1732" s="59"/>
      <c r="CY1732" s="59"/>
      <c r="CZ1732" s="59"/>
      <c r="DA1732" s="59"/>
      <c r="DB1732" s="59"/>
      <c r="DC1732" s="59"/>
      <c r="DD1732" s="59"/>
      <c r="DE1732" s="59"/>
      <c r="DF1732" s="59"/>
      <c r="DG1732" s="59"/>
      <c r="DH1732" s="59"/>
      <c r="DI1732" s="59"/>
      <c r="DJ1732" s="59"/>
      <c r="DK1732" s="59"/>
      <c r="DL1732" s="59"/>
      <c r="DM1732" s="59"/>
      <c r="DN1732" s="59"/>
      <c r="DO1732" s="59"/>
      <c r="DP1732" s="59"/>
      <c r="DQ1732" s="59"/>
      <c r="DR1732" s="59"/>
      <c r="DS1732" s="59"/>
      <c r="DT1732" s="59"/>
      <c r="DU1732" s="59"/>
      <c r="DV1732" s="59"/>
    </row>
    <row r="1733" spans="1:126" x14ac:dyDescent="0.3">
      <c r="A1733" s="5"/>
      <c r="B1733" s="5" t="s">
        <v>81</v>
      </c>
      <c r="C1733" s="5"/>
      <c r="D1733" s="5" t="s">
        <v>10</v>
      </c>
      <c r="E1733" s="15">
        <f>1.24</f>
        <v>1.24</v>
      </c>
      <c r="F1733" s="15"/>
      <c r="G1733" s="15"/>
    </row>
    <row r="1734" spans="1:126" s="3" customFormat="1" x14ac:dyDescent="0.3">
      <c r="A1734" s="21"/>
      <c r="B1734" s="21" t="s">
        <v>408</v>
      </c>
      <c r="C1734" s="21"/>
      <c r="D1734" s="21"/>
      <c r="E1734" s="22"/>
      <c r="F1734" s="22"/>
      <c r="G1734" s="22"/>
      <c r="H1734" s="59"/>
      <c r="I1734" s="59"/>
      <c r="J1734" s="59"/>
      <c r="K1734" s="59"/>
      <c r="L1734" s="59"/>
      <c r="M1734" s="59"/>
      <c r="N1734" s="59"/>
      <c r="O1734" s="59"/>
      <c r="P1734" s="59"/>
      <c r="Q1734" s="59"/>
      <c r="R1734" s="59"/>
      <c r="S1734" s="59"/>
      <c r="T1734" s="59"/>
      <c r="U1734" s="59"/>
      <c r="V1734" s="59"/>
      <c r="W1734" s="59"/>
      <c r="X1734" s="59"/>
      <c r="Y1734" s="59"/>
      <c r="Z1734" s="59"/>
      <c r="AA1734" s="59"/>
      <c r="AB1734" s="59"/>
      <c r="AC1734" s="59"/>
      <c r="AD1734" s="59"/>
      <c r="AE1734" s="59"/>
      <c r="AF1734" s="59"/>
      <c r="AG1734" s="59"/>
      <c r="AH1734" s="59"/>
      <c r="AI1734" s="59"/>
      <c r="AJ1734" s="59"/>
      <c r="AK1734" s="59"/>
      <c r="AL1734" s="59"/>
      <c r="AM1734" s="59"/>
      <c r="AN1734" s="59"/>
      <c r="AO1734" s="59"/>
      <c r="AP1734" s="59"/>
      <c r="AQ1734" s="59"/>
      <c r="AR1734" s="59"/>
      <c r="AS1734" s="59"/>
      <c r="AT1734" s="59"/>
      <c r="AU1734" s="59"/>
      <c r="AV1734" s="59"/>
      <c r="AW1734" s="59"/>
      <c r="AX1734" s="59"/>
      <c r="AY1734" s="59"/>
      <c r="AZ1734" s="59"/>
      <c r="BA1734" s="59"/>
      <c r="BB1734" s="59"/>
      <c r="BC1734" s="59"/>
      <c r="BD1734" s="59"/>
      <c r="BE1734" s="59"/>
      <c r="BF1734" s="59"/>
      <c r="BG1734" s="59"/>
      <c r="BH1734" s="59"/>
      <c r="BI1734" s="59"/>
      <c r="BJ1734" s="59"/>
      <c r="BK1734" s="59"/>
      <c r="BL1734" s="59"/>
      <c r="BM1734" s="59"/>
      <c r="BN1734" s="59"/>
      <c r="BO1734" s="59"/>
      <c r="BP1734" s="59"/>
      <c r="BQ1734" s="59"/>
      <c r="BR1734" s="59"/>
      <c r="BS1734" s="59"/>
      <c r="BT1734" s="59"/>
      <c r="BU1734" s="59"/>
      <c r="BV1734" s="59"/>
      <c r="BW1734" s="59"/>
      <c r="BX1734" s="59"/>
      <c r="BY1734" s="59"/>
      <c r="BZ1734" s="59"/>
      <c r="CA1734" s="59"/>
      <c r="CB1734" s="59"/>
      <c r="CC1734" s="59"/>
      <c r="CD1734" s="59"/>
      <c r="CE1734" s="59"/>
      <c r="CF1734" s="59"/>
      <c r="CG1734" s="59"/>
      <c r="CH1734" s="59"/>
      <c r="CI1734" s="59"/>
      <c r="CJ1734" s="59"/>
      <c r="CK1734" s="59"/>
      <c r="CL1734" s="59"/>
      <c r="CM1734" s="59"/>
      <c r="CN1734" s="59"/>
      <c r="CO1734" s="59"/>
      <c r="CP1734" s="59"/>
      <c r="CQ1734" s="59"/>
      <c r="CR1734" s="59"/>
      <c r="CS1734" s="59"/>
      <c r="CT1734" s="59"/>
      <c r="CU1734" s="59"/>
      <c r="CV1734" s="59"/>
      <c r="CW1734" s="59"/>
      <c r="CX1734" s="59"/>
      <c r="CY1734" s="59"/>
      <c r="CZ1734" s="59"/>
      <c r="DA1734" s="59"/>
      <c r="DB1734" s="59"/>
      <c r="DC1734" s="59"/>
      <c r="DD1734" s="59"/>
      <c r="DE1734" s="59"/>
      <c r="DF1734" s="59"/>
      <c r="DG1734" s="59"/>
      <c r="DH1734" s="59"/>
      <c r="DI1734" s="59"/>
      <c r="DJ1734" s="59"/>
      <c r="DK1734" s="59"/>
      <c r="DL1734" s="59"/>
      <c r="DM1734" s="59"/>
      <c r="DN1734" s="59"/>
      <c r="DO1734" s="59"/>
      <c r="DP1734" s="59"/>
      <c r="DQ1734" s="59"/>
      <c r="DR1734" s="59"/>
      <c r="DS1734" s="59"/>
      <c r="DT1734" s="59"/>
      <c r="DU1734" s="59"/>
      <c r="DV1734" s="59"/>
    </row>
    <row r="1735" spans="1:126" x14ac:dyDescent="0.3">
      <c r="A1735" s="5"/>
      <c r="B1735" s="5" t="s">
        <v>80</v>
      </c>
      <c r="C1735" s="5"/>
      <c r="D1735" s="5" t="s">
        <v>10</v>
      </c>
      <c r="E1735" s="15">
        <f>0.98</f>
        <v>0.98</v>
      </c>
      <c r="F1735" s="15"/>
      <c r="G1735" s="15"/>
    </row>
    <row r="1736" spans="1:126" s="3" customFormat="1" x14ac:dyDescent="0.3">
      <c r="A1736" s="21"/>
      <c r="B1736" s="21" t="s">
        <v>417</v>
      </c>
      <c r="C1736" s="21"/>
      <c r="D1736" s="21"/>
      <c r="E1736" s="22"/>
      <c r="F1736" s="22"/>
      <c r="G1736" s="22"/>
      <c r="H1736" s="59"/>
      <c r="I1736" s="59"/>
      <c r="J1736" s="59"/>
      <c r="K1736" s="59"/>
      <c r="L1736" s="59"/>
      <c r="M1736" s="59"/>
      <c r="N1736" s="59"/>
      <c r="O1736" s="59"/>
      <c r="P1736" s="59"/>
      <c r="Q1736" s="59"/>
      <c r="R1736" s="59"/>
      <c r="S1736" s="59"/>
      <c r="T1736" s="59"/>
      <c r="U1736" s="59"/>
      <c r="V1736" s="59"/>
      <c r="W1736" s="59"/>
      <c r="X1736" s="59"/>
      <c r="Y1736" s="59"/>
      <c r="Z1736" s="59"/>
      <c r="AA1736" s="59"/>
      <c r="AB1736" s="59"/>
      <c r="AC1736" s="59"/>
      <c r="AD1736" s="59"/>
      <c r="AE1736" s="59"/>
      <c r="AF1736" s="59"/>
      <c r="AG1736" s="59"/>
      <c r="AH1736" s="59"/>
      <c r="AI1736" s="59"/>
      <c r="AJ1736" s="59"/>
      <c r="AK1736" s="59"/>
      <c r="AL1736" s="59"/>
      <c r="AM1736" s="59"/>
      <c r="AN1736" s="59"/>
      <c r="AO1736" s="59"/>
      <c r="AP1736" s="59"/>
      <c r="AQ1736" s="59"/>
      <c r="AR1736" s="59"/>
      <c r="AS1736" s="59"/>
      <c r="AT1736" s="59"/>
      <c r="AU1736" s="59"/>
      <c r="AV1736" s="59"/>
      <c r="AW1736" s="59"/>
      <c r="AX1736" s="59"/>
      <c r="AY1736" s="59"/>
      <c r="AZ1736" s="59"/>
      <c r="BA1736" s="59"/>
      <c r="BB1736" s="59"/>
      <c r="BC1736" s="59"/>
      <c r="BD1736" s="59"/>
      <c r="BE1736" s="59"/>
      <c r="BF1736" s="59"/>
      <c r="BG1736" s="59"/>
      <c r="BH1736" s="59"/>
      <c r="BI1736" s="59"/>
      <c r="BJ1736" s="59"/>
      <c r="BK1736" s="59"/>
      <c r="BL1736" s="59"/>
      <c r="BM1736" s="59"/>
      <c r="BN1736" s="59"/>
      <c r="BO1736" s="59"/>
      <c r="BP1736" s="59"/>
      <c r="BQ1736" s="59"/>
      <c r="BR1736" s="59"/>
      <c r="BS1736" s="59"/>
      <c r="BT1736" s="59"/>
      <c r="BU1736" s="59"/>
      <c r="BV1736" s="59"/>
      <c r="BW1736" s="59"/>
      <c r="BX1736" s="59"/>
      <c r="BY1736" s="59"/>
      <c r="BZ1736" s="59"/>
      <c r="CA1736" s="59"/>
      <c r="CB1736" s="59"/>
      <c r="CC1736" s="59"/>
      <c r="CD1736" s="59"/>
      <c r="CE1736" s="59"/>
      <c r="CF1736" s="59"/>
      <c r="CG1736" s="59"/>
      <c r="CH1736" s="59"/>
      <c r="CI1736" s="59"/>
      <c r="CJ1736" s="59"/>
      <c r="CK1736" s="59"/>
      <c r="CL1736" s="59"/>
      <c r="CM1736" s="59"/>
      <c r="CN1736" s="59"/>
      <c r="CO1736" s="59"/>
      <c r="CP1736" s="59"/>
      <c r="CQ1736" s="59"/>
      <c r="CR1736" s="59"/>
      <c r="CS1736" s="59"/>
      <c r="CT1736" s="59"/>
      <c r="CU1736" s="59"/>
      <c r="CV1736" s="59"/>
      <c r="CW1736" s="59"/>
      <c r="CX1736" s="59"/>
      <c r="CY1736" s="59"/>
      <c r="CZ1736" s="59"/>
      <c r="DA1736" s="59"/>
      <c r="DB1736" s="59"/>
      <c r="DC1736" s="59"/>
      <c r="DD1736" s="59"/>
      <c r="DE1736" s="59"/>
      <c r="DF1736" s="59"/>
      <c r="DG1736" s="59"/>
      <c r="DH1736" s="59"/>
      <c r="DI1736" s="59"/>
      <c r="DJ1736" s="59"/>
      <c r="DK1736" s="59"/>
      <c r="DL1736" s="59"/>
      <c r="DM1736" s="59"/>
      <c r="DN1736" s="59"/>
      <c r="DO1736" s="59"/>
      <c r="DP1736" s="59"/>
      <c r="DQ1736" s="59"/>
      <c r="DR1736" s="59"/>
      <c r="DS1736" s="59"/>
      <c r="DT1736" s="59"/>
      <c r="DU1736" s="59"/>
      <c r="DV1736" s="59"/>
    </row>
    <row r="1737" spans="1:126" ht="31.2" x14ac:dyDescent="0.3">
      <c r="A1737" s="5"/>
      <c r="B1737" s="11" t="s">
        <v>404</v>
      </c>
      <c r="C1737" s="5"/>
      <c r="D1737" s="5" t="s">
        <v>8</v>
      </c>
      <c r="E1737" s="15">
        <f>0.59</f>
        <v>0.59</v>
      </c>
      <c r="F1737" s="15"/>
      <c r="G1737" s="15"/>
    </row>
    <row r="1738" spans="1:126" x14ac:dyDescent="0.3">
      <c r="A1738" s="5"/>
      <c r="B1738" s="5" t="s">
        <v>405</v>
      </c>
      <c r="C1738" s="5"/>
      <c r="D1738" s="5" t="s">
        <v>14</v>
      </c>
      <c r="E1738" s="15">
        <f>40</f>
        <v>40</v>
      </c>
      <c r="F1738" s="15"/>
      <c r="G1738" s="15"/>
    </row>
    <row r="1739" spans="1:126" x14ac:dyDescent="0.3">
      <c r="A1739" s="5"/>
      <c r="B1739" s="5" t="s">
        <v>407</v>
      </c>
      <c r="C1739" s="5"/>
      <c r="D1739" s="5" t="s">
        <v>14</v>
      </c>
      <c r="E1739" s="15">
        <f>160</f>
        <v>160</v>
      </c>
      <c r="F1739" s="15"/>
      <c r="G1739" s="15"/>
    </row>
    <row r="1740" spans="1:126" x14ac:dyDescent="0.3">
      <c r="A1740" s="5"/>
      <c r="B1740" s="5" t="s">
        <v>406</v>
      </c>
      <c r="C1740" s="5"/>
      <c r="D1740" s="5" t="s">
        <v>14</v>
      </c>
      <c r="E1740" s="15">
        <f>80</f>
        <v>80</v>
      </c>
      <c r="F1740" s="15"/>
      <c r="G1740" s="15"/>
    </row>
    <row r="1741" spans="1:126" s="25" customFormat="1" x14ac:dyDescent="0.3">
      <c r="A1741" s="23"/>
      <c r="B1741" s="23" t="s">
        <v>409</v>
      </c>
      <c r="C1741" s="23" t="s">
        <v>339</v>
      </c>
      <c r="D1741" s="23"/>
      <c r="E1741" s="24"/>
      <c r="F1741" s="24"/>
      <c r="G1741" s="24"/>
      <c r="H1741" s="59"/>
      <c r="I1741" s="59"/>
      <c r="J1741" s="59"/>
      <c r="K1741" s="59"/>
      <c r="L1741" s="59"/>
      <c r="M1741" s="59"/>
      <c r="N1741" s="59"/>
      <c r="O1741" s="59"/>
      <c r="P1741" s="59"/>
      <c r="Q1741" s="59"/>
      <c r="R1741" s="59"/>
      <c r="S1741" s="59"/>
      <c r="T1741" s="59"/>
      <c r="U1741" s="59"/>
      <c r="V1741" s="59"/>
      <c r="W1741" s="59"/>
      <c r="X1741" s="59"/>
      <c r="Y1741" s="59"/>
      <c r="Z1741" s="59"/>
      <c r="AA1741" s="59"/>
      <c r="AB1741" s="59"/>
      <c r="AC1741" s="59"/>
      <c r="AD1741" s="59"/>
      <c r="AE1741" s="59"/>
      <c r="AF1741" s="59"/>
      <c r="AG1741" s="59"/>
      <c r="AH1741" s="59"/>
      <c r="AI1741" s="59"/>
      <c r="AJ1741" s="59"/>
      <c r="AK1741" s="59"/>
      <c r="AL1741" s="59"/>
      <c r="AM1741" s="59"/>
      <c r="AN1741" s="59"/>
      <c r="AO1741" s="59"/>
      <c r="AP1741" s="59"/>
      <c r="AQ1741" s="59"/>
      <c r="AR1741" s="59"/>
      <c r="AS1741" s="59"/>
      <c r="AT1741" s="59"/>
      <c r="AU1741" s="59"/>
      <c r="AV1741" s="59"/>
      <c r="AW1741" s="59"/>
      <c r="AX1741" s="59"/>
      <c r="AY1741" s="59"/>
      <c r="AZ1741" s="59"/>
      <c r="BA1741" s="59"/>
      <c r="BB1741" s="59"/>
      <c r="BC1741" s="59"/>
      <c r="BD1741" s="59"/>
      <c r="BE1741" s="59"/>
      <c r="BF1741" s="59"/>
      <c r="BG1741" s="59"/>
      <c r="BH1741" s="59"/>
      <c r="BI1741" s="59"/>
      <c r="BJ1741" s="59"/>
      <c r="BK1741" s="59"/>
      <c r="BL1741" s="59"/>
      <c r="BM1741" s="59"/>
      <c r="BN1741" s="59"/>
      <c r="BO1741" s="59"/>
      <c r="BP1741" s="59"/>
      <c r="BQ1741" s="59"/>
      <c r="BR1741" s="59"/>
      <c r="BS1741" s="59"/>
      <c r="BT1741" s="59"/>
      <c r="BU1741" s="59"/>
      <c r="BV1741" s="59"/>
      <c r="BW1741" s="59"/>
      <c r="BX1741" s="59"/>
      <c r="BY1741" s="59"/>
      <c r="BZ1741" s="59"/>
      <c r="CA1741" s="59"/>
      <c r="CB1741" s="59"/>
      <c r="CC1741" s="59"/>
      <c r="CD1741" s="59"/>
      <c r="CE1741" s="59"/>
      <c r="CF1741" s="59"/>
      <c r="CG1741" s="59"/>
      <c r="CH1741" s="59"/>
      <c r="CI1741" s="59"/>
      <c r="CJ1741" s="59"/>
      <c r="CK1741" s="59"/>
      <c r="CL1741" s="59"/>
      <c r="CM1741" s="59"/>
      <c r="CN1741" s="59"/>
      <c r="CO1741" s="59"/>
      <c r="CP1741" s="59"/>
      <c r="CQ1741" s="59"/>
      <c r="CR1741" s="59"/>
      <c r="CS1741" s="59"/>
      <c r="CT1741" s="59"/>
      <c r="CU1741" s="59"/>
      <c r="CV1741" s="59"/>
      <c r="CW1741" s="59"/>
      <c r="CX1741" s="59"/>
      <c r="CY1741" s="59"/>
      <c r="CZ1741" s="59"/>
      <c r="DA1741" s="59"/>
      <c r="DB1741" s="59"/>
      <c r="DC1741" s="59"/>
      <c r="DD1741" s="59"/>
      <c r="DE1741" s="59"/>
      <c r="DF1741" s="59"/>
      <c r="DG1741" s="59"/>
      <c r="DH1741" s="59"/>
      <c r="DI1741" s="59"/>
      <c r="DJ1741" s="59"/>
      <c r="DK1741" s="59"/>
      <c r="DL1741" s="59"/>
      <c r="DM1741" s="59"/>
      <c r="DN1741" s="59"/>
      <c r="DO1741" s="59"/>
      <c r="DP1741" s="59"/>
      <c r="DQ1741" s="59"/>
      <c r="DR1741" s="59"/>
      <c r="DS1741" s="59"/>
      <c r="DT1741" s="59"/>
      <c r="DU1741" s="59"/>
      <c r="DV1741" s="59"/>
    </row>
    <row r="1742" spans="1:126" s="3" customFormat="1" x14ac:dyDescent="0.3">
      <c r="A1742" s="21"/>
      <c r="B1742" s="21" t="s">
        <v>410</v>
      </c>
      <c r="C1742" s="21"/>
      <c r="D1742" s="21"/>
      <c r="E1742" s="22"/>
      <c r="F1742" s="22"/>
      <c r="G1742" s="22"/>
      <c r="H1742" s="59"/>
      <c r="I1742" s="59"/>
      <c r="J1742" s="59"/>
      <c r="K1742" s="59"/>
      <c r="L1742" s="59"/>
      <c r="M1742" s="59"/>
      <c r="N1742" s="59"/>
      <c r="O1742" s="59"/>
      <c r="P1742" s="59"/>
      <c r="Q1742" s="59"/>
      <c r="R1742" s="59"/>
      <c r="S1742" s="59"/>
      <c r="T1742" s="59"/>
      <c r="U1742" s="59"/>
      <c r="V1742" s="59"/>
      <c r="W1742" s="59"/>
      <c r="X1742" s="59"/>
      <c r="Y1742" s="59"/>
      <c r="Z1742" s="59"/>
      <c r="AA1742" s="59"/>
      <c r="AB1742" s="59"/>
      <c r="AC1742" s="59"/>
      <c r="AD1742" s="59"/>
      <c r="AE1742" s="59"/>
      <c r="AF1742" s="59"/>
      <c r="AG1742" s="59"/>
      <c r="AH1742" s="59"/>
      <c r="AI1742" s="59"/>
      <c r="AJ1742" s="59"/>
      <c r="AK1742" s="59"/>
      <c r="AL1742" s="59"/>
      <c r="AM1742" s="59"/>
      <c r="AN1742" s="59"/>
      <c r="AO1742" s="59"/>
      <c r="AP1742" s="59"/>
      <c r="AQ1742" s="59"/>
      <c r="AR1742" s="59"/>
      <c r="AS1742" s="59"/>
      <c r="AT1742" s="59"/>
      <c r="AU1742" s="59"/>
      <c r="AV1742" s="59"/>
      <c r="AW1742" s="59"/>
      <c r="AX1742" s="59"/>
      <c r="AY1742" s="59"/>
      <c r="AZ1742" s="59"/>
      <c r="BA1742" s="59"/>
      <c r="BB1742" s="59"/>
      <c r="BC1742" s="59"/>
      <c r="BD1742" s="59"/>
      <c r="BE1742" s="59"/>
      <c r="BF1742" s="59"/>
      <c r="BG1742" s="59"/>
      <c r="BH1742" s="59"/>
      <c r="BI1742" s="59"/>
      <c r="BJ1742" s="59"/>
      <c r="BK1742" s="59"/>
      <c r="BL1742" s="59"/>
      <c r="BM1742" s="59"/>
      <c r="BN1742" s="59"/>
      <c r="BO1742" s="59"/>
      <c r="BP1742" s="59"/>
      <c r="BQ1742" s="59"/>
      <c r="BR1742" s="59"/>
      <c r="BS1742" s="59"/>
      <c r="BT1742" s="59"/>
      <c r="BU1742" s="59"/>
      <c r="BV1742" s="59"/>
      <c r="BW1742" s="59"/>
      <c r="BX1742" s="59"/>
      <c r="BY1742" s="59"/>
      <c r="BZ1742" s="59"/>
      <c r="CA1742" s="59"/>
      <c r="CB1742" s="59"/>
      <c r="CC1742" s="59"/>
      <c r="CD1742" s="59"/>
      <c r="CE1742" s="59"/>
      <c r="CF1742" s="59"/>
      <c r="CG1742" s="59"/>
      <c r="CH1742" s="59"/>
      <c r="CI1742" s="59"/>
      <c r="CJ1742" s="59"/>
      <c r="CK1742" s="59"/>
      <c r="CL1742" s="59"/>
      <c r="CM1742" s="59"/>
      <c r="CN1742" s="59"/>
      <c r="CO1742" s="59"/>
      <c r="CP1742" s="59"/>
      <c r="CQ1742" s="59"/>
      <c r="CR1742" s="59"/>
      <c r="CS1742" s="59"/>
      <c r="CT1742" s="59"/>
      <c r="CU1742" s="59"/>
      <c r="CV1742" s="59"/>
      <c r="CW1742" s="59"/>
      <c r="CX1742" s="59"/>
      <c r="CY1742" s="59"/>
      <c r="CZ1742" s="59"/>
      <c r="DA1742" s="59"/>
      <c r="DB1742" s="59"/>
      <c r="DC1742" s="59"/>
      <c r="DD1742" s="59"/>
      <c r="DE1742" s="59"/>
      <c r="DF1742" s="59"/>
      <c r="DG1742" s="59"/>
      <c r="DH1742" s="59"/>
      <c r="DI1742" s="59"/>
      <c r="DJ1742" s="59"/>
      <c r="DK1742" s="59"/>
      <c r="DL1742" s="59"/>
      <c r="DM1742" s="59"/>
      <c r="DN1742" s="59"/>
      <c r="DO1742" s="59"/>
      <c r="DP1742" s="59"/>
      <c r="DQ1742" s="59"/>
      <c r="DR1742" s="59"/>
      <c r="DS1742" s="59"/>
      <c r="DT1742" s="59"/>
      <c r="DU1742" s="59"/>
      <c r="DV1742" s="59"/>
    </row>
    <row r="1743" spans="1:126" ht="31.2" x14ac:dyDescent="0.3">
      <c r="A1743" s="5"/>
      <c r="B1743" s="11" t="s">
        <v>395</v>
      </c>
      <c r="C1743" s="5"/>
      <c r="D1743" s="5" t="s">
        <v>8</v>
      </c>
      <c r="E1743" s="15">
        <f>13.18</f>
        <v>13.18</v>
      </c>
      <c r="F1743" s="15"/>
      <c r="G1743" s="15"/>
    </row>
    <row r="1744" spans="1:126" x14ac:dyDescent="0.3">
      <c r="A1744" s="5"/>
      <c r="B1744" s="5" t="s">
        <v>215</v>
      </c>
      <c r="C1744" s="5"/>
      <c r="D1744" s="5" t="s">
        <v>10</v>
      </c>
      <c r="E1744" s="15">
        <f>2.77</f>
        <v>2.77</v>
      </c>
      <c r="F1744" s="15"/>
      <c r="G1744" s="15"/>
    </row>
    <row r="1745" spans="1:126" x14ac:dyDescent="0.3">
      <c r="A1745" s="5"/>
      <c r="B1745" s="11" t="s">
        <v>396</v>
      </c>
      <c r="C1745" s="5"/>
      <c r="D1745" s="5" t="s">
        <v>74</v>
      </c>
      <c r="E1745" s="15">
        <f>694</f>
        <v>694</v>
      </c>
      <c r="F1745" s="15"/>
      <c r="G1745" s="15"/>
    </row>
    <row r="1746" spans="1:126" x14ac:dyDescent="0.3">
      <c r="A1746" s="5"/>
      <c r="B1746" s="5" t="s">
        <v>150</v>
      </c>
      <c r="C1746" s="5"/>
      <c r="D1746" s="5" t="s">
        <v>14</v>
      </c>
      <c r="E1746" s="15">
        <f>1384</f>
        <v>1384</v>
      </c>
      <c r="F1746" s="15"/>
      <c r="G1746" s="15"/>
    </row>
    <row r="1747" spans="1:126" x14ac:dyDescent="0.3">
      <c r="A1747" s="5"/>
      <c r="B1747" s="5" t="s">
        <v>151</v>
      </c>
      <c r="C1747" s="5"/>
      <c r="D1747" s="5" t="s">
        <v>14</v>
      </c>
      <c r="E1747" s="15">
        <f>1384</f>
        <v>1384</v>
      </c>
      <c r="F1747" s="15"/>
      <c r="G1747" s="15"/>
    </row>
    <row r="1748" spans="1:126" s="3" customFormat="1" x14ac:dyDescent="0.3">
      <c r="A1748" s="21"/>
      <c r="B1748" s="21" t="s">
        <v>411</v>
      </c>
      <c r="C1748" s="21"/>
      <c r="D1748" s="21"/>
      <c r="E1748" s="22"/>
      <c r="F1748" s="22"/>
      <c r="G1748" s="22"/>
      <c r="H1748" s="59"/>
      <c r="I1748" s="59"/>
      <c r="J1748" s="59"/>
      <c r="K1748" s="59"/>
      <c r="L1748" s="59"/>
      <c r="M1748" s="59"/>
      <c r="N1748" s="59"/>
      <c r="O1748" s="59"/>
      <c r="P1748" s="59"/>
      <c r="Q1748" s="59"/>
      <c r="R1748" s="59"/>
      <c r="S1748" s="59"/>
      <c r="T1748" s="59"/>
      <c r="U1748" s="59"/>
      <c r="V1748" s="59"/>
      <c r="W1748" s="59"/>
      <c r="X1748" s="59"/>
      <c r="Y1748" s="59"/>
      <c r="Z1748" s="59"/>
      <c r="AA1748" s="59"/>
      <c r="AB1748" s="59"/>
      <c r="AC1748" s="59"/>
      <c r="AD1748" s="59"/>
      <c r="AE1748" s="59"/>
      <c r="AF1748" s="59"/>
      <c r="AG1748" s="59"/>
      <c r="AH1748" s="59"/>
      <c r="AI1748" s="59"/>
      <c r="AJ1748" s="59"/>
      <c r="AK1748" s="59"/>
      <c r="AL1748" s="59"/>
      <c r="AM1748" s="59"/>
      <c r="AN1748" s="59"/>
      <c r="AO1748" s="59"/>
      <c r="AP1748" s="59"/>
      <c r="AQ1748" s="59"/>
      <c r="AR1748" s="59"/>
      <c r="AS1748" s="59"/>
      <c r="AT1748" s="59"/>
      <c r="AU1748" s="59"/>
      <c r="AV1748" s="59"/>
      <c r="AW1748" s="59"/>
      <c r="AX1748" s="59"/>
      <c r="AY1748" s="59"/>
      <c r="AZ1748" s="59"/>
      <c r="BA1748" s="59"/>
      <c r="BB1748" s="59"/>
      <c r="BC1748" s="59"/>
      <c r="BD1748" s="59"/>
      <c r="BE1748" s="59"/>
      <c r="BF1748" s="59"/>
      <c r="BG1748" s="59"/>
      <c r="BH1748" s="59"/>
      <c r="BI1748" s="59"/>
      <c r="BJ1748" s="59"/>
      <c r="BK1748" s="59"/>
      <c r="BL1748" s="59"/>
      <c r="BM1748" s="59"/>
      <c r="BN1748" s="59"/>
      <c r="BO1748" s="59"/>
      <c r="BP1748" s="59"/>
      <c r="BQ1748" s="59"/>
      <c r="BR1748" s="59"/>
      <c r="BS1748" s="59"/>
      <c r="BT1748" s="59"/>
      <c r="BU1748" s="59"/>
      <c r="BV1748" s="59"/>
      <c r="BW1748" s="59"/>
      <c r="BX1748" s="59"/>
      <c r="BY1748" s="59"/>
      <c r="BZ1748" s="59"/>
      <c r="CA1748" s="59"/>
      <c r="CB1748" s="59"/>
      <c r="CC1748" s="59"/>
      <c r="CD1748" s="59"/>
      <c r="CE1748" s="59"/>
      <c r="CF1748" s="59"/>
      <c r="CG1748" s="59"/>
      <c r="CH1748" s="59"/>
      <c r="CI1748" s="59"/>
      <c r="CJ1748" s="59"/>
      <c r="CK1748" s="59"/>
      <c r="CL1748" s="59"/>
      <c r="CM1748" s="59"/>
      <c r="CN1748" s="59"/>
      <c r="CO1748" s="59"/>
      <c r="CP1748" s="59"/>
      <c r="CQ1748" s="59"/>
      <c r="CR1748" s="59"/>
      <c r="CS1748" s="59"/>
      <c r="CT1748" s="59"/>
      <c r="CU1748" s="59"/>
      <c r="CV1748" s="59"/>
      <c r="CW1748" s="59"/>
      <c r="CX1748" s="59"/>
      <c r="CY1748" s="59"/>
      <c r="CZ1748" s="59"/>
      <c r="DA1748" s="59"/>
      <c r="DB1748" s="59"/>
      <c r="DC1748" s="59"/>
      <c r="DD1748" s="59"/>
      <c r="DE1748" s="59"/>
      <c r="DF1748" s="59"/>
      <c r="DG1748" s="59"/>
      <c r="DH1748" s="59"/>
      <c r="DI1748" s="59"/>
      <c r="DJ1748" s="59"/>
      <c r="DK1748" s="59"/>
      <c r="DL1748" s="59"/>
      <c r="DM1748" s="59"/>
      <c r="DN1748" s="59"/>
      <c r="DO1748" s="59"/>
      <c r="DP1748" s="59"/>
      <c r="DQ1748" s="59"/>
      <c r="DR1748" s="59"/>
      <c r="DS1748" s="59"/>
      <c r="DT1748" s="59"/>
      <c r="DU1748" s="59"/>
      <c r="DV1748" s="59"/>
    </row>
    <row r="1749" spans="1:126" x14ac:dyDescent="0.3">
      <c r="A1749" s="5"/>
      <c r="B1749" s="5" t="s">
        <v>255</v>
      </c>
      <c r="C1749" s="5"/>
      <c r="D1749" s="5" t="s">
        <v>10</v>
      </c>
      <c r="E1749" s="15">
        <f>6.07</f>
        <v>6.07</v>
      </c>
      <c r="F1749" s="15"/>
      <c r="G1749" s="15"/>
    </row>
    <row r="1750" spans="1:126" x14ac:dyDescent="0.3">
      <c r="A1750" s="5"/>
      <c r="B1750" s="5" t="s">
        <v>398</v>
      </c>
      <c r="C1750" s="5"/>
      <c r="D1750" s="5" t="s">
        <v>69</v>
      </c>
      <c r="E1750" s="15">
        <f>5.6</f>
        <v>5.6</v>
      </c>
      <c r="F1750" s="15"/>
      <c r="G1750" s="15"/>
    </row>
    <row r="1751" spans="1:126" s="3" customFormat="1" x14ac:dyDescent="0.3">
      <c r="A1751" s="21"/>
      <c r="B1751" s="21" t="s">
        <v>412</v>
      </c>
      <c r="C1751" s="21"/>
      <c r="D1751" s="21"/>
      <c r="E1751" s="22"/>
      <c r="F1751" s="22"/>
      <c r="G1751" s="22"/>
      <c r="H1751" s="59"/>
      <c r="I1751" s="59"/>
      <c r="J1751" s="59"/>
      <c r="K1751" s="59"/>
      <c r="L1751" s="59"/>
      <c r="M1751" s="59"/>
      <c r="N1751" s="59"/>
      <c r="O1751" s="59"/>
      <c r="P1751" s="59"/>
      <c r="Q1751" s="59"/>
      <c r="R1751" s="59"/>
      <c r="S1751" s="59"/>
      <c r="T1751" s="59"/>
      <c r="U1751" s="59"/>
      <c r="V1751" s="59"/>
      <c r="W1751" s="59"/>
      <c r="X1751" s="59"/>
      <c r="Y1751" s="59"/>
      <c r="Z1751" s="59"/>
      <c r="AA1751" s="59"/>
      <c r="AB1751" s="59"/>
      <c r="AC1751" s="59"/>
      <c r="AD1751" s="59"/>
      <c r="AE1751" s="59"/>
      <c r="AF1751" s="59"/>
      <c r="AG1751" s="59"/>
      <c r="AH1751" s="59"/>
      <c r="AI1751" s="59"/>
      <c r="AJ1751" s="59"/>
      <c r="AK1751" s="59"/>
      <c r="AL1751" s="59"/>
      <c r="AM1751" s="59"/>
      <c r="AN1751" s="59"/>
      <c r="AO1751" s="59"/>
      <c r="AP1751" s="59"/>
      <c r="AQ1751" s="59"/>
      <c r="AR1751" s="59"/>
      <c r="AS1751" s="59"/>
      <c r="AT1751" s="59"/>
      <c r="AU1751" s="59"/>
      <c r="AV1751" s="59"/>
      <c r="AW1751" s="59"/>
      <c r="AX1751" s="59"/>
      <c r="AY1751" s="59"/>
      <c r="AZ1751" s="59"/>
      <c r="BA1751" s="59"/>
      <c r="BB1751" s="59"/>
      <c r="BC1751" s="59"/>
      <c r="BD1751" s="59"/>
      <c r="BE1751" s="59"/>
      <c r="BF1751" s="59"/>
      <c r="BG1751" s="59"/>
      <c r="BH1751" s="59"/>
      <c r="BI1751" s="59"/>
      <c r="BJ1751" s="59"/>
      <c r="BK1751" s="59"/>
      <c r="BL1751" s="59"/>
      <c r="BM1751" s="59"/>
      <c r="BN1751" s="59"/>
      <c r="BO1751" s="59"/>
      <c r="BP1751" s="59"/>
      <c r="BQ1751" s="59"/>
      <c r="BR1751" s="59"/>
      <c r="BS1751" s="59"/>
      <c r="BT1751" s="59"/>
      <c r="BU1751" s="59"/>
      <c r="BV1751" s="59"/>
      <c r="BW1751" s="59"/>
      <c r="BX1751" s="59"/>
      <c r="BY1751" s="59"/>
      <c r="BZ1751" s="59"/>
      <c r="CA1751" s="59"/>
      <c r="CB1751" s="59"/>
      <c r="CC1751" s="59"/>
      <c r="CD1751" s="59"/>
      <c r="CE1751" s="59"/>
      <c r="CF1751" s="59"/>
      <c r="CG1751" s="59"/>
      <c r="CH1751" s="59"/>
      <c r="CI1751" s="59"/>
      <c r="CJ1751" s="59"/>
      <c r="CK1751" s="59"/>
      <c r="CL1751" s="59"/>
      <c r="CM1751" s="59"/>
      <c r="CN1751" s="59"/>
      <c r="CO1751" s="59"/>
      <c r="CP1751" s="59"/>
      <c r="CQ1751" s="59"/>
      <c r="CR1751" s="59"/>
      <c r="CS1751" s="59"/>
      <c r="CT1751" s="59"/>
      <c r="CU1751" s="59"/>
      <c r="CV1751" s="59"/>
      <c r="CW1751" s="59"/>
      <c r="CX1751" s="59"/>
      <c r="CY1751" s="59"/>
      <c r="CZ1751" s="59"/>
      <c r="DA1751" s="59"/>
      <c r="DB1751" s="59"/>
      <c r="DC1751" s="59"/>
      <c r="DD1751" s="59"/>
      <c r="DE1751" s="59"/>
      <c r="DF1751" s="59"/>
      <c r="DG1751" s="59"/>
      <c r="DH1751" s="59"/>
      <c r="DI1751" s="59"/>
      <c r="DJ1751" s="59"/>
      <c r="DK1751" s="59"/>
      <c r="DL1751" s="59"/>
      <c r="DM1751" s="59"/>
      <c r="DN1751" s="59"/>
      <c r="DO1751" s="59"/>
      <c r="DP1751" s="59"/>
      <c r="DQ1751" s="59"/>
      <c r="DR1751" s="59"/>
      <c r="DS1751" s="59"/>
      <c r="DT1751" s="59"/>
      <c r="DU1751" s="59"/>
      <c r="DV1751" s="59"/>
    </row>
    <row r="1752" spans="1:126" ht="31.2" x14ac:dyDescent="0.3">
      <c r="A1752" s="5"/>
      <c r="B1752" s="11" t="s">
        <v>400</v>
      </c>
      <c r="C1752" s="5"/>
      <c r="D1752" s="5" t="s">
        <v>14</v>
      </c>
      <c r="E1752" s="15">
        <f>138</f>
        <v>138</v>
      </c>
      <c r="F1752" s="15"/>
      <c r="G1752" s="15"/>
    </row>
    <row r="1753" spans="1:126" ht="31.2" x14ac:dyDescent="0.3">
      <c r="A1753" s="5"/>
      <c r="B1753" s="11" t="s">
        <v>401</v>
      </c>
      <c r="C1753" s="5"/>
      <c r="D1753" s="5" t="s">
        <v>14</v>
      </c>
      <c r="E1753" s="15">
        <f>138</f>
        <v>138</v>
      </c>
      <c r="F1753" s="15"/>
      <c r="G1753" s="15"/>
    </row>
    <row r="1754" spans="1:126" s="3" customFormat="1" x14ac:dyDescent="0.3">
      <c r="A1754" s="21"/>
      <c r="B1754" s="21" t="s">
        <v>413</v>
      </c>
      <c r="C1754" s="21"/>
      <c r="D1754" s="21" t="s">
        <v>69</v>
      </c>
      <c r="E1754" s="22">
        <f>4598.87</f>
        <v>4598.87</v>
      </c>
      <c r="F1754" s="22"/>
      <c r="G1754" s="22"/>
      <c r="H1754" s="59"/>
      <c r="I1754" s="59"/>
      <c r="J1754" s="59"/>
      <c r="K1754" s="59"/>
      <c r="L1754" s="59"/>
      <c r="M1754" s="59"/>
      <c r="N1754" s="59"/>
      <c r="O1754" s="59"/>
      <c r="P1754" s="59"/>
      <c r="Q1754" s="59"/>
      <c r="R1754" s="59"/>
      <c r="S1754" s="59"/>
      <c r="T1754" s="59"/>
      <c r="U1754" s="59"/>
      <c r="V1754" s="59"/>
      <c r="W1754" s="59"/>
      <c r="X1754" s="59"/>
      <c r="Y1754" s="59"/>
      <c r="Z1754" s="59"/>
      <c r="AA1754" s="59"/>
      <c r="AB1754" s="59"/>
      <c r="AC1754" s="59"/>
      <c r="AD1754" s="59"/>
      <c r="AE1754" s="59"/>
      <c r="AF1754" s="59"/>
      <c r="AG1754" s="59"/>
      <c r="AH1754" s="59"/>
      <c r="AI1754" s="59"/>
      <c r="AJ1754" s="59"/>
      <c r="AK1754" s="59"/>
      <c r="AL1754" s="59"/>
      <c r="AM1754" s="59"/>
      <c r="AN1754" s="59"/>
      <c r="AO1754" s="59"/>
      <c r="AP1754" s="59"/>
      <c r="AQ1754" s="59"/>
      <c r="AR1754" s="59"/>
      <c r="AS1754" s="59"/>
      <c r="AT1754" s="59"/>
      <c r="AU1754" s="59"/>
      <c r="AV1754" s="59"/>
      <c r="AW1754" s="59"/>
      <c r="AX1754" s="59"/>
      <c r="AY1754" s="59"/>
      <c r="AZ1754" s="59"/>
      <c r="BA1754" s="59"/>
      <c r="BB1754" s="59"/>
      <c r="BC1754" s="59"/>
      <c r="BD1754" s="59"/>
      <c r="BE1754" s="59"/>
      <c r="BF1754" s="59"/>
      <c r="BG1754" s="59"/>
      <c r="BH1754" s="59"/>
      <c r="BI1754" s="59"/>
      <c r="BJ1754" s="59"/>
      <c r="BK1754" s="59"/>
      <c r="BL1754" s="59"/>
      <c r="BM1754" s="59"/>
      <c r="BN1754" s="59"/>
      <c r="BO1754" s="59"/>
      <c r="BP1754" s="59"/>
      <c r="BQ1754" s="59"/>
      <c r="BR1754" s="59"/>
      <c r="BS1754" s="59"/>
      <c r="BT1754" s="59"/>
      <c r="BU1754" s="59"/>
      <c r="BV1754" s="59"/>
      <c r="BW1754" s="59"/>
      <c r="BX1754" s="59"/>
      <c r="BY1754" s="59"/>
      <c r="BZ1754" s="59"/>
      <c r="CA1754" s="59"/>
      <c r="CB1754" s="59"/>
      <c r="CC1754" s="59"/>
      <c r="CD1754" s="59"/>
      <c r="CE1754" s="59"/>
      <c r="CF1754" s="59"/>
      <c r="CG1754" s="59"/>
      <c r="CH1754" s="59"/>
      <c r="CI1754" s="59"/>
      <c r="CJ1754" s="59"/>
      <c r="CK1754" s="59"/>
      <c r="CL1754" s="59"/>
      <c r="CM1754" s="59"/>
      <c r="CN1754" s="59"/>
      <c r="CO1754" s="59"/>
      <c r="CP1754" s="59"/>
      <c r="CQ1754" s="59"/>
      <c r="CR1754" s="59"/>
      <c r="CS1754" s="59"/>
      <c r="CT1754" s="59"/>
      <c r="CU1754" s="59"/>
      <c r="CV1754" s="59"/>
      <c r="CW1754" s="59"/>
      <c r="CX1754" s="59"/>
      <c r="CY1754" s="59"/>
      <c r="CZ1754" s="59"/>
      <c r="DA1754" s="59"/>
      <c r="DB1754" s="59"/>
      <c r="DC1754" s="59"/>
      <c r="DD1754" s="59"/>
      <c r="DE1754" s="59"/>
      <c r="DF1754" s="59"/>
      <c r="DG1754" s="59"/>
      <c r="DH1754" s="59"/>
      <c r="DI1754" s="59"/>
      <c r="DJ1754" s="59"/>
      <c r="DK1754" s="59"/>
      <c r="DL1754" s="59"/>
      <c r="DM1754" s="59"/>
      <c r="DN1754" s="59"/>
      <c r="DO1754" s="59"/>
      <c r="DP1754" s="59"/>
      <c r="DQ1754" s="59"/>
      <c r="DR1754" s="59"/>
      <c r="DS1754" s="59"/>
      <c r="DT1754" s="59"/>
      <c r="DU1754" s="59"/>
      <c r="DV1754" s="59"/>
    </row>
    <row r="1755" spans="1:126" x14ac:dyDescent="0.3">
      <c r="A1755" s="5"/>
      <c r="B1755" s="5" t="s">
        <v>567</v>
      </c>
      <c r="C1755" s="5"/>
      <c r="D1755" s="5" t="s">
        <v>72</v>
      </c>
      <c r="E1755" s="15">
        <v>1517.6270999999999</v>
      </c>
      <c r="F1755" s="15"/>
      <c r="G1755" s="15"/>
    </row>
    <row r="1756" spans="1:126" x14ac:dyDescent="0.3">
      <c r="A1756" s="5"/>
      <c r="B1756" s="5" t="s">
        <v>568</v>
      </c>
      <c r="C1756" s="5"/>
      <c r="D1756" s="5" t="s">
        <v>72</v>
      </c>
      <c r="E1756" s="15">
        <v>12416.949000000001</v>
      </c>
      <c r="F1756" s="15"/>
      <c r="G1756" s="15"/>
    </row>
    <row r="1757" spans="1:126" x14ac:dyDescent="0.3">
      <c r="A1757" s="5"/>
      <c r="B1757" s="5" t="s">
        <v>569</v>
      </c>
      <c r="C1757" s="5"/>
      <c r="D1757" s="5" t="s">
        <v>72</v>
      </c>
      <c r="E1757" s="15">
        <v>1379.6609999999998</v>
      </c>
      <c r="F1757" s="15"/>
      <c r="G1757" s="15"/>
    </row>
    <row r="1758" spans="1:126" x14ac:dyDescent="0.3">
      <c r="A1758" s="5"/>
      <c r="B1758" s="5" t="s">
        <v>566</v>
      </c>
      <c r="C1758" s="5"/>
      <c r="D1758" s="5" t="s">
        <v>72</v>
      </c>
      <c r="E1758" s="15">
        <v>4598.87</v>
      </c>
      <c r="F1758" s="15"/>
      <c r="G1758" s="15"/>
    </row>
    <row r="1759" spans="1:126" x14ac:dyDescent="0.3">
      <c r="A1759" s="5"/>
      <c r="B1759" s="5" t="s">
        <v>70</v>
      </c>
      <c r="C1759" s="5"/>
      <c r="D1759" s="5" t="s">
        <v>72</v>
      </c>
      <c r="E1759" s="15">
        <v>4598.87</v>
      </c>
      <c r="F1759" s="15"/>
      <c r="G1759" s="15"/>
    </row>
    <row r="1760" spans="1:126" s="3" customFormat="1" x14ac:dyDescent="0.3">
      <c r="A1760" s="21"/>
      <c r="B1760" s="21" t="s">
        <v>414</v>
      </c>
      <c r="C1760" s="21"/>
      <c r="D1760" s="21"/>
      <c r="E1760" s="22"/>
      <c r="F1760" s="22"/>
      <c r="G1760" s="22"/>
      <c r="H1760" s="59"/>
      <c r="I1760" s="59"/>
      <c r="J1760" s="59"/>
      <c r="K1760" s="59"/>
      <c r="L1760" s="59"/>
      <c r="M1760" s="59"/>
      <c r="N1760" s="59"/>
      <c r="O1760" s="59"/>
      <c r="P1760" s="59"/>
      <c r="Q1760" s="59"/>
      <c r="R1760" s="59"/>
      <c r="S1760" s="59"/>
      <c r="T1760" s="59"/>
      <c r="U1760" s="59"/>
      <c r="V1760" s="59"/>
      <c r="W1760" s="59"/>
      <c r="X1760" s="59"/>
      <c r="Y1760" s="59"/>
      <c r="Z1760" s="59"/>
      <c r="AA1760" s="59"/>
      <c r="AB1760" s="59"/>
      <c r="AC1760" s="59"/>
      <c r="AD1760" s="59"/>
      <c r="AE1760" s="59"/>
      <c r="AF1760" s="59"/>
      <c r="AG1760" s="59"/>
      <c r="AH1760" s="59"/>
      <c r="AI1760" s="59"/>
      <c r="AJ1760" s="59"/>
      <c r="AK1760" s="59"/>
      <c r="AL1760" s="59"/>
      <c r="AM1760" s="59"/>
      <c r="AN1760" s="59"/>
      <c r="AO1760" s="59"/>
      <c r="AP1760" s="59"/>
      <c r="AQ1760" s="59"/>
      <c r="AR1760" s="59"/>
      <c r="AS1760" s="59"/>
      <c r="AT1760" s="59"/>
      <c r="AU1760" s="59"/>
      <c r="AV1760" s="59"/>
      <c r="AW1760" s="59"/>
      <c r="AX1760" s="59"/>
      <c r="AY1760" s="59"/>
      <c r="AZ1760" s="59"/>
      <c r="BA1760" s="59"/>
      <c r="BB1760" s="59"/>
      <c r="BC1760" s="59"/>
      <c r="BD1760" s="59"/>
      <c r="BE1760" s="59"/>
      <c r="BF1760" s="59"/>
      <c r="BG1760" s="59"/>
      <c r="BH1760" s="59"/>
      <c r="BI1760" s="59"/>
      <c r="BJ1760" s="59"/>
      <c r="BK1760" s="59"/>
      <c r="BL1760" s="59"/>
      <c r="BM1760" s="59"/>
      <c r="BN1760" s="59"/>
      <c r="BO1760" s="59"/>
      <c r="BP1760" s="59"/>
      <c r="BQ1760" s="59"/>
      <c r="BR1760" s="59"/>
      <c r="BS1760" s="59"/>
      <c r="BT1760" s="59"/>
      <c r="BU1760" s="59"/>
      <c r="BV1760" s="59"/>
      <c r="BW1760" s="59"/>
      <c r="BX1760" s="59"/>
      <c r="BY1760" s="59"/>
      <c r="BZ1760" s="59"/>
      <c r="CA1760" s="59"/>
      <c r="CB1760" s="59"/>
      <c r="CC1760" s="59"/>
      <c r="CD1760" s="59"/>
      <c r="CE1760" s="59"/>
      <c r="CF1760" s="59"/>
      <c r="CG1760" s="59"/>
      <c r="CH1760" s="59"/>
      <c r="CI1760" s="59"/>
      <c r="CJ1760" s="59"/>
      <c r="CK1760" s="59"/>
      <c r="CL1760" s="59"/>
      <c r="CM1760" s="59"/>
      <c r="CN1760" s="59"/>
      <c r="CO1760" s="59"/>
      <c r="CP1760" s="59"/>
      <c r="CQ1760" s="59"/>
      <c r="CR1760" s="59"/>
      <c r="CS1760" s="59"/>
      <c r="CT1760" s="59"/>
      <c r="CU1760" s="59"/>
      <c r="CV1760" s="59"/>
      <c r="CW1760" s="59"/>
      <c r="CX1760" s="59"/>
      <c r="CY1760" s="59"/>
      <c r="CZ1760" s="59"/>
      <c r="DA1760" s="59"/>
      <c r="DB1760" s="59"/>
      <c r="DC1760" s="59"/>
      <c r="DD1760" s="59"/>
      <c r="DE1760" s="59"/>
      <c r="DF1760" s="59"/>
      <c r="DG1760" s="59"/>
      <c r="DH1760" s="59"/>
      <c r="DI1760" s="59"/>
      <c r="DJ1760" s="59"/>
      <c r="DK1760" s="59"/>
      <c r="DL1760" s="59"/>
      <c r="DM1760" s="59"/>
      <c r="DN1760" s="59"/>
      <c r="DO1760" s="59"/>
      <c r="DP1760" s="59"/>
      <c r="DQ1760" s="59"/>
      <c r="DR1760" s="59"/>
      <c r="DS1760" s="59"/>
      <c r="DT1760" s="59"/>
      <c r="DU1760" s="59"/>
      <c r="DV1760" s="59"/>
    </row>
    <row r="1761" spans="1:126" x14ac:dyDescent="0.3">
      <c r="A1761" s="5"/>
      <c r="B1761" s="5" t="s">
        <v>81</v>
      </c>
      <c r="C1761" s="5"/>
      <c r="D1761" s="5" t="s">
        <v>10</v>
      </c>
      <c r="E1761" s="15">
        <f>1.36</f>
        <v>1.36</v>
      </c>
      <c r="F1761" s="15"/>
      <c r="G1761" s="15"/>
    </row>
    <row r="1762" spans="1:126" s="3" customFormat="1" x14ac:dyDescent="0.3">
      <c r="A1762" s="21"/>
      <c r="B1762" s="21" t="s">
        <v>415</v>
      </c>
      <c r="C1762" s="21"/>
      <c r="D1762" s="21"/>
      <c r="E1762" s="22"/>
      <c r="F1762" s="22"/>
      <c r="G1762" s="22"/>
      <c r="H1762" s="59"/>
      <c r="I1762" s="59"/>
      <c r="J1762" s="59"/>
      <c r="K1762" s="59"/>
      <c r="L1762" s="59"/>
      <c r="M1762" s="59"/>
      <c r="N1762" s="59"/>
      <c r="O1762" s="59"/>
      <c r="P1762" s="59"/>
      <c r="Q1762" s="59"/>
      <c r="R1762" s="59"/>
      <c r="S1762" s="59"/>
      <c r="T1762" s="59"/>
      <c r="U1762" s="59"/>
      <c r="V1762" s="59"/>
      <c r="W1762" s="59"/>
      <c r="X1762" s="59"/>
      <c r="Y1762" s="59"/>
      <c r="Z1762" s="59"/>
      <c r="AA1762" s="59"/>
      <c r="AB1762" s="59"/>
      <c r="AC1762" s="59"/>
      <c r="AD1762" s="59"/>
      <c r="AE1762" s="59"/>
      <c r="AF1762" s="59"/>
      <c r="AG1762" s="59"/>
      <c r="AH1762" s="59"/>
      <c r="AI1762" s="59"/>
      <c r="AJ1762" s="59"/>
      <c r="AK1762" s="59"/>
      <c r="AL1762" s="59"/>
      <c r="AM1762" s="59"/>
      <c r="AN1762" s="59"/>
      <c r="AO1762" s="59"/>
      <c r="AP1762" s="59"/>
      <c r="AQ1762" s="59"/>
      <c r="AR1762" s="59"/>
      <c r="AS1762" s="59"/>
      <c r="AT1762" s="59"/>
      <c r="AU1762" s="59"/>
      <c r="AV1762" s="59"/>
      <c r="AW1762" s="59"/>
      <c r="AX1762" s="59"/>
      <c r="AY1762" s="59"/>
      <c r="AZ1762" s="59"/>
      <c r="BA1762" s="59"/>
      <c r="BB1762" s="59"/>
      <c r="BC1762" s="59"/>
      <c r="BD1762" s="59"/>
      <c r="BE1762" s="59"/>
      <c r="BF1762" s="59"/>
      <c r="BG1762" s="59"/>
      <c r="BH1762" s="59"/>
      <c r="BI1762" s="59"/>
      <c r="BJ1762" s="59"/>
      <c r="BK1762" s="59"/>
      <c r="BL1762" s="59"/>
      <c r="BM1762" s="59"/>
      <c r="BN1762" s="59"/>
      <c r="BO1762" s="59"/>
      <c r="BP1762" s="59"/>
      <c r="BQ1762" s="59"/>
      <c r="BR1762" s="59"/>
      <c r="BS1762" s="59"/>
      <c r="BT1762" s="59"/>
      <c r="BU1762" s="59"/>
      <c r="BV1762" s="59"/>
      <c r="BW1762" s="59"/>
      <c r="BX1762" s="59"/>
      <c r="BY1762" s="59"/>
      <c r="BZ1762" s="59"/>
      <c r="CA1762" s="59"/>
      <c r="CB1762" s="59"/>
      <c r="CC1762" s="59"/>
      <c r="CD1762" s="59"/>
      <c r="CE1762" s="59"/>
      <c r="CF1762" s="59"/>
      <c r="CG1762" s="59"/>
      <c r="CH1762" s="59"/>
      <c r="CI1762" s="59"/>
      <c r="CJ1762" s="59"/>
      <c r="CK1762" s="59"/>
      <c r="CL1762" s="59"/>
      <c r="CM1762" s="59"/>
      <c r="CN1762" s="59"/>
      <c r="CO1762" s="59"/>
      <c r="CP1762" s="59"/>
      <c r="CQ1762" s="59"/>
      <c r="CR1762" s="59"/>
      <c r="CS1762" s="59"/>
      <c r="CT1762" s="59"/>
      <c r="CU1762" s="59"/>
      <c r="CV1762" s="59"/>
      <c r="CW1762" s="59"/>
      <c r="CX1762" s="59"/>
      <c r="CY1762" s="59"/>
      <c r="CZ1762" s="59"/>
      <c r="DA1762" s="59"/>
      <c r="DB1762" s="59"/>
      <c r="DC1762" s="59"/>
      <c r="DD1762" s="59"/>
      <c r="DE1762" s="59"/>
      <c r="DF1762" s="59"/>
      <c r="DG1762" s="59"/>
      <c r="DH1762" s="59"/>
      <c r="DI1762" s="59"/>
      <c r="DJ1762" s="59"/>
      <c r="DK1762" s="59"/>
      <c r="DL1762" s="59"/>
      <c r="DM1762" s="59"/>
      <c r="DN1762" s="59"/>
      <c r="DO1762" s="59"/>
      <c r="DP1762" s="59"/>
      <c r="DQ1762" s="59"/>
      <c r="DR1762" s="59"/>
      <c r="DS1762" s="59"/>
      <c r="DT1762" s="59"/>
      <c r="DU1762" s="59"/>
      <c r="DV1762" s="59"/>
    </row>
    <row r="1763" spans="1:126" x14ac:dyDescent="0.3">
      <c r="A1763" s="5"/>
      <c r="B1763" s="5" t="s">
        <v>80</v>
      </c>
      <c r="C1763" s="5"/>
      <c r="D1763" s="5" t="s">
        <v>10</v>
      </c>
      <c r="E1763" s="15">
        <f>0.96</f>
        <v>0.96</v>
      </c>
      <c r="F1763" s="15"/>
      <c r="G1763" s="15"/>
    </row>
    <row r="1764" spans="1:126" s="3" customFormat="1" x14ac:dyDescent="0.3">
      <c r="A1764" s="21"/>
      <c r="B1764" s="21" t="s">
        <v>416</v>
      </c>
      <c r="C1764" s="21"/>
      <c r="D1764" s="21"/>
      <c r="E1764" s="22"/>
      <c r="F1764" s="22"/>
      <c r="G1764" s="22"/>
      <c r="H1764" s="59"/>
      <c r="I1764" s="59"/>
      <c r="J1764" s="59"/>
      <c r="K1764" s="59"/>
      <c r="L1764" s="59"/>
      <c r="M1764" s="59"/>
      <c r="N1764" s="59"/>
      <c r="O1764" s="59"/>
      <c r="P1764" s="59"/>
      <c r="Q1764" s="59"/>
      <c r="R1764" s="59"/>
      <c r="S1764" s="59"/>
      <c r="T1764" s="59"/>
      <c r="U1764" s="59"/>
      <c r="V1764" s="59"/>
      <c r="W1764" s="59"/>
      <c r="X1764" s="59"/>
      <c r="Y1764" s="59"/>
      <c r="Z1764" s="59"/>
      <c r="AA1764" s="59"/>
      <c r="AB1764" s="59"/>
      <c r="AC1764" s="59"/>
      <c r="AD1764" s="59"/>
      <c r="AE1764" s="59"/>
      <c r="AF1764" s="59"/>
      <c r="AG1764" s="59"/>
      <c r="AH1764" s="59"/>
      <c r="AI1764" s="59"/>
      <c r="AJ1764" s="59"/>
      <c r="AK1764" s="59"/>
      <c r="AL1764" s="59"/>
      <c r="AM1764" s="59"/>
      <c r="AN1764" s="59"/>
      <c r="AO1764" s="59"/>
      <c r="AP1764" s="59"/>
      <c r="AQ1764" s="59"/>
      <c r="AR1764" s="59"/>
      <c r="AS1764" s="59"/>
      <c r="AT1764" s="59"/>
      <c r="AU1764" s="59"/>
      <c r="AV1764" s="59"/>
      <c r="AW1764" s="59"/>
      <c r="AX1764" s="59"/>
      <c r="AY1764" s="59"/>
      <c r="AZ1764" s="59"/>
      <c r="BA1764" s="59"/>
      <c r="BB1764" s="59"/>
      <c r="BC1764" s="59"/>
      <c r="BD1764" s="59"/>
      <c r="BE1764" s="59"/>
      <c r="BF1764" s="59"/>
      <c r="BG1764" s="59"/>
      <c r="BH1764" s="59"/>
      <c r="BI1764" s="59"/>
      <c r="BJ1764" s="59"/>
      <c r="BK1764" s="59"/>
      <c r="BL1764" s="59"/>
      <c r="BM1764" s="59"/>
      <c r="BN1764" s="59"/>
      <c r="BO1764" s="59"/>
      <c r="BP1764" s="59"/>
      <c r="BQ1764" s="59"/>
      <c r="BR1764" s="59"/>
      <c r="BS1764" s="59"/>
      <c r="BT1764" s="59"/>
      <c r="BU1764" s="59"/>
      <c r="BV1764" s="59"/>
      <c r="BW1764" s="59"/>
      <c r="BX1764" s="59"/>
      <c r="BY1764" s="59"/>
      <c r="BZ1764" s="59"/>
      <c r="CA1764" s="59"/>
      <c r="CB1764" s="59"/>
      <c r="CC1764" s="59"/>
      <c r="CD1764" s="59"/>
      <c r="CE1764" s="59"/>
      <c r="CF1764" s="59"/>
      <c r="CG1764" s="59"/>
      <c r="CH1764" s="59"/>
      <c r="CI1764" s="59"/>
      <c r="CJ1764" s="59"/>
      <c r="CK1764" s="59"/>
      <c r="CL1764" s="59"/>
      <c r="CM1764" s="59"/>
      <c r="CN1764" s="59"/>
      <c r="CO1764" s="59"/>
      <c r="CP1764" s="59"/>
      <c r="CQ1764" s="59"/>
      <c r="CR1764" s="59"/>
      <c r="CS1764" s="59"/>
      <c r="CT1764" s="59"/>
      <c r="CU1764" s="59"/>
      <c r="CV1764" s="59"/>
      <c r="CW1764" s="59"/>
      <c r="CX1764" s="59"/>
      <c r="CY1764" s="59"/>
      <c r="CZ1764" s="59"/>
      <c r="DA1764" s="59"/>
      <c r="DB1764" s="59"/>
      <c r="DC1764" s="59"/>
      <c r="DD1764" s="59"/>
      <c r="DE1764" s="59"/>
      <c r="DF1764" s="59"/>
      <c r="DG1764" s="59"/>
      <c r="DH1764" s="59"/>
      <c r="DI1764" s="59"/>
      <c r="DJ1764" s="59"/>
      <c r="DK1764" s="59"/>
      <c r="DL1764" s="59"/>
      <c r="DM1764" s="59"/>
      <c r="DN1764" s="59"/>
      <c r="DO1764" s="59"/>
      <c r="DP1764" s="59"/>
      <c r="DQ1764" s="59"/>
      <c r="DR1764" s="59"/>
      <c r="DS1764" s="59"/>
      <c r="DT1764" s="59"/>
      <c r="DU1764" s="59"/>
      <c r="DV1764" s="59"/>
    </row>
    <row r="1765" spans="1:126" ht="31.2" x14ac:dyDescent="0.3">
      <c r="A1765" s="5"/>
      <c r="B1765" s="11" t="s">
        <v>404</v>
      </c>
      <c r="C1765" s="5"/>
      <c r="D1765" s="5" t="s">
        <v>8</v>
      </c>
      <c r="E1765" s="15">
        <f>0.59</f>
        <v>0.59</v>
      </c>
      <c r="F1765" s="15"/>
      <c r="G1765" s="15"/>
    </row>
    <row r="1766" spans="1:126" x14ac:dyDescent="0.3">
      <c r="A1766" s="5"/>
      <c r="B1766" s="5" t="s">
        <v>405</v>
      </c>
      <c r="C1766" s="5"/>
      <c r="D1766" s="5" t="s">
        <v>14</v>
      </c>
      <c r="E1766" s="15">
        <f>40</f>
        <v>40</v>
      </c>
      <c r="F1766" s="15"/>
      <c r="G1766" s="15"/>
    </row>
    <row r="1767" spans="1:126" x14ac:dyDescent="0.3">
      <c r="A1767" s="5"/>
      <c r="B1767" s="5" t="s">
        <v>407</v>
      </c>
      <c r="C1767" s="5"/>
      <c r="D1767" s="5" t="s">
        <v>14</v>
      </c>
      <c r="E1767" s="15">
        <f>160</f>
        <v>160</v>
      </c>
      <c r="F1767" s="15"/>
      <c r="G1767" s="15"/>
    </row>
    <row r="1768" spans="1:126" x14ac:dyDescent="0.3">
      <c r="A1768" s="5"/>
      <c r="B1768" s="5" t="s">
        <v>406</v>
      </c>
      <c r="C1768" s="5"/>
      <c r="D1768" s="5" t="s">
        <v>14</v>
      </c>
      <c r="E1768" s="15">
        <f>80</f>
        <v>80</v>
      </c>
      <c r="F1768" s="15"/>
      <c r="G1768" s="15"/>
    </row>
    <row r="1769" spans="1:126" s="25" customFormat="1" x14ac:dyDescent="0.3">
      <c r="A1769" s="23"/>
      <c r="B1769" s="23" t="s">
        <v>418</v>
      </c>
      <c r="C1769" s="23" t="s">
        <v>339</v>
      </c>
      <c r="D1769" s="23"/>
      <c r="E1769" s="24"/>
      <c r="F1769" s="24"/>
      <c r="G1769" s="24"/>
      <c r="H1769" s="59"/>
      <c r="I1769" s="59"/>
      <c r="J1769" s="59"/>
      <c r="K1769" s="59"/>
      <c r="L1769" s="59"/>
      <c r="M1769" s="59"/>
      <c r="N1769" s="59"/>
      <c r="O1769" s="59"/>
      <c r="P1769" s="59"/>
      <c r="Q1769" s="59"/>
      <c r="R1769" s="59"/>
      <c r="S1769" s="59"/>
      <c r="T1769" s="59"/>
      <c r="U1769" s="59"/>
      <c r="V1769" s="59"/>
      <c r="W1769" s="59"/>
      <c r="X1769" s="59"/>
      <c r="Y1769" s="59"/>
      <c r="Z1769" s="59"/>
      <c r="AA1769" s="59"/>
      <c r="AB1769" s="59"/>
      <c r="AC1769" s="59"/>
      <c r="AD1769" s="59"/>
      <c r="AE1769" s="59"/>
      <c r="AF1769" s="59"/>
      <c r="AG1769" s="59"/>
      <c r="AH1769" s="59"/>
      <c r="AI1769" s="59"/>
      <c r="AJ1769" s="59"/>
      <c r="AK1769" s="59"/>
      <c r="AL1769" s="59"/>
      <c r="AM1769" s="59"/>
      <c r="AN1769" s="59"/>
      <c r="AO1769" s="59"/>
      <c r="AP1769" s="59"/>
      <c r="AQ1769" s="59"/>
      <c r="AR1769" s="59"/>
      <c r="AS1769" s="59"/>
      <c r="AT1769" s="59"/>
      <c r="AU1769" s="59"/>
      <c r="AV1769" s="59"/>
      <c r="AW1769" s="59"/>
      <c r="AX1769" s="59"/>
      <c r="AY1769" s="59"/>
      <c r="AZ1769" s="59"/>
      <c r="BA1769" s="59"/>
      <c r="BB1769" s="59"/>
      <c r="BC1769" s="59"/>
      <c r="BD1769" s="59"/>
      <c r="BE1769" s="59"/>
      <c r="BF1769" s="59"/>
      <c r="BG1769" s="59"/>
      <c r="BH1769" s="59"/>
      <c r="BI1769" s="59"/>
      <c r="BJ1769" s="59"/>
      <c r="BK1769" s="59"/>
      <c r="BL1769" s="59"/>
      <c r="BM1769" s="59"/>
      <c r="BN1769" s="59"/>
      <c r="BO1769" s="59"/>
      <c r="BP1769" s="59"/>
      <c r="BQ1769" s="59"/>
      <c r="BR1769" s="59"/>
      <c r="BS1769" s="59"/>
      <c r="BT1769" s="59"/>
      <c r="BU1769" s="59"/>
      <c r="BV1769" s="59"/>
      <c r="BW1769" s="59"/>
      <c r="BX1769" s="59"/>
      <c r="BY1769" s="59"/>
      <c r="BZ1769" s="59"/>
      <c r="CA1769" s="59"/>
      <c r="CB1769" s="59"/>
      <c r="CC1769" s="59"/>
      <c r="CD1769" s="59"/>
      <c r="CE1769" s="59"/>
      <c r="CF1769" s="59"/>
      <c r="CG1769" s="59"/>
      <c r="CH1769" s="59"/>
      <c r="CI1769" s="59"/>
      <c r="CJ1769" s="59"/>
      <c r="CK1769" s="59"/>
      <c r="CL1769" s="59"/>
      <c r="CM1769" s="59"/>
      <c r="CN1769" s="59"/>
      <c r="CO1769" s="59"/>
      <c r="CP1769" s="59"/>
      <c r="CQ1769" s="59"/>
      <c r="CR1769" s="59"/>
      <c r="CS1769" s="59"/>
      <c r="CT1769" s="59"/>
      <c r="CU1769" s="59"/>
      <c r="CV1769" s="59"/>
      <c r="CW1769" s="59"/>
      <c r="CX1769" s="59"/>
      <c r="CY1769" s="59"/>
      <c r="CZ1769" s="59"/>
      <c r="DA1769" s="59"/>
      <c r="DB1769" s="59"/>
      <c r="DC1769" s="59"/>
      <c r="DD1769" s="59"/>
      <c r="DE1769" s="59"/>
      <c r="DF1769" s="59"/>
      <c r="DG1769" s="59"/>
      <c r="DH1769" s="59"/>
      <c r="DI1769" s="59"/>
      <c r="DJ1769" s="59"/>
      <c r="DK1769" s="59"/>
      <c r="DL1769" s="59"/>
      <c r="DM1769" s="59"/>
      <c r="DN1769" s="59"/>
      <c r="DO1769" s="59"/>
      <c r="DP1769" s="59"/>
      <c r="DQ1769" s="59"/>
      <c r="DR1769" s="59"/>
      <c r="DS1769" s="59"/>
      <c r="DT1769" s="59"/>
      <c r="DU1769" s="59"/>
      <c r="DV1769" s="59"/>
    </row>
    <row r="1770" spans="1:126" s="3" customFormat="1" x14ac:dyDescent="0.3">
      <c r="A1770" s="21"/>
      <c r="B1770" s="21" t="s">
        <v>419</v>
      </c>
      <c r="C1770" s="21"/>
      <c r="D1770" s="21"/>
      <c r="E1770" s="22"/>
      <c r="F1770" s="22"/>
      <c r="G1770" s="22"/>
      <c r="H1770" s="59"/>
      <c r="I1770" s="59"/>
      <c r="J1770" s="59"/>
      <c r="K1770" s="59"/>
      <c r="L1770" s="59"/>
      <c r="M1770" s="59"/>
      <c r="N1770" s="59"/>
      <c r="O1770" s="59"/>
      <c r="P1770" s="59"/>
      <c r="Q1770" s="59"/>
      <c r="R1770" s="59"/>
      <c r="S1770" s="59"/>
      <c r="T1770" s="59"/>
      <c r="U1770" s="59"/>
      <c r="V1770" s="59"/>
      <c r="W1770" s="59"/>
      <c r="X1770" s="59"/>
      <c r="Y1770" s="59"/>
      <c r="Z1770" s="59"/>
      <c r="AA1770" s="59"/>
      <c r="AB1770" s="59"/>
      <c r="AC1770" s="59"/>
      <c r="AD1770" s="59"/>
      <c r="AE1770" s="59"/>
      <c r="AF1770" s="59"/>
      <c r="AG1770" s="59"/>
      <c r="AH1770" s="59"/>
      <c r="AI1770" s="59"/>
      <c r="AJ1770" s="59"/>
      <c r="AK1770" s="59"/>
      <c r="AL1770" s="59"/>
      <c r="AM1770" s="59"/>
      <c r="AN1770" s="59"/>
      <c r="AO1770" s="59"/>
      <c r="AP1770" s="59"/>
      <c r="AQ1770" s="59"/>
      <c r="AR1770" s="59"/>
      <c r="AS1770" s="59"/>
      <c r="AT1770" s="59"/>
      <c r="AU1770" s="59"/>
      <c r="AV1770" s="59"/>
      <c r="AW1770" s="59"/>
      <c r="AX1770" s="59"/>
      <c r="AY1770" s="59"/>
      <c r="AZ1770" s="59"/>
      <c r="BA1770" s="59"/>
      <c r="BB1770" s="59"/>
      <c r="BC1770" s="59"/>
      <c r="BD1770" s="59"/>
      <c r="BE1770" s="59"/>
      <c r="BF1770" s="59"/>
      <c r="BG1770" s="59"/>
      <c r="BH1770" s="59"/>
      <c r="BI1770" s="59"/>
      <c r="BJ1770" s="59"/>
      <c r="BK1770" s="59"/>
      <c r="BL1770" s="59"/>
      <c r="BM1770" s="59"/>
      <c r="BN1770" s="59"/>
      <c r="BO1770" s="59"/>
      <c r="BP1770" s="59"/>
      <c r="BQ1770" s="59"/>
      <c r="BR1770" s="59"/>
      <c r="BS1770" s="59"/>
      <c r="BT1770" s="59"/>
      <c r="BU1770" s="59"/>
      <c r="BV1770" s="59"/>
      <c r="BW1770" s="59"/>
      <c r="BX1770" s="59"/>
      <c r="BY1770" s="59"/>
      <c r="BZ1770" s="59"/>
      <c r="CA1770" s="59"/>
      <c r="CB1770" s="59"/>
      <c r="CC1770" s="59"/>
      <c r="CD1770" s="59"/>
      <c r="CE1770" s="59"/>
      <c r="CF1770" s="59"/>
      <c r="CG1770" s="59"/>
      <c r="CH1770" s="59"/>
      <c r="CI1770" s="59"/>
      <c r="CJ1770" s="59"/>
      <c r="CK1770" s="59"/>
      <c r="CL1770" s="59"/>
      <c r="CM1770" s="59"/>
      <c r="CN1770" s="59"/>
      <c r="CO1770" s="59"/>
      <c r="CP1770" s="59"/>
      <c r="CQ1770" s="59"/>
      <c r="CR1770" s="59"/>
      <c r="CS1770" s="59"/>
      <c r="CT1770" s="59"/>
      <c r="CU1770" s="59"/>
      <c r="CV1770" s="59"/>
      <c r="CW1770" s="59"/>
      <c r="CX1770" s="59"/>
      <c r="CY1770" s="59"/>
      <c r="CZ1770" s="59"/>
      <c r="DA1770" s="59"/>
      <c r="DB1770" s="59"/>
      <c r="DC1770" s="59"/>
      <c r="DD1770" s="59"/>
      <c r="DE1770" s="59"/>
      <c r="DF1770" s="59"/>
      <c r="DG1770" s="59"/>
      <c r="DH1770" s="59"/>
      <c r="DI1770" s="59"/>
      <c r="DJ1770" s="59"/>
      <c r="DK1770" s="59"/>
      <c r="DL1770" s="59"/>
      <c r="DM1770" s="59"/>
      <c r="DN1770" s="59"/>
      <c r="DO1770" s="59"/>
      <c r="DP1770" s="59"/>
      <c r="DQ1770" s="59"/>
      <c r="DR1770" s="59"/>
      <c r="DS1770" s="59"/>
      <c r="DT1770" s="59"/>
      <c r="DU1770" s="59"/>
      <c r="DV1770" s="59"/>
    </row>
    <row r="1771" spans="1:126" ht="31.2" x14ac:dyDescent="0.3">
      <c r="A1771" s="5"/>
      <c r="B1771" s="11" t="s">
        <v>395</v>
      </c>
      <c r="C1771" s="5"/>
      <c r="D1771" s="5" t="s">
        <v>8</v>
      </c>
      <c r="E1771" s="15">
        <f>17.6</f>
        <v>17.600000000000001</v>
      </c>
      <c r="F1771" s="15"/>
      <c r="G1771" s="15"/>
    </row>
    <row r="1772" spans="1:126" x14ac:dyDescent="0.3">
      <c r="A1772" s="5"/>
      <c r="B1772" s="5" t="s">
        <v>215</v>
      </c>
      <c r="C1772" s="5"/>
      <c r="D1772" s="5" t="s">
        <v>10</v>
      </c>
      <c r="E1772" s="15">
        <f>3.7</f>
        <v>3.7</v>
      </c>
      <c r="F1772" s="15"/>
      <c r="G1772" s="15"/>
    </row>
    <row r="1773" spans="1:126" x14ac:dyDescent="0.3">
      <c r="A1773" s="5"/>
      <c r="B1773" s="11" t="s">
        <v>396</v>
      </c>
      <c r="C1773" s="5"/>
      <c r="D1773" s="5" t="s">
        <v>74</v>
      </c>
      <c r="E1773" s="15">
        <f>924</f>
        <v>924</v>
      </c>
      <c r="F1773" s="15"/>
      <c r="G1773" s="15"/>
    </row>
    <row r="1774" spans="1:126" x14ac:dyDescent="0.3">
      <c r="A1774" s="5"/>
      <c r="B1774" s="5" t="s">
        <v>150</v>
      </c>
      <c r="C1774" s="5"/>
      <c r="D1774" s="5" t="s">
        <v>14</v>
      </c>
      <c r="E1774" s="15">
        <f>1848</f>
        <v>1848</v>
      </c>
      <c r="F1774" s="15"/>
      <c r="G1774" s="15"/>
    </row>
    <row r="1775" spans="1:126" x14ac:dyDescent="0.3">
      <c r="A1775" s="5"/>
      <c r="B1775" s="5" t="s">
        <v>151</v>
      </c>
      <c r="C1775" s="5"/>
      <c r="D1775" s="5" t="s">
        <v>14</v>
      </c>
      <c r="E1775" s="15">
        <f>1848</f>
        <v>1848</v>
      </c>
      <c r="F1775" s="15"/>
      <c r="G1775" s="15"/>
    </row>
    <row r="1776" spans="1:126" s="3" customFormat="1" x14ac:dyDescent="0.3">
      <c r="A1776" s="21"/>
      <c r="B1776" s="21" t="s">
        <v>420</v>
      </c>
      <c r="C1776" s="21"/>
      <c r="D1776" s="21"/>
      <c r="E1776" s="22"/>
      <c r="F1776" s="22"/>
      <c r="G1776" s="22"/>
      <c r="H1776" s="59"/>
      <c r="I1776" s="59"/>
      <c r="J1776" s="59"/>
      <c r="K1776" s="59"/>
      <c r="L1776" s="59"/>
      <c r="M1776" s="59"/>
      <c r="N1776" s="59"/>
      <c r="O1776" s="59"/>
      <c r="P1776" s="59"/>
      <c r="Q1776" s="59"/>
      <c r="R1776" s="59"/>
      <c r="S1776" s="59"/>
      <c r="T1776" s="59"/>
      <c r="U1776" s="59"/>
      <c r="V1776" s="59"/>
      <c r="W1776" s="59"/>
      <c r="X1776" s="59"/>
      <c r="Y1776" s="59"/>
      <c r="Z1776" s="59"/>
      <c r="AA1776" s="59"/>
      <c r="AB1776" s="59"/>
      <c r="AC1776" s="59"/>
      <c r="AD1776" s="59"/>
      <c r="AE1776" s="59"/>
      <c r="AF1776" s="59"/>
      <c r="AG1776" s="59"/>
      <c r="AH1776" s="59"/>
      <c r="AI1776" s="59"/>
      <c r="AJ1776" s="59"/>
      <c r="AK1776" s="59"/>
      <c r="AL1776" s="59"/>
      <c r="AM1776" s="59"/>
      <c r="AN1776" s="59"/>
      <c r="AO1776" s="59"/>
      <c r="AP1776" s="59"/>
      <c r="AQ1776" s="59"/>
      <c r="AR1776" s="59"/>
      <c r="AS1776" s="59"/>
      <c r="AT1776" s="59"/>
      <c r="AU1776" s="59"/>
      <c r="AV1776" s="59"/>
      <c r="AW1776" s="59"/>
      <c r="AX1776" s="59"/>
      <c r="AY1776" s="59"/>
      <c r="AZ1776" s="59"/>
      <c r="BA1776" s="59"/>
      <c r="BB1776" s="59"/>
      <c r="BC1776" s="59"/>
      <c r="BD1776" s="59"/>
      <c r="BE1776" s="59"/>
      <c r="BF1776" s="59"/>
      <c r="BG1776" s="59"/>
      <c r="BH1776" s="59"/>
      <c r="BI1776" s="59"/>
      <c r="BJ1776" s="59"/>
      <c r="BK1776" s="59"/>
      <c r="BL1776" s="59"/>
      <c r="BM1776" s="59"/>
      <c r="BN1776" s="59"/>
      <c r="BO1776" s="59"/>
      <c r="BP1776" s="59"/>
      <c r="BQ1776" s="59"/>
      <c r="BR1776" s="59"/>
      <c r="BS1776" s="59"/>
      <c r="BT1776" s="59"/>
      <c r="BU1776" s="59"/>
      <c r="BV1776" s="59"/>
      <c r="BW1776" s="59"/>
      <c r="BX1776" s="59"/>
      <c r="BY1776" s="59"/>
      <c r="BZ1776" s="59"/>
      <c r="CA1776" s="59"/>
      <c r="CB1776" s="59"/>
      <c r="CC1776" s="59"/>
      <c r="CD1776" s="59"/>
      <c r="CE1776" s="59"/>
      <c r="CF1776" s="59"/>
      <c r="CG1776" s="59"/>
      <c r="CH1776" s="59"/>
      <c r="CI1776" s="59"/>
      <c r="CJ1776" s="59"/>
      <c r="CK1776" s="59"/>
      <c r="CL1776" s="59"/>
      <c r="CM1776" s="59"/>
      <c r="CN1776" s="59"/>
      <c r="CO1776" s="59"/>
      <c r="CP1776" s="59"/>
      <c r="CQ1776" s="59"/>
      <c r="CR1776" s="59"/>
      <c r="CS1776" s="59"/>
      <c r="CT1776" s="59"/>
      <c r="CU1776" s="59"/>
      <c r="CV1776" s="59"/>
      <c r="CW1776" s="59"/>
      <c r="CX1776" s="59"/>
      <c r="CY1776" s="59"/>
      <c r="CZ1776" s="59"/>
      <c r="DA1776" s="59"/>
      <c r="DB1776" s="59"/>
      <c r="DC1776" s="59"/>
      <c r="DD1776" s="59"/>
      <c r="DE1776" s="59"/>
      <c r="DF1776" s="59"/>
      <c r="DG1776" s="59"/>
      <c r="DH1776" s="59"/>
      <c r="DI1776" s="59"/>
      <c r="DJ1776" s="59"/>
      <c r="DK1776" s="59"/>
      <c r="DL1776" s="59"/>
      <c r="DM1776" s="59"/>
      <c r="DN1776" s="59"/>
      <c r="DO1776" s="59"/>
      <c r="DP1776" s="59"/>
      <c r="DQ1776" s="59"/>
      <c r="DR1776" s="59"/>
      <c r="DS1776" s="59"/>
      <c r="DT1776" s="59"/>
      <c r="DU1776" s="59"/>
      <c r="DV1776" s="59"/>
    </row>
    <row r="1777" spans="1:126" x14ac:dyDescent="0.3">
      <c r="A1777" s="5"/>
      <c r="B1777" s="5" t="s">
        <v>255</v>
      </c>
      <c r="C1777" s="5"/>
      <c r="D1777" s="5" t="s">
        <v>10</v>
      </c>
      <c r="E1777" s="15">
        <f>4.97</f>
        <v>4.97</v>
      </c>
      <c r="F1777" s="15"/>
      <c r="G1777" s="15"/>
    </row>
    <row r="1778" spans="1:126" x14ac:dyDescent="0.3">
      <c r="A1778" s="5"/>
      <c r="B1778" s="5" t="s">
        <v>398</v>
      </c>
      <c r="C1778" s="5"/>
      <c r="D1778" s="5" t="s">
        <v>69</v>
      </c>
      <c r="E1778" s="15">
        <f>4.52</f>
        <v>4.5199999999999996</v>
      </c>
      <c r="F1778" s="15"/>
      <c r="G1778" s="15"/>
    </row>
    <row r="1779" spans="1:126" s="3" customFormat="1" x14ac:dyDescent="0.3">
      <c r="A1779" s="21"/>
      <c r="B1779" s="21" t="s">
        <v>421</v>
      </c>
      <c r="C1779" s="21"/>
      <c r="D1779" s="21"/>
      <c r="E1779" s="22"/>
      <c r="F1779" s="22"/>
      <c r="G1779" s="22"/>
      <c r="H1779" s="59"/>
      <c r="I1779" s="59"/>
      <c r="J1779" s="59"/>
      <c r="K1779" s="59"/>
      <c r="L1779" s="59"/>
      <c r="M1779" s="59"/>
      <c r="N1779" s="59"/>
      <c r="O1779" s="59"/>
      <c r="P1779" s="59"/>
      <c r="Q1779" s="59"/>
      <c r="R1779" s="59"/>
      <c r="S1779" s="59"/>
      <c r="T1779" s="59"/>
      <c r="U1779" s="59"/>
      <c r="V1779" s="59"/>
      <c r="W1779" s="59"/>
      <c r="X1779" s="59"/>
      <c r="Y1779" s="59"/>
      <c r="Z1779" s="59"/>
      <c r="AA1779" s="59"/>
      <c r="AB1779" s="59"/>
      <c r="AC1779" s="59"/>
      <c r="AD1779" s="59"/>
      <c r="AE1779" s="59"/>
      <c r="AF1779" s="59"/>
      <c r="AG1779" s="59"/>
      <c r="AH1779" s="59"/>
      <c r="AI1779" s="59"/>
      <c r="AJ1779" s="59"/>
      <c r="AK1779" s="59"/>
      <c r="AL1779" s="59"/>
      <c r="AM1779" s="59"/>
      <c r="AN1779" s="59"/>
      <c r="AO1779" s="59"/>
      <c r="AP1779" s="59"/>
      <c r="AQ1779" s="59"/>
      <c r="AR1779" s="59"/>
      <c r="AS1779" s="59"/>
      <c r="AT1779" s="59"/>
      <c r="AU1779" s="59"/>
      <c r="AV1779" s="59"/>
      <c r="AW1779" s="59"/>
      <c r="AX1779" s="59"/>
      <c r="AY1779" s="59"/>
      <c r="AZ1779" s="59"/>
      <c r="BA1779" s="59"/>
      <c r="BB1779" s="59"/>
      <c r="BC1779" s="59"/>
      <c r="BD1779" s="59"/>
      <c r="BE1779" s="59"/>
      <c r="BF1779" s="59"/>
      <c r="BG1779" s="59"/>
      <c r="BH1779" s="59"/>
      <c r="BI1779" s="59"/>
      <c r="BJ1779" s="59"/>
      <c r="BK1779" s="59"/>
      <c r="BL1779" s="59"/>
      <c r="BM1779" s="59"/>
      <c r="BN1779" s="59"/>
      <c r="BO1779" s="59"/>
      <c r="BP1779" s="59"/>
      <c r="BQ1779" s="59"/>
      <c r="BR1779" s="59"/>
      <c r="BS1779" s="59"/>
      <c r="BT1779" s="59"/>
      <c r="BU1779" s="59"/>
      <c r="BV1779" s="59"/>
      <c r="BW1779" s="59"/>
      <c r="BX1779" s="59"/>
      <c r="BY1779" s="59"/>
      <c r="BZ1779" s="59"/>
      <c r="CA1779" s="59"/>
      <c r="CB1779" s="59"/>
      <c r="CC1779" s="59"/>
      <c r="CD1779" s="59"/>
      <c r="CE1779" s="59"/>
      <c r="CF1779" s="59"/>
      <c r="CG1779" s="59"/>
      <c r="CH1779" s="59"/>
      <c r="CI1779" s="59"/>
      <c r="CJ1779" s="59"/>
      <c r="CK1779" s="59"/>
      <c r="CL1779" s="59"/>
      <c r="CM1779" s="59"/>
      <c r="CN1779" s="59"/>
      <c r="CO1779" s="59"/>
      <c r="CP1779" s="59"/>
      <c r="CQ1779" s="59"/>
      <c r="CR1779" s="59"/>
      <c r="CS1779" s="59"/>
      <c r="CT1779" s="59"/>
      <c r="CU1779" s="59"/>
      <c r="CV1779" s="59"/>
      <c r="CW1779" s="59"/>
      <c r="CX1779" s="59"/>
      <c r="CY1779" s="59"/>
      <c r="CZ1779" s="59"/>
      <c r="DA1779" s="59"/>
      <c r="DB1779" s="59"/>
      <c r="DC1779" s="59"/>
      <c r="DD1779" s="59"/>
      <c r="DE1779" s="59"/>
      <c r="DF1779" s="59"/>
      <c r="DG1779" s="59"/>
      <c r="DH1779" s="59"/>
      <c r="DI1779" s="59"/>
      <c r="DJ1779" s="59"/>
      <c r="DK1779" s="59"/>
      <c r="DL1779" s="59"/>
      <c r="DM1779" s="59"/>
      <c r="DN1779" s="59"/>
      <c r="DO1779" s="59"/>
      <c r="DP1779" s="59"/>
      <c r="DQ1779" s="59"/>
      <c r="DR1779" s="59"/>
      <c r="DS1779" s="59"/>
      <c r="DT1779" s="59"/>
      <c r="DU1779" s="59"/>
      <c r="DV1779" s="59"/>
    </row>
    <row r="1780" spans="1:126" ht="31.2" x14ac:dyDescent="0.3">
      <c r="A1780" s="5"/>
      <c r="B1780" s="11" t="s">
        <v>400</v>
      </c>
      <c r="C1780" s="5"/>
      <c r="D1780" s="5" t="s">
        <v>14</v>
      </c>
      <c r="E1780" s="15">
        <f>112</f>
        <v>112</v>
      </c>
      <c r="F1780" s="15"/>
      <c r="G1780" s="15"/>
    </row>
    <row r="1781" spans="1:126" ht="31.2" x14ac:dyDescent="0.3">
      <c r="A1781" s="5"/>
      <c r="B1781" s="11" t="s">
        <v>401</v>
      </c>
      <c r="C1781" s="5"/>
      <c r="D1781" s="5" t="s">
        <v>14</v>
      </c>
      <c r="E1781" s="15">
        <f>112</f>
        <v>112</v>
      </c>
      <c r="F1781" s="15"/>
      <c r="G1781" s="15"/>
    </row>
    <row r="1782" spans="1:126" s="3" customFormat="1" x14ac:dyDescent="0.3">
      <c r="A1782" s="21"/>
      <c r="B1782" s="21" t="s">
        <v>422</v>
      </c>
      <c r="C1782" s="21"/>
      <c r="D1782" s="21" t="s">
        <v>69</v>
      </c>
      <c r="E1782" s="22">
        <f>6133.31</f>
        <v>6133.31</v>
      </c>
      <c r="F1782" s="22"/>
      <c r="G1782" s="22"/>
      <c r="H1782" s="59"/>
      <c r="I1782" s="59"/>
      <c r="J1782" s="59"/>
      <c r="K1782" s="59"/>
      <c r="L1782" s="59"/>
      <c r="M1782" s="59"/>
      <c r="N1782" s="59"/>
      <c r="O1782" s="59"/>
      <c r="P1782" s="59"/>
      <c r="Q1782" s="59"/>
      <c r="R1782" s="59"/>
      <c r="S1782" s="59"/>
      <c r="T1782" s="59"/>
      <c r="U1782" s="59"/>
      <c r="V1782" s="59"/>
      <c r="W1782" s="59"/>
      <c r="X1782" s="59"/>
      <c r="Y1782" s="59"/>
      <c r="Z1782" s="59"/>
      <c r="AA1782" s="59"/>
      <c r="AB1782" s="59"/>
      <c r="AC1782" s="59"/>
      <c r="AD1782" s="59"/>
      <c r="AE1782" s="59"/>
      <c r="AF1782" s="59"/>
      <c r="AG1782" s="59"/>
      <c r="AH1782" s="59"/>
      <c r="AI1782" s="59"/>
      <c r="AJ1782" s="59"/>
      <c r="AK1782" s="59"/>
      <c r="AL1782" s="59"/>
      <c r="AM1782" s="59"/>
      <c r="AN1782" s="59"/>
      <c r="AO1782" s="59"/>
      <c r="AP1782" s="59"/>
      <c r="AQ1782" s="59"/>
      <c r="AR1782" s="59"/>
      <c r="AS1782" s="59"/>
      <c r="AT1782" s="59"/>
      <c r="AU1782" s="59"/>
      <c r="AV1782" s="59"/>
      <c r="AW1782" s="59"/>
      <c r="AX1782" s="59"/>
      <c r="AY1782" s="59"/>
      <c r="AZ1782" s="59"/>
      <c r="BA1782" s="59"/>
      <c r="BB1782" s="59"/>
      <c r="BC1782" s="59"/>
      <c r="BD1782" s="59"/>
      <c r="BE1782" s="59"/>
      <c r="BF1782" s="59"/>
      <c r="BG1782" s="59"/>
      <c r="BH1782" s="59"/>
      <c r="BI1782" s="59"/>
      <c r="BJ1782" s="59"/>
      <c r="BK1782" s="59"/>
      <c r="BL1782" s="59"/>
      <c r="BM1782" s="59"/>
      <c r="BN1782" s="59"/>
      <c r="BO1782" s="59"/>
      <c r="BP1782" s="59"/>
      <c r="BQ1782" s="59"/>
      <c r="BR1782" s="59"/>
      <c r="BS1782" s="59"/>
      <c r="BT1782" s="59"/>
      <c r="BU1782" s="59"/>
      <c r="BV1782" s="59"/>
      <c r="BW1782" s="59"/>
      <c r="BX1782" s="59"/>
      <c r="BY1782" s="59"/>
      <c r="BZ1782" s="59"/>
      <c r="CA1782" s="59"/>
      <c r="CB1782" s="59"/>
      <c r="CC1782" s="59"/>
      <c r="CD1782" s="59"/>
      <c r="CE1782" s="59"/>
      <c r="CF1782" s="59"/>
      <c r="CG1782" s="59"/>
      <c r="CH1782" s="59"/>
      <c r="CI1782" s="59"/>
      <c r="CJ1782" s="59"/>
      <c r="CK1782" s="59"/>
      <c r="CL1782" s="59"/>
      <c r="CM1782" s="59"/>
      <c r="CN1782" s="59"/>
      <c r="CO1782" s="59"/>
      <c r="CP1782" s="59"/>
      <c r="CQ1782" s="59"/>
      <c r="CR1782" s="59"/>
      <c r="CS1782" s="59"/>
      <c r="CT1782" s="59"/>
      <c r="CU1782" s="59"/>
      <c r="CV1782" s="59"/>
      <c r="CW1782" s="59"/>
      <c r="CX1782" s="59"/>
      <c r="CY1782" s="59"/>
      <c r="CZ1782" s="59"/>
      <c r="DA1782" s="59"/>
      <c r="DB1782" s="59"/>
      <c r="DC1782" s="59"/>
      <c r="DD1782" s="59"/>
      <c r="DE1782" s="59"/>
      <c r="DF1782" s="59"/>
      <c r="DG1782" s="59"/>
      <c r="DH1782" s="59"/>
      <c r="DI1782" s="59"/>
      <c r="DJ1782" s="59"/>
      <c r="DK1782" s="59"/>
      <c r="DL1782" s="59"/>
      <c r="DM1782" s="59"/>
      <c r="DN1782" s="59"/>
      <c r="DO1782" s="59"/>
      <c r="DP1782" s="59"/>
      <c r="DQ1782" s="59"/>
      <c r="DR1782" s="59"/>
      <c r="DS1782" s="59"/>
      <c r="DT1782" s="59"/>
      <c r="DU1782" s="59"/>
      <c r="DV1782" s="59"/>
    </row>
    <row r="1783" spans="1:126" x14ac:dyDescent="0.3">
      <c r="A1783" s="5"/>
      <c r="B1783" s="5" t="s">
        <v>567</v>
      </c>
      <c r="C1783" s="5"/>
      <c r="D1783" s="5" t="s">
        <v>72</v>
      </c>
      <c r="E1783" s="15">
        <v>2023.9923000000001</v>
      </c>
      <c r="F1783" s="15"/>
      <c r="G1783" s="15"/>
    </row>
    <row r="1784" spans="1:126" x14ac:dyDescent="0.3">
      <c r="A1784" s="5"/>
      <c r="B1784" s="5" t="s">
        <v>568</v>
      </c>
      <c r="C1784" s="5"/>
      <c r="D1784" s="5" t="s">
        <v>72</v>
      </c>
      <c r="E1784" s="15">
        <v>16559.937000000002</v>
      </c>
      <c r="F1784" s="15"/>
      <c r="G1784" s="15"/>
    </row>
    <row r="1785" spans="1:126" x14ac:dyDescent="0.3">
      <c r="A1785" s="5"/>
      <c r="B1785" s="5" t="s">
        <v>569</v>
      </c>
      <c r="C1785" s="5"/>
      <c r="D1785" s="5" t="s">
        <v>72</v>
      </c>
      <c r="E1785" s="15">
        <v>1839.9930000000002</v>
      </c>
      <c r="F1785" s="15"/>
      <c r="G1785" s="15"/>
    </row>
    <row r="1786" spans="1:126" x14ac:dyDescent="0.3">
      <c r="A1786" s="5"/>
      <c r="B1786" s="5" t="s">
        <v>566</v>
      </c>
      <c r="C1786" s="5"/>
      <c r="D1786" s="5" t="s">
        <v>72</v>
      </c>
      <c r="E1786" s="15">
        <v>6133.31</v>
      </c>
      <c r="F1786" s="15"/>
      <c r="G1786" s="15"/>
    </row>
    <row r="1787" spans="1:126" x14ac:dyDescent="0.3">
      <c r="A1787" s="5"/>
      <c r="B1787" s="5" t="s">
        <v>70</v>
      </c>
      <c r="C1787" s="5"/>
      <c r="D1787" s="5" t="s">
        <v>72</v>
      </c>
      <c r="E1787" s="15">
        <v>6133.31</v>
      </c>
      <c r="F1787" s="15"/>
      <c r="G1787" s="15"/>
    </row>
    <row r="1788" spans="1:126" s="3" customFormat="1" x14ac:dyDescent="0.3">
      <c r="A1788" s="21"/>
      <c r="B1788" s="21" t="s">
        <v>423</v>
      </c>
      <c r="C1788" s="21"/>
      <c r="D1788" s="21"/>
      <c r="E1788" s="22"/>
      <c r="F1788" s="22"/>
      <c r="G1788" s="22"/>
      <c r="H1788" s="59"/>
      <c r="I1788" s="59"/>
      <c r="J1788" s="59"/>
      <c r="K1788" s="59"/>
      <c r="L1788" s="59"/>
      <c r="M1788" s="59"/>
      <c r="N1788" s="59"/>
      <c r="O1788" s="59"/>
      <c r="P1788" s="59"/>
      <c r="Q1788" s="59"/>
      <c r="R1788" s="59"/>
      <c r="S1788" s="59"/>
      <c r="T1788" s="59"/>
      <c r="U1788" s="59"/>
      <c r="V1788" s="59"/>
      <c r="W1788" s="59"/>
      <c r="X1788" s="59"/>
      <c r="Y1788" s="59"/>
      <c r="Z1788" s="59"/>
      <c r="AA1788" s="59"/>
      <c r="AB1788" s="59"/>
      <c r="AC1788" s="59"/>
      <c r="AD1788" s="59"/>
      <c r="AE1788" s="59"/>
      <c r="AF1788" s="59"/>
      <c r="AG1788" s="59"/>
      <c r="AH1788" s="59"/>
      <c r="AI1788" s="59"/>
      <c r="AJ1788" s="59"/>
      <c r="AK1788" s="59"/>
      <c r="AL1788" s="59"/>
      <c r="AM1788" s="59"/>
      <c r="AN1788" s="59"/>
      <c r="AO1788" s="59"/>
      <c r="AP1788" s="59"/>
      <c r="AQ1788" s="59"/>
      <c r="AR1788" s="59"/>
      <c r="AS1788" s="59"/>
      <c r="AT1788" s="59"/>
      <c r="AU1788" s="59"/>
      <c r="AV1788" s="59"/>
      <c r="AW1788" s="59"/>
      <c r="AX1788" s="59"/>
      <c r="AY1788" s="59"/>
      <c r="AZ1788" s="59"/>
      <c r="BA1788" s="59"/>
      <c r="BB1788" s="59"/>
      <c r="BC1788" s="59"/>
      <c r="BD1788" s="59"/>
      <c r="BE1788" s="59"/>
      <c r="BF1788" s="59"/>
      <c r="BG1788" s="59"/>
      <c r="BH1788" s="59"/>
      <c r="BI1788" s="59"/>
      <c r="BJ1788" s="59"/>
      <c r="BK1788" s="59"/>
      <c r="BL1788" s="59"/>
      <c r="BM1788" s="59"/>
      <c r="BN1788" s="59"/>
      <c r="BO1788" s="59"/>
      <c r="BP1788" s="59"/>
      <c r="BQ1788" s="59"/>
      <c r="BR1788" s="59"/>
      <c r="BS1788" s="59"/>
      <c r="BT1788" s="59"/>
      <c r="BU1788" s="59"/>
      <c r="BV1788" s="59"/>
      <c r="BW1788" s="59"/>
      <c r="BX1788" s="59"/>
      <c r="BY1788" s="59"/>
      <c r="BZ1788" s="59"/>
      <c r="CA1788" s="59"/>
      <c r="CB1788" s="59"/>
      <c r="CC1788" s="59"/>
      <c r="CD1788" s="59"/>
      <c r="CE1788" s="59"/>
      <c r="CF1788" s="59"/>
      <c r="CG1788" s="59"/>
      <c r="CH1788" s="59"/>
      <c r="CI1788" s="59"/>
      <c r="CJ1788" s="59"/>
      <c r="CK1788" s="59"/>
      <c r="CL1788" s="59"/>
      <c r="CM1788" s="59"/>
      <c r="CN1788" s="59"/>
      <c r="CO1788" s="59"/>
      <c r="CP1788" s="59"/>
      <c r="CQ1788" s="59"/>
      <c r="CR1788" s="59"/>
      <c r="CS1788" s="59"/>
      <c r="CT1788" s="59"/>
      <c r="CU1788" s="59"/>
      <c r="CV1788" s="59"/>
      <c r="CW1788" s="59"/>
      <c r="CX1788" s="59"/>
      <c r="CY1788" s="59"/>
      <c r="CZ1788" s="59"/>
      <c r="DA1788" s="59"/>
      <c r="DB1788" s="59"/>
      <c r="DC1788" s="59"/>
      <c r="DD1788" s="59"/>
      <c r="DE1788" s="59"/>
      <c r="DF1788" s="59"/>
      <c r="DG1788" s="59"/>
      <c r="DH1788" s="59"/>
      <c r="DI1788" s="59"/>
      <c r="DJ1788" s="59"/>
      <c r="DK1788" s="59"/>
      <c r="DL1788" s="59"/>
      <c r="DM1788" s="59"/>
      <c r="DN1788" s="59"/>
      <c r="DO1788" s="59"/>
      <c r="DP1788" s="59"/>
      <c r="DQ1788" s="59"/>
      <c r="DR1788" s="59"/>
      <c r="DS1788" s="59"/>
      <c r="DT1788" s="59"/>
      <c r="DU1788" s="59"/>
      <c r="DV1788" s="59"/>
    </row>
    <row r="1789" spans="1:126" x14ac:dyDescent="0.3">
      <c r="A1789" s="5"/>
      <c r="B1789" s="5" t="s">
        <v>81</v>
      </c>
      <c r="C1789" s="5"/>
      <c r="D1789" s="5" t="s">
        <v>10</v>
      </c>
      <c r="E1789" s="15">
        <f>1.36</f>
        <v>1.36</v>
      </c>
      <c r="F1789" s="15"/>
      <c r="G1789" s="15"/>
    </row>
    <row r="1790" spans="1:126" s="3" customFormat="1" x14ac:dyDescent="0.3">
      <c r="A1790" s="21"/>
      <c r="B1790" s="21" t="s">
        <v>424</v>
      </c>
      <c r="C1790" s="21"/>
      <c r="D1790" s="21"/>
      <c r="E1790" s="22"/>
      <c r="F1790" s="22"/>
      <c r="G1790" s="22"/>
      <c r="H1790" s="59"/>
      <c r="I1790" s="59"/>
      <c r="J1790" s="59"/>
      <c r="K1790" s="59"/>
      <c r="L1790" s="59"/>
      <c r="M1790" s="59"/>
      <c r="N1790" s="59"/>
      <c r="O1790" s="59"/>
      <c r="P1790" s="59"/>
      <c r="Q1790" s="59"/>
      <c r="R1790" s="59"/>
      <c r="S1790" s="59"/>
      <c r="T1790" s="59"/>
      <c r="U1790" s="59"/>
      <c r="V1790" s="59"/>
      <c r="W1790" s="59"/>
      <c r="X1790" s="59"/>
      <c r="Y1790" s="59"/>
      <c r="Z1790" s="59"/>
      <c r="AA1790" s="59"/>
      <c r="AB1790" s="59"/>
      <c r="AC1790" s="59"/>
      <c r="AD1790" s="59"/>
      <c r="AE1790" s="59"/>
      <c r="AF1790" s="59"/>
      <c r="AG1790" s="59"/>
      <c r="AH1790" s="59"/>
      <c r="AI1790" s="59"/>
      <c r="AJ1790" s="59"/>
      <c r="AK1790" s="59"/>
      <c r="AL1790" s="59"/>
      <c r="AM1790" s="59"/>
      <c r="AN1790" s="59"/>
      <c r="AO1790" s="59"/>
      <c r="AP1790" s="59"/>
      <c r="AQ1790" s="59"/>
      <c r="AR1790" s="59"/>
      <c r="AS1790" s="59"/>
      <c r="AT1790" s="59"/>
      <c r="AU1790" s="59"/>
      <c r="AV1790" s="59"/>
      <c r="AW1790" s="59"/>
      <c r="AX1790" s="59"/>
      <c r="AY1790" s="59"/>
      <c r="AZ1790" s="59"/>
      <c r="BA1790" s="59"/>
      <c r="BB1790" s="59"/>
      <c r="BC1790" s="59"/>
      <c r="BD1790" s="59"/>
      <c r="BE1790" s="59"/>
      <c r="BF1790" s="59"/>
      <c r="BG1790" s="59"/>
      <c r="BH1790" s="59"/>
      <c r="BI1790" s="59"/>
      <c r="BJ1790" s="59"/>
      <c r="BK1790" s="59"/>
      <c r="BL1790" s="59"/>
      <c r="BM1790" s="59"/>
      <c r="BN1790" s="59"/>
      <c r="BO1790" s="59"/>
      <c r="BP1790" s="59"/>
      <c r="BQ1790" s="59"/>
      <c r="BR1790" s="59"/>
      <c r="BS1790" s="59"/>
      <c r="BT1790" s="59"/>
      <c r="BU1790" s="59"/>
      <c r="BV1790" s="59"/>
      <c r="BW1790" s="59"/>
      <c r="BX1790" s="59"/>
      <c r="BY1790" s="59"/>
      <c r="BZ1790" s="59"/>
      <c r="CA1790" s="59"/>
      <c r="CB1790" s="59"/>
      <c r="CC1790" s="59"/>
      <c r="CD1790" s="59"/>
      <c r="CE1790" s="59"/>
      <c r="CF1790" s="59"/>
      <c r="CG1790" s="59"/>
      <c r="CH1790" s="59"/>
      <c r="CI1790" s="59"/>
      <c r="CJ1790" s="59"/>
      <c r="CK1790" s="59"/>
      <c r="CL1790" s="59"/>
      <c r="CM1790" s="59"/>
      <c r="CN1790" s="59"/>
      <c r="CO1790" s="59"/>
      <c r="CP1790" s="59"/>
      <c r="CQ1790" s="59"/>
      <c r="CR1790" s="59"/>
      <c r="CS1790" s="59"/>
      <c r="CT1790" s="59"/>
      <c r="CU1790" s="59"/>
      <c r="CV1790" s="59"/>
      <c r="CW1790" s="59"/>
      <c r="CX1790" s="59"/>
      <c r="CY1790" s="59"/>
      <c r="CZ1790" s="59"/>
      <c r="DA1790" s="59"/>
      <c r="DB1790" s="59"/>
      <c r="DC1790" s="59"/>
      <c r="DD1790" s="59"/>
      <c r="DE1790" s="59"/>
      <c r="DF1790" s="59"/>
      <c r="DG1790" s="59"/>
      <c r="DH1790" s="59"/>
      <c r="DI1790" s="59"/>
      <c r="DJ1790" s="59"/>
      <c r="DK1790" s="59"/>
      <c r="DL1790" s="59"/>
      <c r="DM1790" s="59"/>
      <c r="DN1790" s="59"/>
      <c r="DO1790" s="59"/>
      <c r="DP1790" s="59"/>
      <c r="DQ1790" s="59"/>
      <c r="DR1790" s="59"/>
      <c r="DS1790" s="59"/>
      <c r="DT1790" s="59"/>
      <c r="DU1790" s="59"/>
      <c r="DV1790" s="59"/>
    </row>
    <row r="1791" spans="1:126" x14ac:dyDescent="0.3">
      <c r="A1791" s="5"/>
      <c r="B1791" s="5" t="s">
        <v>80</v>
      </c>
      <c r="C1791" s="5"/>
      <c r="D1791" s="5" t="s">
        <v>10</v>
      </c>
      <c r="E1791" s="15">
        <f>1.18</f>
        <v>1.18</v>
      </c>
      <c r="F1791" s="15"/>
      <c r="G1791" s="15"/>
    </row>
    <row r="1792" spans="1:126" s="3" customFormat="1" x14ac:dyDescent="0.3">
      <c r="A1792" s="21"/>
      <c r="B1792" s="21" t="s">
        <v>425</v>
      </c>
      <c r="C1792" s="21"/>
      <c r="D1792" s="21"/>
      <c r="E1792" s="22"/>
      <c r="F1792" s="22"/>
      <c r="G1792" s="22"/>
      <c r="H1792" s="59"/>
      <c r="I1792" s="59"/>
      <c r="J1792" s="59"/>
      <c r="K1792" s="59"/>
      <c r="L1792" s="59"/>
      <c r="M1792" s="59"/>
      <c r="N1792" s="59"/>
      <c r="O1792" s="59"/>
      <c r="P1792" s="59"/>
      <c r="Q1792" s="59"/>
      <c r="R1792" s="59"/>
      <c r="S1792" s="59"/>
      <c r="T1792" s="59"/>
      <c r="U1792" s="59"/>
      <c r="V1792" s="59"/>
      <c r="W1792" s="59"/>
      <c r="X1792" s="59"/>
      <c r="Y1792" s="59"/>
      <c r="Z1792" s="59"/>
      <c r="AA1792" s="59"/>
      <c r="AB1792" s="59"/>
      <c r="AC1792" s="59"/>
      <c r="AD1792" s="59"/>
      <c r="AE1792" s="59"/>
      <c r="AF1792" s="59"/>
      <c r="AG1792" s="59"/>
      <c r="AH1792" s="59"/>
      <c r="AI1792" s="59"/>
      <c r="AJ1792" s="59"/>
      <c r="AK1792" s="59"/>
      <c r="AL1792" s="59"/>
      <c r="AM1792" s="59"/>
      <c r="AN1792" s="59"/>
      <c r="AO1792" s="59"/>
      <c r="AP1792" s="59"/>
      <c r="AQ1792" s="59"/>
      <c r="AR1792" s="59"/>
      <c r="AS1792" s="59"/>
      <c r="AT1792" s="59"/>
      <c r="AU1792" s="59"/>
      <c r="AV1792" s="59"/>
      <c r="AW1792" s="59"/>
      <c r="AX1792" s="59"/>
      <c r="AY1792" s="59"/>
      <c r="AZ1792" s="59"/>
      <c r="BA1792" s="59"/>
      <c r="BB1792" s="59"/>
      <c r="BC1792" s="59"/>
      <c r="BD1792" s="59"/>
      <c r="BE1792" s="59"/>
      <c r="BF1792" s="59"/>
      <c r="BG1792" s="59"/>
      <c r="BH1792" s="59"/>
      <c r="BI1792" s="59"/>
      <c r="BJ1792" s="59"/>
      <c r="BK1792" s="59"/>
      <c r="BL1792" s="59"/>
      <c r="BM1792" s="59"/>
      <c r="BN1792" s="59"/>
      <c r="BO1792" s="59"/>
      <c r="BP1792" s="59"/>
      <c r="BQ1792" s="59"/>
      <c r="BR1792" s="59"/>
      <c r="BS1792" s="59"/>
      <c r="BT1792" s="59"/>
      <c r="BU1792" s="59"/>
      <c r="BV1792" s="59"/>
      <c r="BW1792" s="59"/>
      <c r="BX1792" s="59"/>
      <c r="BY1792" s="59"/>
      <c r="BZ1792" s="59"/>
      <c r="CA1792" s="59"/>
      <c r="CB1792" s="59"/>
      <c r="CC1792" s="59"/>
      <c r="CD1792" s="59"/>
      <c r="CE1792" s="59"/>
      <c r="CF1792" s="59"/>
      <c r="CG1792" s="59"/>
      <c r="CH1792" s="59"/>
      <c r="CI1792" s="59"/>
      <c r="CJ1792" s="59"/>
      <c r="CK1792" s="59"/>
      <c r="CL1792" s="59"/>
      <c r="CM1792" s="59"/>
      <c r="CN1792" s="59"/>
      <c r="CO1792" s="59"/>
      <c r="CP1792" s="59"/>
      <c r="CQ1792" s="59"/>
      <c r="CR1792" s="59"/>
      <c r="CS1792" s="59"/>
      <c r="CT1792" s="59"/>
      <c r="CU1792" s="59"/>
      <c r="CV1792" s="59"/>
      <c r="CW1792" s="59"/>
      <c r="CX1792" s="59"/>
      <c r="CY1792" s="59"/>
      <c r="CZ1792" s="59"/>
      <c r="DA1792" s="59"/>
      <c r="DB1792" s="59"/>
      <c r="DC1792" s="59"/>
      <c r="DD1792" s="59"/>
      <c r="DE1792" s="59"/>
      <c r="DF1792" s="59"/>
      <c r="DG1792" s="59"/>
      <c r="DH1792" s="59"/>
      <c r="DI1792" s="59"/>
      <c r="DJ1792" s="59"/>
      <c r="DK1792" s="59"/>
      <c r="DL1792" s="59"/>
      <c r="DM1792" s="59"/>
      <c r="DN1792" s="59"/>
      <c r="DO1792" s="59"/>
      <c r="DP1792" s="59"/>
      <c r="DQ1792" s="59"/>
      <c r="DR1792" s="59"/>
      <c r="DS1792" s="59"/>
      <c r="DT1792" s="59"/>
      <c r="DU1792" s="59"/>
      <c r="DV1792" s="59"/>
    </row>
    <row r="1793" spans="1:126" ht="31.2" x14ac:dyDescent="0.3">
      <c r="A1793" s="5"/>
      <c r="B1793" s="11" t="s">
        <v>404</v>
      </c>
      <c r="C1793" s="5"/>
      <c r="D1793" s="5" t="s">
        <v>8</v>
      </c>
      <c r="E1793" s="15">
        <f>0.767</f>
        <v>0.76700000000000002</v>
      </c>
      <c r="F1793" s="15"/>
      <c r="G1793" s="15"/>
    </row>
    <row r="1794" spans="1:126" x14ac:dyDescent="0.3">
      <c r="A1794" s="5"/>
      <c r="B1794" s="5" t="s">
        <v>405</v>
      </c>
      <c r="C1794" s="5"/>
      <c r="D1794" s="5" t="s">
        <v>14</v>
      </c>
      <c r="E1794" s="15">
        <f>52</f>
        <v>52</v>
      </c>
      <c r="F1794" s="15"/>
      <c r="G1794" s="15"/>
    </row>
    <row r="1795" spans="1:126" x14ac:dyDescent="0.3">
      <c r="A1795" s="5"/>
      <c r="B1795" s="5" t="s">
        <v>407</v>
      </c>
      <c r="C1795" s="5"/>
      <c r="D1795" s="5" t="s">
        <v>14</v>
      </c>
      <c r="E1795" s="15">
        <f>208</f>
        <v>208</v>
      </c>
      <c r="F1795" s="15"/>
      <c r="G1795" s="15"/>
    </row>
    <row r="1796" spans="1:126" x14ac:dyDescent="0.3">
      <c r="A1796" s="5"/>
      <c r="B1796" s="5" t="s">
        <v>406</v>
      </c>
      <c r="C1796" s="5"/>
      <c r="D1796" s="5" t="s">
        <v>14</v>
      </c>
      <c r="E1796" s="15">
        <f>104</f>
        <v>104</v>
      </c>
      <c r="F1796" s="15"/>
      <c r="G1796" s="15"/>
    </row>
    <row r="1797" spans="1:126" s="25" customFormat="1" x14ac:dyDescent="0.3">
      <c r="A1797" s="23"/>
      <c r="B1797" s="23" t="s">
        <v>426</v>
      </c>
      <c r="C1797" s="23" t="s">
        <v>339</v>
      </c>
      <c r="D1797" s="23"/>
      <c r="E1797" s="24"/>
      <c r="F1797" s="24"/>
      <c r="G1797" s="24"/>
      <c r="H1797" s="59"/>
      <c r="I1797" s="59"/>
      <c r="J1797" s="59"/>
      <c r="K1797" s="59"/>
      <c r="L1797" s="59"/>
      <c r="M1797" s="59"/>
      <c r="N1797" s="59"/>
      <c r="O1797" s="59"/>
      <c r="P1797" s="59"/>
      <c r="Q1797" s="59"/>
      <c r="R1797" s="59"/>
      <c r="S1797" s="59"/>
      <c r="T1797" s="59"/>
      <c r="U1797" s="59"/>
      <c r="V1797" s="59"/>
      <c r="W1797" s="59"/>
      <c r="X1797" s="59"/>
      <c r="Y1797" s="59"/>
      <c r="Z1797" s="59"/>
      <c r="AA1797" s="59"/>
      <c r="AB1797" s="59"/>
      <c r="AC1797" s="59"/>
      <c r="AD1797" s="59"/>
      <c r="AE1797" s="59"/>
      <c r="AF1797" s="59"/>
      <c r="AG1797" s="59"/>
      <c r="AH1797" s="59"/>
      <c r="AI1797" s="59"/>
      <c r="AJ1797" s="59"/>
      <c r="AK1797" s="59"/>
      <c r="AL1797" s="59"/>
      <c r="AM1797" s="59"/>
      <c r="AN1797" s="59"/>
      <c r="AO1797" s="59"/>
      <c r="AP1797" s="59"/>
      <c r="AQ1797" s="59"/>
      <c r="AR1797" s="59"/>
      <c r="AS1797" s="59"/>
      <c r="AT1797" s="59"/>
      <c r="AU1797" s="59"/>
      <c r="AV1797" s="59"/>
      <c r="AW1797" s="59"/>
      <c r="AX1797" s="59"/>
      <c r="AY1797" s="59"/>
      <c r="AZ1797" s="59"/>
      <c r="BA1797" s="59"/>
      <c r="BB1797" s="59"/>
      <c r="BC1797" s="59"/>
      <c r="BD1797" s="59"/>
      <c r="BE1797" s="59"/>
      <c r="BF1797" s="59"/>
      <c r="BG1797" s="59"/>
      <c r="BH1797" s="59"/>
      <c r="BI1797" s="59"/>
      <c r="BJ1797" s="59"/>
      <c r="BK1797" s="59"/>
      <c r="BL1797" s="59"/>
      <c r="BM1797" s="59"/>
      <c r="BN1797" s="59"/>
      <c r="BO1797" s="59"/>
      <c r="BP1797" s="59"/>
      <c r="BQ1797" s="59"/>
      <c r="BR1797" s="59"/>
      <c r="BS1797" s="59"/>
      <c r="BT1797" s="59"/>
      <c r="BU1797" s="59"/>
      <c r="BV1797" s="59"/>
      <c r="BW1797" s="59"/>
      <c r="BX1797" s="59"/>
      <c r="BY1797" s="59"/>
      <c r="BZ1797" s="59"/>
      <c r="CA1797" s="59"/>
      <c r="CB1797" s="59"/>
      <c r="CC1797" s="59"/>
      <c r="CD1797" s="59"/>
      <c r="CE1797" s="59"/>
      <c r="CF1797" s="59"/>
      <c r="CG1797" s="59"/>
      <c r="CH1797" s="59"/>
      <c r="CI1797" s="59"/>
      <c r="CJ1797" s="59"/>
      <c r="CK1797" s="59"/>
      <c r="CL1797" s="59"/>
      <c r="CM1797" s="59"/>
      <c r="CN1797" s="59"/>
      <c r="CO1797" s="59"/>
      <c r="CP1797" s="59"/>
      <c r="CQ1797" s="59"/>
      <c r="CR1797" s="59"/>
      <c r="CS1797" s="59"/>
      <c r="CT1797" s="59"/>
      <c r="CU1797" s="59"/>
      <c r="CV1797" s="59"/>
      <c r="CW1797" s="59"/>
      <c r="CX1797" s="59"/>
      <c r="CY1797" s="59"/>
      <c r="CZ1797" s="59"/>
      <c r="DA1797" s="59"/>
      <c r="DB1797" s="59"/>
      <c r="DC1797" s="59"/>
      <c r="DD1797" s="59"/>
      <c r="DE1797" s="59"/>
      <c r="DF1797" s="59"/>
      <c r="DG1797" s="59"/>
      <c r="DH1797" s="59"/>
      <c r="DI1797" s="59"/>
      <c r="DJ1797" s="59"/>
      <c r="DK1797" s="59"/>
      <c r="DL1797" s="59"/>
      <c r="DM1797" s="59"/>
      <c r="DN1797" s="59"/>
      <c r="DO1797" s="59"/>
      <c r="DP1797" s="59"/>
      <c r="DQ1797" s="59"/>
      <c r="DR1797" s="59"/>
      <c r="DS1797" s="59"/>
      <c r="DT1797" s="59"/>
      <c r="DU1797" s="59"/>
      <c r="DV1797" s="59"/>
    </row>
    <row r="1798" spans="1:126" s="3" customFormat="1" x14ac:dyDescent="0.3">
      <c r="A1798" s="21"/>
      <c r="B1798" s="21" t="s">
        <v>427</v>
      </c>
      <c r="C1798" s="21"/>
      <c r="D1798" s="21"/>
      <c r="E1798" s="22"/>
      <c r="F1798" s="22"/>
      <c r="G1798" s="22"/>
      <c r="H1798" s="59"/>
      <c r="I1798" s="59"/>
      <c r="J1798" s="59"/>
      <c r="K1798" s="59"/>
      <c r="L1798" s="59"/>
      <c r="M1798" s="59"/>
      <c r="N1798" s="59"/>
      <c r="O1798" s="59"/>
      <c r="P1798" s="59"/>
      <c r="Q1798" s="59"/>
      <c r="R1798" s="59"/>
      <c r="S1798" s="59"/>
      <c r="T1798" s="59"/>
      <c r="U1798" s="59"/>
      <c r="V1798" s="59"/>
      <c r="W1798" s="59"/>
      <c r="X1798" s="59"/>
      <c r="Y1798" s="59"/>
      <c r="Z1798" s="59"/>
      <c r="AA1798" s="59"/>
      <c r="AB1798" s="59"/>
      <c r="AC1798" s="59"/>
      <c r="AD1798" s="59"/>
      <c r="AE1798" s="59"/>
      <c r="AF1798" s="59"/>
      <c r="AG1798" s="59"/>
      <c r="AH1798" s="59"/>
      <c r="AI1798" s="59"/>
      <c r="AJ1798" s="59"/>
      <c r="AK1798" s="59"/>
      <c r="AL1798" s="59"/>
      <c r="AM1798" s="59"/>
      <c r="AN1798" s="59"/>
      <c r="AO1798" s="59"/>
      <c r="AP1798" s="59"/>
      <c r="AQ1798" s="59"/>
      <c r="AR1798" s="59"/>
      <c r="AS1798" s="59"/>
      <c r="AT1798" s="59"/>
      <c r="AU1798" s="59"/>
      <c r="AV1798" s="59"/>
      <c r="AW1798" s="59"/>
      <c r="AX1798" s="59"/>
      <c r="AY1798" s="59"/>
      <c r="AZ1798" s="59"/>
      <c r="BA1798" s="59"/>
      <c r="BB1798" s="59"/>
      <c r="BC1798" s="59"/>
      <c r="BD1798" s="59"/>
      <c r="BE1798" s="59"/>
      <c r="BF1798" s="59"/>
      <c r="BG1798" s="59"/>
      <c r="BH1798" s="59"/>
      <c r="BI1798" s="59"/>
      <c r="BJ1798" s="59"/>
      <c r="BK1798" s="59"/>
      <c r="BL1798" s="59"/>
      <c r="BM1798" s="59"/>
      <c r="BN1798" s="59"/>
      <c r="BO1798" s="59"/>
      <c r="BP1798" s="59"/>
      <c r="BQ1798" s="59"/>
      <c r="BR1798" s="59"/>
      <c r="BS1798" s="59"/>
      <c r="BT1798" s="59"/>
      <c r="BU1798" s="59"/>
      <c r="BV1798" s="59"/>
      <c r="BW1798" s="59"/>
      <c r="BX1798" s="59"/>
      <c r="BY1798" s="59"/>
      <c r="BZ1798" s="59"/>
      <c r="CA1798" s="59"/>
      <c r="CB1798" s="59"/>
      <c r="CC1798" s="59"/>
      <c r="CD1798" s="59"/>
      <c r="CE1798" s="59"/>
      <c r="CF1798" s="59"/>
      <c r="CG1798" s="59"/>
      <c r="CH1798" s="59"/>
      <c r="CI1798" s="59"/>
      <c r="CJ1798" s="59"/>
      <c r="CK1798" s="59"/>
      <c r="CL1798" s="59"/>
      <c r="CM1798" s="59"/>
      <c r="CN1798" s="59"/>
      <c r="CO1798" s="59"/>
      <c r="CP1798" s="59"/>
      <c r="CQ1798" s="59"/>
      <c r="CR1798" s="59"/>
      <c r="CS1798" s="59"/>
      <c r="CT1798" s="59"/>
      <c r="CU1798" s="59"/>
      <c r="CV1798" s="59"/>
      <c r="CW1798" s="59"/>
      <c r="CX1798" s="59"/>
      <c r="CY1798" s="59"/>
      <c r="CZ1798" s="59"/>
      <c r="DA1798" s="59"/>
      <c r="DB1798" s="59"/>
      <c r="DC1798" s="59"/>
      <c r="DD1798" s="59"/>
      <c r="DE1798" s="59"/>
      <c r="DF1798" s="59"/>
      <c r="DG1798" s="59"/>
      <c r="DH1798" s="59"/>
      <c r="DI1798" s="59"/>
      <c r="DJ1798" s="59"/>
      <c r="DK1798" s="59"/>
      <c r="DL1798" s="59"/>
      <c r="DM1798" s="59"/>
      <c r="DN1798" s="59"/>
      <c r="DO1798" s="59"/>
      <c r="DP1798" s="59"/>
      <c r="DQ1798" s="59"/>
      <c r="DR1798" s="59"/>
      <c r="DS1798" s="59"/>
      <c r="DT1798" s="59"/>
      <c r="DU1798" s="59"/>
      <c r="DV1798" s="59"/>
    </row>
    <row r="1799" spans="1:126" ht="31.2" x14ac:dyDescent="0.3">
      <c r="A1799" s="5"/>
      <c r="B1799" s="11" t="s">
        <v>395</v>
      </c>
      <c r="C1799" s="5"/>
      <c r="D1799" s="5" t="s">
        <v>8</v>
      </c>
      <c r="E1799" s="15">
        <f>17.64</f>
        <v>17.64</v>
      </c>
      <c r="F1799" s="15"/>
      <c r="G1799" s="15"/>
    </row>
    <row r="1800" spans="1:126" x14ac:dyDescent="0.3">
      <c r="A1800" s="5"/>
      <c r="B1800" s="5" t="s">
        <v>215</v>
      </c>
      <c r="C1800" s="5"/>
      <c r="D1800" s="5" t="s">
        <v>10</v>
      </c>
      <c r="E1800" s="15">
        <f>3.7</f>
        <v>3.7</v>
      </c>
      <c r="F1800" s="15"/>
      <c r="G1800" s="15"/>
    </row>
    <row r="1801" spans="1:126" x14ac:dyDescent="0.3">
      <c r="A1801" s="5"/>
      <c r="B1801" s="11" t="s">
        <v>396</v>
      </c>
      <c r="C1801" s="5"/>
      <c r="D1801" s="5" t="s">
        <v>74</v>
      </c>
      <c r="E1801" s="15">
        <f>924</f>
        <v>924</v>
      </c>
      <c r="F1801" s="15"/>
      <c r="G1801" s="15"/>
    </row>
    <row r="1802" spans="1:126" x14ac:dyDescent="0.3">
      <c r="A1802" s="5"/>
      <c r="B1802" s="5" t="s">
        <v>150</v>
      </c>
      <c r="C1802" s="5"/>
      <c r="D1802" s="5" t="s">
        <v>14</v>
      </c>
      <c r="E1802" s="15">
        <f>1852</f>
        <v>1852</v>
      </c>
      <c r="F1802" s="15"/>
      <c r="G1802" s="15"/>
    </row>
    <row r="1803" spans="1:126" x14ac:dyDescent="0.3">
      <c r="A1803" s="5"/>
      <c r="B1803" s="5" t="s">
        <v>151</v>
      </c>
      <c r="C1803" s="5"/>
      <c r="D1803" s="5" t="s">
        <v>14</v>
      </c>
      <c r="E1803" s="15">
        <f>1852</f>
        <v>1852</v>
      </c>
      <c r="F1803" s="15"/>
      <c r="G1803" s="15"/>
    </row>
    <row r="1804" spans="1:126" s="3" customFormat="1" x14ac:dyDescent="0.3">
      <c r="A1804" s="21"/>
      <c r="B1804" s="21" t="s">
        <v>428</v>
      </c>
      <c r="C1804" s="21"/>
      <c r="D1804" s="21"/>
      <c r="E1804" s="22"/>
      <c r="F1804" s="22"/>
      <c r="G1804" s="22"/>
      <c r="H1804" s="59"/>
      <c r="I1804" s="59"/>
      <c r="J1804" s="59"/>
      <c r="K1804" s="59"/>
      <c r="L1804" s="59"/>
      <c r="M1804" s="59"/>
      <c r="N1804" s="59"/>
      <c r="O1804" s="59"/>
      <c r="P1804" s="59"/>
      <c r="Q1804" s="59"/>
      <c r="R1804" s="59"/>
      <c r="S1804" s="59"/>
      <c r="T1804" s="59"/>
      <c r="U1804" s="59"/>
      <c r="V1804" s="59"/>
      <c r="W1804" s="59"/>
      <c r="X1804" s="59"/>
      <c r="Y1804" s="59"/>
      <c r="Z1804" s="59"/>
      <c r="AA1804" s="59"/>
      <c r="AB1804" s="59"/>
      <c r="AC1804" s="59"/>
      <c r="AD1804" s="59"/>
      <c r="AE1804" s="59"/>
      <c r="AF1804" s="59"/>
      <c r="AG1804" s="59"/>
      <c r="AH1804" s="59"/>
      <c r="AI1804" s="59"/>
      <c r="AJ1804" s="59"/>
      <c r="AK1804" s="59"/>
      <c r="AL1804" s="59"/>
      <c r="AM1804" s="59"/>
      <c r="AN1804" s="59"/>
      <c r="AO1804" s="59"/>
      <c r="AP1804" s="59"/>
      <c r="AQ1804" s="59"/>
      <c r="AR1804" s="59"/>
      <c r="AS1804" s="59"/>
      <c r="AT1804" s="59"/>
      <c r="AU1804" s="59"/>
      <c r="AV1804" s="59"/>
      <c r="AW1804" s="59"/>
      <c r="AX1804" s="59"/>
      <c r="AY1804" s="59"/>
      <c r="AZ1804" s="59"/>
      <c r="BA1804" s="59"/>
      <c r="BB1804" s="59"/>
      <c r="BC1804" s="59"/>
      <c r="BD1804" s="59"/>
      <c r="BE1804" s="59"/>
      <c r="BF1804" s="59"/>
      <c r="BG1804" s="59"/>
      <c r="BH1804" s="59"/>
      <c r="BI1804" s="59"/>
      <c r="BJ1804" s="59"/>
      <c r="BK1804" s="59"/>
      <c r="BL1804" s="59"/>
      <c r="BM1804" s="59"/>
      <c r="BN1804" s="59"/>
      <c r="BO1804" s="59"/>
      <c r="BP1804" s="59"/>
      <c r="BQ1804" s="59"/>
      <c r="BR1804" s="59"/>
      <c r="BS1804" s="59"/>
      <c r="BT1804" s="59"/>
      <c r="BU1804" s="59"/>
      <c r="BV1804" s="59"/>
      <c r="BW1804" s="59"/>
      <c r="BX1804" s="59"/>
      <c r="BY1804" s="59"/>
      <c r="BZ1804" s="59"/>
      <c r="CA1804" s="59"/>
      <c r="CB1804" s="59"/>
      <c r="CC1804" s="59"/>
      <c r="CD1804" s="59"/>
      <c r="CE1804" s="59"/>
      <c r="CF1804" s="59"/>
      <c r="CG1804" s="59"/>
      <c r="CH1804" s="59"/>
      <c r="CI1804" s="59"/>
      <c r="CJ1804" s="59"/>
      <c r="CK1804" s="59"/>
      <c r="CL1804" s="59"/>
      <c r="CM1804" s="59"/>
      <c r="CN1804" s="59"/>
      <c r="CO1804" s="59"/>
      <c r="CP1804" s="59"/>
      <c r="CQ1804" s="59"/>
      <c r="CR1804" s="59"/>
      <c r="CS1804" s="59"/>
      <c r="CT1804" s="59"/>
      <c r="CU1804" s="59"/>
      <c r="CV1804" s="59"/>
      <c r="CW1804" s="59"/>
      <c r="CX1804" s="59"/>
      <c r="CY1804" s="59"/>
      <c r="CZ1804" s="59"/>
      <c r="DA1804" s="59"/>
      <c r="DB1804" s="59"/>
      <c r="DC1804" s="59"/>
      <c r="DD1804" s="59"/>
      <c r="DE1804" s="59"/>
      <c r="DF1804" s="59"/>
      <c r="DG1804" s="59"/>
      <c r="DH1804" s="59"/>
      <c r="DI1804" s="59"/>
      <c r="DJ1804" s="59"/>
      <c r="DK1804" s="59"/>
      <c r="DL1804" s="59"/>
      <c r="DM1804" s="59"/>
      <c r="DN1804" s="59"/>
      <c r="DO1804" s="59"/>
      <c r="DP1804" s="59"/>
      <c r="DQ1804" s="59"/>
      <c r="DR1804" s="59"/>
      <c r="DS1804" s="59"/>
      <c r="DT1804" s="59"/>
      <c r="DU1804" s="59"/>
      <c r="DV1804" s="59"/>
    </row>
    <row r="1805" spans="1:126" x14ac:dyDescent="0.3">
      <c r="A1805" s="5"/>
      <c r="B1805" s="5" t="s">
        <v>255</v>
      </c>
      <c r="C1805" s="5"/>
      <c r="D1805" s="5" t="s">
        <v>10</v>
      </c>
      <c r="E1805" s="15">
        <f>4.74</f>
        <v>4.74</v>
      </c>
      <c r="F1805" s="15"/>
      <c r="G1805" s="15"/>
    </row>
    <row r="1806" spans="1:126" x14ac:dyDescent="0.3">
      <c r="A1806" s="5"/>
      <c r="B1806" s="5" t="s">
        <v>398</v>
      </c>
      <c r="C1806" s="5"/>
      <c r="D1806" s="5" t="s">
        <v>69</v>
      </c>
      <c r="E1806" s="15">
        <f>4.32</f>
        <v>4.32</v>
      </c>
      <c r="F1806" s="15"/>
      <c r="G1806" s="15"/>
    </row>
    <row r="1807" spans="1:126" s="3" customFormat="1" x14ac:dyDescent="0.3">
      <c r="A1807" s="21"/>
      <c r="B1807" s="21" t="s">
        <v>429</v>
      </c>
      <c r="C1807" s="21"/>
      <c r="D1807" s="21"/>
      <c r="E1807" s="22"/>
      <c r="F1807" s="22"/>
      <c r="G1807" s="22"/>
      <c r="H1807" s="59"/>
      <c r="I1807" s="59"/>
      <c r="J1807" s="59"/>
      <c r="K1807" s="59"/>
      <c r="L1807" s="59"/>
      <c r="M1807" s="59"/>
      <c r="N1807" s="59"/>
      <c r="O1807" s="59"/>
      <c r="P1807" s="59"/>
      <c r="Q1807" s="59"/>
      <c r="R1807" s="59"/>
      <c r="S1807" s="59"/>
      <c r="T1807" s="59"/>
      <c r="U1807" s="59"/>
      <c r="V1807" s="59"/>
      <c r="W1807" s="59"/>
      <c r="X1807" s="59"/>
      <c r="Y1807" s="59"/>
      <c r="Z1807" s="59"/>
      <c r="AA1807" s="59"/>
      <c r="AB1807" s="59"/>
      <c r="AC1807" s="59"/>
      <c r="AD1807" s="59"/>
      <c r="AE1807" s="59"/>
      <c r="AF1807" s="59"/>
      <c r="AG1807" s="59"/>
      <c r="AH1807" s="59"/>
      <c r="AI1807" s="59"/>
      <c r="AJ1807" s="59"/>
      <c r="AK1807" s="59"/>
      <c r="AL1807" s="59"/>
      <c r="AM1807" s="59"/>
      <c r="AN1807" s="59"/>
      <c r="AO1807" s="59"/>
      <c r="AP1807" s="59"/>
      <c r="AQ1807" s="59"/>
      <c r="AR1807" s="59"/>
      <c r="AS1807" s="59"/>
      <c r="AT1807" s="59"/>
      <c r="AU1807" s="59"/>
      <c r="AV1807" s="59"/>
      <c r="AW1807" s="59"/>
      <c r="AX1807" s="59"/>
      <c r="AY1807" s="59"/>
      <c r="AZ1807" s="59"/>
      <c r="BA1807" s="59"/>
      <c r="BB1807" s="59"/>
      <c r="BC1807" s="59"/>
      <c r="BD1807" s="59"/>
      <c r="BE1807" s="59"/>
      <c r="BF1807" s="59"/>
      <c r="BG1807" s="59"/>
      <c r="BH1807" s="59"/>
      <c r="BI1807" s="59"/>
      <c r="BJ1807" s="59"/>
      <c r="BK1807" s="59"/>
      <c r="BL1807" s="59"/>
      <c r="BM1807" s="59"/>
      <c r="BN1807" s="59"/>
      <c r="BO1807" s="59"/>
      <c r="BP1807" s="59"/>
      <c r="BQ1807" s="59"/>
      <c r="BR1807" s="59"/>
      <c r="BS1807" s="59"/>
      <c r="BT1807" s="59"/>
      <c r="BU1807" s="59"/>
      <c r="BV1807" s="59"/>
      <c r="BW1807" s="59"/>
      <c r="BX1807" s="59"/>
      <c r="BY1807" s="59"/>
      <c r="BZ1807" s="59"/>
      <c r="CA1807" s="59"/>
      <c r="CB1807" s="59"/>
      <c r="CC1807" s="59"/>
      <c r="CD1807" s="59"/>
      <c r="CE1807" s="59"/>
      <c r="CF1807" s="59"/>
      <c r="CG1807" s="59"/>
      <c r="CH1807" s="59"/>
      <c r="CI1807" s="59"/>
      <c r="CJ1807" s="59"/>
      <c r="CK1807" s="59"/>
      <c r="CL1807" s="59"/>
      <c r="CM1807" s="59"/>
      <c r="CN1807" s="59"/>
      <c r="CO1807" s="59"/>
      <c r="CP1807" s="59"/>
      <c r="CQ1807" s="59"/>
      <c r="CR1807" s="59"/>
      <c r="CS1807" s="59"/>
      <c r="CT1807" s="59"/>
      <c r="CU1807" s="59"/>
      <c r="CV1807" s="59"/>
      <c r="CW1807" s="59"/>
      <c r="CX1807" s="59"/>
      <c r="CY1807" s="59"/>
      <c r="CZ1807" s="59"/>
      <c r="DA1807" s="59"/>
      <c r="DB1807" s="59"/>
      <c r="DC1807" s="59"/>
      <c r="DD1807" s="59"/>
      <c r="DE1807" s="59"/>
      <c r="DF1807" s="59"/>
      <c r="DG1807" s="59"/>
      <c r="DH1807" s="59"/>
      <c r="DI1807" s="59"/>
      <c r="DJ1807" s="59"/>
      <c r="DK1807" s="59"/>
      <c r="DL1807" s="59"/>
      <c r="DM1807" s="59"/>
      <c r="DN1807" s="59"/>
      <c r="DO1807" s="59"/>
      <c r="DP1807" s="59"/>
      <c r="DQ1807" s="59"/>
      <c r="DR1807" s="59"/>
      <c r="DS1807" s="59"/>
      <c r="DT1807" s="59"/>
      <c r="DU1807" s="59"/>
      <c r="DV1807" s="59"/>
    </row>
    <row r="1808" spans="1:126" ht="31.2" x14ac:dyDescent="0.3">
      <c r="A1808" s="5"/>
      <c r="B1808" s="11" t="s">
        <v>400</v>
      </c>
      <c r="C1808" s="5"/>
      <c r="D1808" s="5" t="s">
        <v>14</v>
      </c>
      <c r="E1808" s="15">
        <f>108</f>
        <v>108</v>
      </c>
      <c r="F1808" s="15"/>
      <c r="G1808" s="15"/>
    </row>
    <row r="1809" spans="1:126" ht="31.2" x14ac:dyDescent="0.3">
      <c r="A1809" s="5"/>
      <c r="B1809" s="11" t="s">
        <v>401</v>
      </c>
      <c r="C1809" s="5"/>
      <c r="D1809" s="5" t="s">
        <v>14</v>
      </c>
      <c r="E1809" s="15">
        <f>108</f>
        <v>108</v>
      </c>
      <c r="F1809" s="15"/>
      <c r="G1809" s="15"/>
    </row>
    <row r="1810" spans="1:126" s="3" customFormat="1" x14ac:dyDescent="0.3">
      <c r="A1810" s="21"/>
      <c r="B1810" s="21" t="s">
        <v>430</v>
      </c>
      <c r="C1810" s="21"/>
      <c r="D1810" s="21" t="s">
        <v>69</v>
      </c>
      <c r="E1810" s="22">
        <f>6132.44</f>
        <v>6132.44</v>
      </c>
      <c r="F1810" s="22"/>
      <c r="G1810" s="22"/>
      <c r="H1810" s="59"/>
      <c r="I1810" s="59"/>
      <c r="J1810" s="59"/>
      <c r="K1810" s="59"/>
      <c r="L1810" s="59"/>
      <c r="M1810" s="59"/>
      <c r="N1810" s="59"/>
      <c r="O1810" s="59"/>
      <c r="P1810" s="59"/>
      <c r="Q1810" s="59"/>
      <c r="R1810" s="59"/>
      <c r="S1810" s="59"/>
      <c r="T1810" s="59"/>
      <c r="U1810" s="59"/>
      <c r="V1810" s="59"/>
      <c r="W1810" s="59"/>
      <c r="X1810" s="59"/>
      <c r="Y1810" s="59"/>
      <c r="Z1810" s="59"/>
      <c r="AA1810" s="59"/>
      <c r="AB1810" s="59"/>
      <c r="AC1810" s="59"/>
      <c r="AD1810" s="59"/>
      <c r="AE1810" s="59"/>
      <c r="AF1810" s="59"/>
      <c r="AG1810" s="59"/>
      <c r="AH1810" s="59"/>
      <c r="AI1810" s="59"/>
      <c r="AJ1810" s="59"/>
      <c r="AK1810" s="59"/>
      <c r="AL1810" s="59"/>
      <c r="AM1810" s="59"/>
      <c r="AN1810" s="59"/>
      <c r="AO1810" s="59"/>
      <c r="AP1810" s="59"/>
      <c r="AQ1810" s="59"/>
      <c r="AR1810" s="59"/>
      <c r="AS1810" s="59"/>
      <c r="AT1810" s="59"/>
      <c r="AU1810" s="59"/>
      <c r="AV1810" s="59"/>
      <c r="AW1810" s="59"/>
      <c r="AX1810" s="59"/>
      <c r="AY1810" s="59"/>
      <c r="AZ1810" s="59"/>
      <c r="BA1810" s="59"/>
      <c r="BB1810" s="59"/>
      <c r="BC1810" s="59"/>
      <c r="BD1810" s="59"/>
      <c r="BE1810" s="59"/>
      <c r="BF1810" s="59"/>
      <c r="BG1810" s="59"/>
      <c r="BH1810" s="59"/>
      <c r="BI1810" s="59"/>
      <c r="BJ1810" s="59"/>
      <c r="BK1810" s="59"/>
      <c r="BL1810" s="59"/>
      <c r="BM1810" s="59"/>
      <c r="BN1810" s="59"/>
      <c r="BO1810" s="59"/>
      <c r="BP1810" s="59"/>
      <c r="BQ1810" s="59"/>
      <c r="BR1810" s="59"/>
      <c r="BS1810" s="59"/>
      <c r="BT1810" s="59"/>
      <c r="BU1810" s="59"/>
      <c r="BV1810" s="59"/>
      <c r="BW1810" s="59"/>
      <c r="BX1810" s="59"/>
      <c r="BY1810" s="59"/>
      <c r="BZ1810" s="59"/>
      <c r="CA1810" s="59"/>
      <c r="CB1810" s="59"/>
      <c r="CC1810" s="59"/>
      <c r="CD1810" s="59"/>
      <c r="CE1810" s="59"/>
      <c r="CF1810" s="59"/>
      <c r="CG1810" s="59"/>
      <c r="CH1810" s="59"/>
      <c r="CI1810" s="59"/>
      <c r="CJ1810" s="59"/>
      <c r="CK1810" s="59"/>
      <c r="CL1810" s="59"/>
      <c r="CM1810" s="59"/>
      <c r="CN1810" s="59"/>
      <c r="CO1810" s="59"/>
      <c r="CP1810" s="59"/>
      <c r="CQ1810" s="59"/>
      <c r="CR1810" s="59"/>
      <c r="CS1810" s="59"/>
      <c r="CT1810" s="59"/>
      <c r="CU1810" s="59"/>
      <c r="CV1810" s="59"/>
      <c r="CW1810" s="59"/>
      <c r="CX1810" s="59"/>
      <c r="CY1810" s="59"/>
      <c r="CZ1810" s="59"/>
      <c r="DA1810" s="59"/>
      <c r="DB1810" s="59"/>
      <c r="DC1810" s="59"/>
      <c r="DD1810" s="59"/>
      <c r="DE1810" s="59"/>
      <c r="DF1810" s="59"/>
      <c r="DG1810" s="59"/>
      <c r="DH1810" s="59"/>
      <c r="DI1810" s="59"/>
      <c r="DJ1810" s="59"/>
      <c r="DK1810" s="59"/>
      <c r="DL1810" s="59"/>
      <c r="DM1810" s="59"/>
      <c r="DN1810" s="59"/>
      <c r="DO1810" s="59"/>
      <c r="DP1810" s="59"/>
      <c r="DQ1810" s="59"/>
      <c r="DR1810" s="59"/>
      <c r="DS1810" s="59"/>
      <c r="DT1810" s="59"/>
      <c r="DU1810" s="59"/>
      <c r="DV1810" s="59"/>
    </row>
    <row r="1811" spans="1:126" x14ac:dyDescent="0.3">
      <c r="A1811" s="5"/>
      <c r="B1811" s="5" t="s">
        <v>567</v>
      </c>
      <c r="C1811" s="5"/>
      <c r="D1811" s="5" t="s">
        <v>72</v>
      </c>
      <c r="E1811" s="15">
        <v>2023.7051999999999</v>
      </c>
      <c r="F1811" s="15"/>
      <c r="G1811" s="15"/>
    </row>
    <row r="1812" spans="1:126" x14ac:dyDescent="0.3">
      <c r="A1812" s="5"/>
      <c r="B1812" s="5" t="s">
        <v>568</v>
      </c>
      <c r="C1812" s="5"/>
      <c r="D1812" s="5" t="s">
        <v>72</v>
      </c>
      <c r="E1812" s="15">
        <v>16557.588</v>
      </c>
      <c r="F1812" s="15"/>
      <c r="G1812" s="15"/>
    </row>
    <row r="1813" spans="1:126" x14ac:dyDescent="0.3">
      <c r="A1813" s="5"/>
      <c r="B1813" s="5" t="s">
        <v>569</v>
      </c>
      <c r="C1813" s="5"/>
      <c r="D1813" s="5" t="s">
        <v>72</v>
      </c>
      <c r="E1813" s="15">
        <v>1839.7319999999997</v>
      </c>
      <c r="F1813" s="15"/>
      <c r="G1813" s="15"/>
    </row>
    <row r="1814" spans="1:126" x14ac:dyDescent="0.3">
      <c r="A1814" s="5"/>
      <c r="B1814" s="5" t="s">
        <v>566</v>
      </c>
      <c r="C1814" s="5"/>
      <c r="D1814" s="5" t="s">
        <v>72</v>
      </c>
      <c r="E1814" s="15">
        <v>6132.44</v>
      </c>
      <c r="F1814" s="15"/>
      <c r="G1814" s="15"/>
    </row>
    <row r="1815" spans="1:126" x14ac:dyDescent="0.3">
      <c r="A1815" s="5"/>
      <c r="B1815" s="5" t="s">
        <v>70</v>
      </c>
      <c r="C1815" s="5"/>
      <c r="D1815" s="5" t="s">
        <v>72</v>
      </c>
      <c r="E1815" s="15">
        <v>6132.44</v>
      </c>
      <c r="F1815" s="15"/>
      <c r="G1815" s="15"/>
    </row>
    <row r="1816" spans="1:126" s="3" customFormat="1" x14ac:dyDescent="0.3">
      <c r="A1816" s="21"/>
      <c r="B1816" s="21" t="s">
        <v>431</v>
      </c>
      <c r="C1816" s="21"/>
      <c r="D1816" s="21"/>
      <c r="E1816" s="22"/>
      <c r="F1816" s="22"/>
      <c r="G1816" s="22"/>
      <c r="H1816" s="59"/>
      <c r="I1816" s="59"/>
      <c r="J1816" s="59"/>
      <c r="K1816" s="59"/>
      <c r="L1816" s="59"/>
      <c r="M1816" s="59"/>
      <c r="N1816" s="59"/>
      <c r="O1816" s="59"/>
      <c r="P1816" s="59"/>
      <c r="Q1816" s="59"/>
      <c r="R1816" s="59"/>
      <c r="S1816" s="59"/>
      <c r="T1816" s="59"/>
      <c r="U1816" s="59"/>
      <c r="V1816" s="59"/>
      <c r="W1816" s="59"/>
      <c r="X1816" s="59"/>
      <c r="Y1816" s="59"/>
      <c r="Z1816" s="59"/>
      <c r="AA1816" s="59"/>
      <c r="AB1816" s="59"/>
      <c r="AC1816" s="59"/>
      <c r="AD1816" s="59"/>
      <c r="AE1816" s="59"/>
      <c r="AF1816" s="59"/>
      <c r="AG1816" s="59"/>
      <c r="AH1816" s="59"/>
      <c r="AI1816" s="59"/>
      <c r="AJ1816" s="59"/>
      <c r="AK1816" s="59"/>
      <c r="AL1816" s="59"/>
      <c r="AM1816" s="59"/>
      <c r="AN1816" s="59"/>
      <c r="AO1816" s="59"/>
      <c r="AP1816" s="59"/>
      <c r="AQ1816" s="59"/>
      <c r="AR1816" s="59"/>
      <c r="AS1816" s="59"/>
      <c r="AT1816" s="59"/>
      <c r="AU1816" s="59"/>
      <c r="AV1816" s="59"/>
      <c r="AW1816" s="59"/>
      <c r="AX1816" s="59"/>
      <c r="AY1816" s="59"/>
      <c r="AZ1816" s="59"/>
      <c r="BA1816" s="59"/>
      <c r="BB1816" s="59"/>
      <c r="BC1816" s="59"/>
      <c r="BD1816" s="59"/>
      <c r="BE1816" s="59"/>
      <c r="BF1816" s="59"/>
      <c r="BG1816" s="59"/>
      <c r="BH1816" s="59"/>
      <c r="BI1816" s="59"/>
      <c r="BJ1816" s="59"/>
      <c r="BK1816" s="59"/>
      <c r="BL1816" s="59"/>
      <c r="BM1816" s="59"/>
      <c r="BN1816" s="59"/>
      <c r="BO1816" s="59"/>
      <c r="BP1816" s="59"/>
      <c r="BQ1816" s="59"/>
      <c r="BR1816" s="59"/>
      <c r="BS1816" s="59"/>
      <c r="BT1816" s="59"/>
      <c r="BU1816" s="59"/>
      <c r="BV1816" s="59"/>
      <c r="BW1816" s="59"/>
      <c r="BX1816" s="59"/>
      <c r="BY1816" s="59"/>
      <c r="BZ1816" s="59"/>
      <c r="CA1816" s="59"/>
      <c r="CB1816" s="59"/>
      <c r="CC1816" s="59"/>
      <c r="CD1816" s="59"/>
      <c r="CE1816" s="59"/>
      <c r="CF1816" s="59"/>
      <c r="CG1816" s="59"/>
      <c r="CH1816" s="59"/>
      <c r="CI1816" s="59"/>
      <c r="CJ1816" s="59"/>
      <c r="CK1816" s="59"/>
      <c r="CL1816" s="59"/>
      <c r="CM1816" s="59"/>
      <c r="CN1816" s="59"/>
      <c r="CO1816" s="59"/>
      <c r="CP1816" s="59"/>
      <c r="CQ1816" s="59"/>
      <c r="CR1816" s="59"/>
      <c r="CS1816" s="59"/>
      <c r="CT1816" s="59"/>
      <c r="CU1816" s="59"/>
      <c r="CV1816" s="59"/>
      <c r="CW1816" s="59"/>
      <c r="CX1816" s="59"/>
      <c r="CY1816" s="59"/>
      <c r="CZ1816" s="59"/>
      <c r="DA1816" s="59"/>
      <c r="DB1816" s="59"/>
      <c r="DC1816" s="59"/>
      <c r="DD1816" s="59"/>
      <c r="DE1816" s="59"/>
      <c r="DF1816" s="59"/>
      <c r="DG1816" s="59"/>
      <c r="DH1816" s="59"/>
      <c r="DI1816" s="59"/>
      <c r="DJ1816" s="59"/>
      <c r="DK1816" s="59"/>
      <c r="DL1816" s="59"/>
      <c r="DM1816" s="59"/>
      <c r="DN1816" s="59"/>
      <c r="DO1816" s="59"/>
      <c r="DP1816" s="59"/>
      <c r="DQ1816" s="59"/>
      <c r="DR1816" s="59"/>
      <c r="DS1816" s="59"/>
      <c r="DT1816" s="59"/>
      <c r="DU1816" s="59"/>
      <c r="DV1816" s="59"/>
    </row>
    <row r="1817" spans="1:126" x14ac:dyDescent="0.3">
      <c r="A1817" s="5"/>
      <c r="B1817" s="5" t="s">
        <v>81</v>
      </c>
      <c r="C1817" s="5"/>
      <c r="D1817" s="5" t="s">
        <v>10</v>
      </c>
      <c r="E1817" s="15">
        <f>1.36</f>
        <v>1.36</v>
      </c>
      <c r="F1817" s="15"/>
      <c r="G1817" s="15"/>
    </row>
    <row r="1818" spans="1:126" s="3" customFormat="1" x14ac:dyDescent="0.3">
      <c r="A1818" s="21"/>
      <c r="B1818" s="21" t="s">
        <v>432</v>
      </c>
      <c r="C1818" s="21"/>
      <c r="D1818" s="21"/>
      <c r="E1818" s="22"/>
      <c r="F1818" s="22"/>
      <c r="G1818" s="22"/>
      <c r="H1818" s="59"/>
      <c r="I1818" s="59"/>
      <c r="J1818" s="59"/>
      <c r="K1818" s="59"/>
      <c r="L1818" s="59"/>
      <c r="M1818" s="59"/>
      <c r="N1818" s="59"/>
      <c r="O1818" s="59"/>
      <c r="P1818" s="59"/>
      <c r="Q1818" s="59"/>
      <c r="R1818" s="59"/>
      <c r="S1818" s="59"/>
      <c r="T1818" s="59"/>
      <c r="U1818" s="59"/>
      <c r="V1818" s="59"/>
      <c r="W1818" s="59"/>
      <c r="X1818" s="59"/>
      <c r="Y1818" s="59"/>
      <c r="Z1818" s="59"/>
      <c r="AA1818" s="59"/>
      <c r="AB1818" s="59"/>
      <c r="AC1818" s="59"/>
      <c r="AD1818" s="59"/>
      <c r="AE1818" s="59"/>
      <c r="AF1818" s="59"/>
      <c r="AG1818" s="59"/>
      <c r="AH1818" s="59"/>
      <c r="AI1818" s="59"/>
      <c r="AJ1818" s="59"/>
      <c r="AK1818" s="59"/>
      <c r="AL1818" s="59"/>
      <c r="AM1818" s="59"/>
      <c r="AN1818" s="59"/>
      <c r="AO1818" s="59"/>
      <c r="AP1818" s="59"/>
      <c r="AQ1818" s="59"/>
      <c r="AR1818" s="59"/>
      <c r="AS1818" s="59"/>
      <c r="AT1818" s="59"/>
      <c r="AU1818" s="59"/>
      <c r="AV1818" s="59"/>
      <c r="AW1818" s="59"/>
      <c r="AX1818" s="59"/>
      <c r="AY1818" s="59"/>
      <c r="AZ1818" s="59"/>
      <c r="BA1818" s="59"/>
      <c r="BB1818" s="59"/>
      <c r="BC1818" s="59"/>
      <c r="BD1818" s="59"/>
      <c r="BE1818" s="59"/>
      <c r="BF1818" s="59"/>
      <c r="BG1818" s="59"/>
      <c r="BH1818" s="59"/>
      <c r="BI1818" s="59"/>
      <c r="BJ1818" s="59"/>
      <c r="BK1818" s="59"/>
      <c r="BL1818" s="59"/>
      <c r="BM1818" s="59"/>
      <c r="BN1818" s="59"/>
      <c r="BO1818" s="59"/>
      <c r="BP1818" s="59"/>
      <c r="BQ1818" s="59"/>
      <c r="BR1818" s="59"/>
      <c r="BS1818" s="59"/>
      <c r="BT1818" s="59"/>
      <c r="BU1818" s="59"/>
      <c r="BV1818" s="59"/>
      <c r="BW1818" s="59"/>
      <c r="BX1818" s="59"/>
      <c r="BY1818" s="59"/>
      <c r="BZ1818" s="59"/>
      <c r="CA1818" s="59"/>
      <c r="CB1818" s="59"/>
      <c r="CC1818" s="59"/>
      <c r="CD1818" s="59"/>
      <c r="CE1818" s="59"/>
      <c r="CF1818" s="59"/>
      <c r="CG1818" s="59"/>
      <c r="CH1818" s="59"/>
      <c r="CI1818" s="59"/>
      <c r="CJ1818" s="59"/>
      <c r="CK1818" s="59"/>
      <c r="CL1818" s="59"/>
      <c r="CM1818" s="59"/>
      <c r="CN1818" s="59"/>
      <c r="CO1818" s="59"/>
      <c r="CP1818" s="59"/>
      <c r="CQ1818" s="59"/>
      <c r="CR1818" s="59"/>
      <c r="CS1818" s="59"/>
      <c r="CT1818" s="59"/>
      <c r="CU1818" s="59"/>
      <c r="CV1818" s="59"/>
      <c r="CW1818" s="59"/>
      <c r="CX1818" s="59"/>
      <c r="CY1818" s="59"/>
      <c r="CZ1818" s="59"/>
      <c r="DA1818" s="59"/>
      <c r="DB1818" s="59"/>
      <c r="DC1818" s="59"/>
      <c r="DD1818" s="59"/>
      <c r="DE1818" s="59"/>
      <c r="DF1818" s="59"/>
      <c r="DG1818" s="59"/>
      <c r="DH1818" s="59"/>
      <c r="DI1818" s="59"/>
      <c r="DJ1818" s="59"/>
      <c r="DK1818" s="59"/>
      <c r="DL1818" s="59"/>
      <c r="DM1818" s="59"/>
      <c r="DN1818" s="59"/>
      <c r="DO1818" s="59"/>
      <c r="DP1818" s="59"/>
      <c r="DQ1818" s="59"/>
      <c r="DR1818" s="59"/>
      <c r="DS1818" s="59"/>
      <c r="DT1818" s="59"/>
      <c r="DU1818" s="59"/>
      <c r="DV1818" s="59"/>
    </row>
    <row r="1819" spans="1:126" x14ac:dyDescent="0.3">
      <c r="A1819" s="5"/>
      <c r="B1819" s="5" t="s">
        <v>80</v>
      </c>
      <c r="C1819" s="5"/>
      <c r="D1819" s="5" t="s">
        <v>10</v>
      </c>
      <c r="E1819" s="15">
        <f>1.17</f>
        <v>1.17</v>
      </c>
      <c r="F1819" s="15"/>
      <c r="G1819" s="15"/>
    </row>
    <row r="1820" spans="1:126" s="3" customFormat="1" x14ac:dyDescent="0.3">
      <c r="A1820" s="21"/>
      <c r="B1820" s="21" t="s">
        <v>433</v>
      </c>
      <c r="C1820" s="21"/>
      <c r="D1820" s="21"/>
      <c r="E1820" s="22"/>
      <c r="F1820" s="22"/>
      <c r="G1820" s="22"/>
      <c r="H1820" s="59"/>
      <c r="I1820" s="59"/>
      <c r="J1820" s="59"/>
      <c r="K1820" s="59"/>
      <c r="L1820" s="59"/>
      <c r="M1820" s="59"/>
      <c r="N1820" s="59"/>
      <c r="O1820" s="59"/>
      <c r="P1820" s="59"/>
      <c r="Q1820" s="59"/>
      <c r="R1820" s="59"/>
      <c r="S1820" s="59"/>
      <c r="T1820" s="59"/>
      <c r="U1820" s="59"/>
      <c r="V1820" s="59"/>
      <c r="W1820" s="59"/>
      <c r="X1820" s="59"/>
      <c r="Y1820" s="59"/>
      <c r="Z1820" s="59"/>
      <c r="AA1820" s="59"/>
      <c r="AB1820" s="59"/>
      <c r="AC1820" s="59"/>
      <c r="AD1820" s="59"/>
      <c r="AE1820" s="59"/>
      <c r="AF1820" s="59"/>
      <c r="AG1820" s="59"/>
      <c r="AH1820" s="59"/>
      <c r="AI1820" s="59"/>
      <c r="AJ1820" s="59"/>
      <c r="AK1820" s="59"/>
      <c r="AL1820" s="59"/>
      <c r="AM1820" s="59"/>
      <c r="AN1820" s="59"/>
      <c r="AO1820" s="59"/>
      <c r="AP1820" s="59"/>
      <c r="AQ1820" s="59"/>
      <c r="AR1820" s="59"/>
      <c r="AS1820" s="59"/>
      <c r="AT1820" s="59"/>
      <c r="AU1820" s="59"/>
      <c r="AV1820" s="59"/>
      <c r="AW1820" s="59"/>
      <c r="AX1820" s="59"/>
      <c r="AY1820" s="59"/>
      <c r="AZ1820" s="59"/>
      <c r="BA1820" s="59"/>
      <c r="BB1820" s="59"/>
      <c r="BC1820" s="59"/>
      <c r="BD1820" s="59"/>
      <c r="BE1820" s="59"/>
      <c r="BF1820" s="59"/>
      <c r="BG1820" s="59"/>
      <c r="BH1820" s="59"/>
      <c r="BI1820" s="59"/>
      <c r="BJ1820" s="59"/>
      <c r="BK1820" s="59"/>
      <c r="BL1820" s="59"/>
      <c r="BM1820" s="59"/>
      <c r="BN1820" s="59"/>
      <c r="BO1820" s="59"/>
      <c r="BP1820" s="59"/>
      <c r="BQ1820" s="59"/>
      <c r="BR1820" s="59"/>
      <c r="BS1820" s="59"/>
      <c r="BT1820" s="59"/>
      <c r="BU1820" s="59"/>
      <c r="BV1820" s="59"/>
      <c r="BW1820" s="59"/>
      <c r="BX1820" s="59"/>
      <c r="BY1820" s="59"/>
      <c r="BZ1820" s="59"/>
      <c r="CA1820" s="59"/>
      <c r="CB1820" s="59"/>
      <c r="CC1820" s="59"/>
      <c r="CD1820" s="59"/>
      <c r="CE1820" s="59"/>
      <c r="CF1820" s="59"/>
      <c r="CG1820" s="59"/>
      <c r="CH1820" s="59"/>
      <c r="CI1820" s="59"/>
      <c r="CJ1820" s="59"/>
      <c r="CK1820" s="59"/>
      <c r="CL1820" s="59"/>
      <c r="CM1820" s="59"/>
      <c r="CN1820" s="59"/>
      <c r="CO1820" s="59"/>
      <c r="CP1820" s="59"/>
      <c r="CQ1820" s="59"/>
      <c r="CR1820" s="59"/>
      <c r="CS1820" s="59"/>
      <c r="CT1820" s="59"/>
      <c r="CU1820" s="59"/>
      <c r="CV1820" s="59"/>
      <c r="CW1820" s="59"/>
      <c r="CX1820" s="59"/>
      <c r="CY1820" s="59"/>
      <c r="CZ1820" s="59"/>
      <c r="DA1820" s="59"/>
      <c r="DB1820" s="59"/>
      <c r="DC1820" s="59"/>
      <c r="DD1820" s="59"/>
      <c r="DE1820" s="59"/>
      <c r="DF1820" s="59"/>
      <c r="DG1820" s="59"/>
      <c r="DH1820" s="59"/>
      <c r="DI1820" s="59"/>
      <c r="DJ1820" s="59"/>
      <c r="DK1820" s="59"/>
      <c r="DL1820" s="59"/>
      <c r="DM1820" s="59"/>
      <c r="DN1820" s="59"/>
      <c r="DO1820" s="59"/>
      <c r="DP1820" s="59"/>
      <c r="DQ1820" s="59"/>
      <c r="DR1820" s="59"/>
      <c r="DS1820" s="59"/>
      <c r="DT1820" s="59"/>
      <c r="DU1820" s="59"/>
      <c r="DV1820" s="59"/>
    </row>
    <row r="1821" spans="1:126" ht="31.2" x14ac:dyDescent="0.3">
      <c r="A1821" s="5"/>
      <c r="B1821" s="11" t="s">
        <v>404</v>
      </c>
      <c r="C1821" s="5"/>
      <c r="D1821" s="5" t="s">
        <v>8</v>
      </c>
      <c r="E1821" s="15">
        <f>0.767</f>
        <v>0.76700000000000002</v>
      </c>
      <c r="F1821" s="15"/>
      <c r="G1821" s="15"/>
    </row>
    <row r="1822" spans="1:126" x14ac:dyDescent="0.3">
      <c r="A1822" s="5"/>
      <c r="B1822" s="5" t="s">
        <v>405</v>
      </c>
      <c r="C1822" s="5"/>
      <c r="D1822" s="5" t="s">
        <v>14</v>
      </c>
      <c r="E1822" s="15">
        <f>52</f>
        <v>52</v>
      </c>
      <c r="F1822" s="15"/>
      <c r="G1822" s="15"/>
    </row>
    <row r="1823" spans="1:126" x14ac:dyDescent="0.3">
      <c r="A1823" s="5"/>
      <c r="B1823" s="5" t="s">
        <v>407</v>
      </c>
      <c r="C1823" s="5"/>
      <c r="D1823" s="5" t="s">
        <v>14</v>
      </c>
      <c r="E1823" s="15">
        <f>208</f>
        <v>208</v>
      </c>
      <c r="F1823" s="15"/>
      <c r="G1823" s="15"/>
    </row>
    <row r="1824" spans="1:126" x14ac:dyDescent="0.3">
      <c r="A1824" s="5"/>
      <c r="B1824" s="5" t="s">
        <v>406</v>
      </c>
      <c r="C1824" s="5"/>
      <c r="D1824" s="5" t="s">
        <v>14</v>
      </c>
      <c r="E1824" s="15">
        <f>104</f>
        <v>104</v>
      </c>
      <c r="F1824" s="15"/>
      <c r="G1824" s="15"/>
    </row>
    <row r="1825" spans="1:126" s="25" customFormat="1" x14ac:dyDescent="0.3">
      <c r="A1825" s="23"/>
      <c r="B1825" s="23" t="s">
        <v>434</v>
      </c>
      <c r="C1825" s="23" t="s">
        <v>339</v>
      </c>
      <c r="D1825" s="23"/>
      <c r="E1825" s="24"/>
      <c r="F1825" s="24"/>
      <c r="G1825" s="24"/>
      <c r="H1825" s="59"/>
      <c r="I1825" s="59"/>
      <c r="J1825" s="59"/>
      <c r="K1825" s="59"/>
      <c r="L1825" s="59"/>
      <c r="M1825" s="59"/>
      <c r="N1825" s="59"/>
      <c r="O1825" s="59"/>
      <c r="P1825" s="59"/>
      <c r="Q1825" s="59"/>
      <c r="R1825" s="59"/>
      <c r="S1825" s="59"/>
      <c r="T1825" s="59"/>
      <c r="U1825" s="59"/>
      <c r="V1825" s="59"/>
      <c r="W1825" s="59"/>
      <c r="X1825" s="59"/>
      <c r="Y1825" s="59"/>
      <c r="Z1825" s="59"/>
      <c r="AA1825" s="59"/>
      <c r="AB1825" s="59"/>
      <c r="AC1825" s="59"/>
      <c r="AD1825" s="59"/>
      <c r="AE1825" s="59"/>
      <c r="AF1825" s="59"/>
      <c r="AG1825" s="59"/>
      <c r="AH1825" s="59"/>
      <c r="AI1825" s="59"/>
      <c r="AJ1825" s="59"/>
      <c r="AK1825" s="59"/>
      <c r="AL1825" s="59"/>
      <c r="AM1825" s="59"/>
      <c r="AN1825" s="59"/>
      <c r="AO1825" s="59"/>
      <c r="AP1825" s="59"/>
      <c r="AQ1825" s="59"/>
      <c r="AR1825" s="59"/>
      <c r="AS1825" s="59"/>
      <c r="AT1825" s="59"/>
      <c r="AU1825" s="59"/>
      <c r="AV1825" s="59"/>
      <c r="AW1825" s="59"/>
      <c r="AX1825" s="59"/>
      <c r="AY1825" s="59"/>
      <c r="AZ1825" s="59"/>
      <c r="BA1825" s="59"/>
      <c r="BB1825" s="59"/>
      <c r="BC1825" s="59"/>
      <c r="BD1825" s="59"/>
      <c r="BE1825" s="59"/>
      <c r="BF1825" s="59"/>
      <c r="BG1825" s="59"/>
      <c r="BH1825" s="59"/>
      <c r="BI1825" s="59"/>
      <c r="BJ1825" s="59"/>
      <c r="BK1825" s="59"/>
      <c r="BL1825" s="59"/>
      <c r="BM1825" s="59"/>
      <c r="BN1825" s="59"/>
      <c r="BO1825" s="59"/>
      <c r="BP1825" s="59"/>
      <c r="BQ1825" s="59"/>
      <c r="BR1825" s="59"/>
      <c r="BS1825" s="59"/>
      <c r="BT1825" s="59"/>
      <c r="BU1825" s="59"/>
      <c r="BV1825" s="59"/>
      <c r="BW1825" s="59"/>
      <c r="BX1825" s="59"/>
      <c r="BY1825" s="59"/>
      <c r="BZ1825" s="59"/>
      <c r="CA1825" s="59"/>
      <c r="CB1825" s="59"/>
      <c r="CC1825" s="59"/>
      <c r="CD1825" s="59"/>
      <c r="CE1825" s="59"/>
      <c r="CF1825" s="59"/>
      <c r="CG1825" s="59"/>
      <c r="CH1825" s="59"/>
      <c r="CI1825" s="59"/>
      <c r="CJ1825" s="59"/>
      <c r="CK1825" s="59"/>
      <c r="CL1825" s="59"/>
      <c r="CM1825" s="59"/>
      <c r="CN1825" s="59"/>
      <c r="CO1825" s="59"/>
      <c r="CP1825" s="59"/>
      <c r="CQ1825" s="59"/>
      <c r="CR1825" s="59"/>
      <c r="CS1825" s="59"/>
      <c r="CT1825" s="59"/>
      <c r="CU1825" s="59"/>
      <c r="CV1825" s="59"/>
      <c r="CW1825" s="59"/>
      <c r="CX1825" s="59"/>
      <c r="CY1825" s="59"/>
      <c r="CZ1825" s="59"/>
      <c r="DA1825" s="59"/>
      <c r="DB1825" s="59"/>
      <c r="DC1825" s="59"/>
      <c r="DD1825" s="59"/>
      <c r="DE1825" s="59"/>
      <c r="DF1825" s="59"/>
      <c r="DG1825" s="59"/>
      <c r="DH1825" s="59"/>
      <c r="DI1825" s="59"/>
      <c r="DJ1825" s="59"/>
      <c r="DK1825" s="59"/>
      <c r="DL1825" s="59"/>
      <c r="DM1825" s="59"/>
      <c r="DN1825" s="59"/>
      <c r="DO1825" s="59"/>
      <c r="DP1825" s="59"/>
      <c r="DQ1825" s="59"/>
      <c r="DR1825" s="59"/>
      <c r="DS1825" s="59"/>
      <c r="DT1825" s="59"/>
      <c r="DU1825" s="59"/>
      <c r="DV1825" s="59"/>
    </row>
    <row r="1826" spans="1:126" s="3" customFormat="1" x14ac:dyDescent="0.3">
      <c r="A1826" s="21"/>
      <c r="B1826" s="21" t="s">
        <v>435</v>
      </c>
      <c r="C1826" s="21"/>
      <c r="D1826" s="21"/>
      <c r="E1826" s="22"/>
      <c r="F1826" s="22"/>
      <c r="G1826" s="22"/>
      <c r="H1826" s="59"/>
      <c r="I1826" s="59"/>
      <c r="J1826" s="59"/>
      <c r="K1826" s="59"/>
      <c r="L1826" s="59"/>
      <c r="M1826" s="59"/>
      <c r="N1826" s="59"/>
      <c r="O1826" s="59"/>
      <c r="P1826" s="59"/>
      <c r="Q1826" s="59"/>
      <c r="R1826" s="59"/>
      <c r="S1826" s="59"/>
      <c r="T1826" s="59"/>
      <c r="U1826" s="59"/>
      <c r="V1826" s="59"/>
      <c r="W1826" s="59"/>
      <c r="X1826" s="59"/>
      <c r="Y1826" s="59"/>
      <c r="Z1826" s="59"/>
      <c r="AA1826" s="59"/>
      <c r="AB1826" s="59"/>
      <c r="AC1826" s="59"/>
      <c r="AD1826" s="59"/>
      <c r="AE1826" s="59"/>
      <c r="AF1826" s="59"/>
      <c r="AG1826" s="59"/>
      <c r="AH1826" s="59"/>
      <c r="AI1826" s="59"/>
      <c r="AJ1826" s="59"/>
      <c r="AK1826" s="59"/>
      <c r="AL1826" s="59"/>
      <c r="AM1826" s="59"/>
      <c r="AN1826" s="59"/>
      <c r="AO1826" s="59"/>
      <c r="AP1826" s="59"/>
      <c r="AQ1826" s="59"/>
      <c r="AR1826" s="59"/>
      <c r="AS1826" s="59"/>
      <c r="AT1826" s="59"/>
      <c r="AU1826" s="59"/>
      <c r="AV1826" s="59"/>
      <c r="AW1826" s="59"/>
      <c r="AX1826" s="59"/>
      <c r="AY1826" s="59"/>
      <c r="AZ1826" s="59"/>
      <c r="BA1826" s="59"/>
      <c r="BB1826" s="59"/>
      <c r="BC1826" s="59"/>
      <c r="BD1826" s="59"/>
      <c r="BE1826" s="59"/>
      <c r="BF1826" s="59"/>
      <c r="BG1826" s="59"/>
      <c r="BH1826" s="59"/>
      <c r="BI1826" s="59"/>
      <c r="BJ1826" s="59"/>
      <c r="BK1826" s="59"/>
      <c r="BL1826" s="59"/>
      <c r="BM1826" s="59"/>
      <c r="BN1826" s="59"/>
      <c r="BO1826" s="59"/>
      <c r="BP1826" s="59"/>
      <c r="BQ1826" s="59"/>
      <c r="BR1826" s="59"/>
      <c r="BS1826" s="59"/>
      <c r="BT1826" s="59"/>
      <c r="BU1826" s="59"/>
      <c r="BV1826" s="59"/>
      <c r="BW1826" s="59"/>
      <c r="BX1826" s="59"/>
      <c r="BY1826" s="59"/>
      <c r="BZ1826" s="59"/>
      <c r="CA1826" s="59"/>
      <c r="CB1826" s="59"/>
      <c r="CC1826" s="59"/>
      <c r="CD1826" s="59"/>
      <c r="CE1826" s="59"/>
      <c r="CF1826" s="59"/>
      <c r="CG1826" s="59"/>
      <c r="CH1826" s="59"/>
      <c r="CI1826" s="59"/>
      <c r="CJ1826" s="59"/>
      <c r="CK1826" s="59"/>
      <c r="CL1826" s="59"/>
      <c r="CM1826" s="59"/>
      <c r="CN1826" s="59"/>
      <c r="CO1826" s="59"/>
      <c r="CP1826" s="59"/>
      <c r="CQ1826" s="59"/>
      <c r="CR1826" s="59"/>
      <c r="CS1826" s="59"/>
      <c r="CT1826" s="59"/>
      <c r="CU1826" s="59"/>
      <c r="CV1826" s="59"/>
      <c r="CW1826" s="59"/>
      <c r="CX1826" s="59"/>
      <c r="CY1826" s="59"/>
      <c r="CZ1826" s="59"/>
      <c r="DA1826" s="59"/>
      <c r="DB1826" s="59"/>
      <c r="DC1826" s="59"/>
      <c r="DD1826" s="59"/>
      <c r="DE1826" s="59"/>
      <c r="DF1826" s="59"/>
      <c r="DG1826" s="59"/>
      <c r="DH1826" s="59"/>
      <c r="DI1826" s="59"/>
      <c r="DJ1826" s="59"/>
      <c r="DK1826" s="59"/>
      <c r="DL1826" s="59"/>
      <c r="DM1826" s="59"/>
      <c r="DN1826" s="59"/>
      <c r="DO1826" s="59"/>
      <c r="DP1826" s="59"/>
      <c r="DQ1826" s="59"/>
      <c r="DR1826" s="59"/>
      <c r="DS1826" s="59"/>
      <c r="DT1826" s="59"/>
      <c r="DU1826" s="59"/>
      <c r="DV1826" s="59"/>
    </row>
    <row r="1827" spans="1:126" ht="31.2" x14ac:dyDescent="0.3">
      <c r="A1827" s="5"/>
      <c r="B1827" s="11" t="s">
        <v>395</v>
      </c>
      <c r="C1827" s="5"/>
      <c r="D1827" s="5" t="s">
        <v>8</v>
      </c>
      <c r="E1827" s="15">
        <f>13.14</f>
        <v>13.14</v>
      </c>
      <c r="F1827" s="15"/>
      <c r="G1827" s="15"/>
    </row>
    <row r="1828" spans="1:126" x14ac:dyDescent="0.3">
      <c r="A1828" s="5"/>
      <c r="B1828" s="5" t="s">
        <v>215</v>
      </c>
      <c r="C1828" s="5"/>
      <c r="D1828" s="5" t="s">
        <v>10</v>
      </c>
      <c r="E1828" s="15">
        <f>2.76</f>
        <v>2.76</v>
      </c>
      <c r="F1828" s="15"/>
      <c r="G1828" s="15"/>
    </row>
    <row r="1829" spans="1:126" x14ac:dyDescent="0.3">
      <c r="A1829" s="5"/>
      <c r="B1829" s="11" t="s">
        <v>396</v>
      </c>
      <c r="C1829" s="5"/>
      <c r="D1829" s="5" t="s">
        <v>74</v>
      </c>
      <c r="E1829" s="15">
        <f>692</f>
        <v>692</v>
      </c>
      <c r="F1829" s="15"/>
      <c r="G1829" s="15"/>
    </row>
    <row r="1830" spans="1:126" x14ac:dyDescent="0.3">
      <c r="A1830" s="5"/>
      <c r="B1830" s="5" t="s">
        <v>150</v>
      </c>
      <c r="C1830" s="5"/>
      <c r="D1830" s="5" t="s">
        <v>14</v>
      </c>
      <c r="E1830" s="15">
        <f>1380</f>
        <v>1380</v>
      </c>
      <c r="F1830" s="15"/>
      <c r="G1830" s="15"/>
    </row>
    <row r="1831" spans="1:126" x14ac:dyDescent="0.3">
      <c r="A1831" s="5"/>
      <c r="B1831" s="5" t="s">
        <v>151</v>
      </c>
      <c r="C1831" s="5"/>
      <c r="D1831" s="5" t="s">
        <v>14</v>
      </c>
      <c r="E1831" s="15">
        <f>1380</f>
        <v>1380</v>
      </c>
      <c r="F1831" s="15"/>
      <c r="G1831" s="15"/>
    </row>
    <row r="1832" spans="1:126" s="3" customFormat="1" x14ac:dyDescent="0.3">
      <c r="A1832" s="21"/>
      <c r="B1832" s="21" t="s">
        <v>436</v>
      </c>
      <c r="C1832" s="21"/>
      <c r="D1832" s="21"/>
      <c r="E1832" s="22"/>
      <c r="F1832" s="22"/>
      <c r="G1832" s="22"/>
      <c r="H1832" s="59"/>
      <c r="I1832" s="59"/>
      <c r="J1832" s="59"/>
      <c r="K1832" s="59"/>
      <c r="L1832" s="59"/>
      <c r="M1832" s="59"/>
      <c r="N1832" s="59"/>
      <c r="O1832" s="59"/>
      <c r="P1832" s="59"/>
      <c r="Q1832" s="59"/>
      <c r="R1832" s="59"/>
      <c r="S1832" s="59"/>
      <c r="T1832" s="59"/>
      <c r="U1832" s="59"/>
      <c r="V1832" s="59"/>
      <c r="W1832" s="59"/>
      <c r="X1832" s="59"/>
      <c r="Y1832" s="59"/>
      <c r="Z1832" s="59"/>
      <c r="AA1832" s="59"/>
      <c r="AB1832" s="59"/>
      <c r="AC1832" s="59"/>
      <c r="AD1832" s="59"/>
      <c r="AE1832" s="59"/>
      <c r="AF1832" s="59"/>
      <c r="AG1832" s="59"/>
      <c r="AH1832" s="59"/>
      <c r="AI1832" s="59"/>
      <c r="AJ1832" s="59"/>
      <c r="AK1832" s="59"/>
      <c r="AL1832" s="59"/>
      <c r="AM1832" s="59"/>
      <c r="AN1832" s="59"/>
      <c r="AO1832" s="59"/>
      <c r="AP1832" s="59"/>
      <c r="AQ1832" s="59"/>
      <c r="AR1832" s="59"/>
      <c r="AS1832" s="59"/>
      <c r="AT1832" s="59"/>
      <c r="AU1832" s="59"/>
      <c r="AV1832" s="59"/>
      <c r="AW1832" s="59"/>
      <c r="AX1832" s="59"/>
      <c r="AY1832" s="59"/>
      <c r="AZ1832" s="59"/>
      <c r="BA1832" s="59"/>
      <c r="BB1832" s="59"/>
      <c r="BC1832" s="59"/>
      <c r="BD1832" s="59"/>
      <c r="BE1832" s="59"/>
      <c r="BF1832" s="59"/>
      <c r="BG1832" s="59"/>
      <c r="BH1832" s="59"/>
      <c r="BI1832" s="59"/>
      <c r="BJ1832" s="59"/>
      <c r="BK1832" s="59"/>
      <c r="BL1832" s="59"/>
      <c r="BM1832" s="59"/>
      <c r="BN1832" s="59"/>
      <c r="BO1832" s="59"/>
      <c r="BP1832" s="59"/>
      <c r="BQ1832" s="59"/>
      <c r="BR1832" s="59"/>
      <c r="BS1832" s="59"/>
      <c r="BT1832" s="59"/>
      <c r="BU1832" s="59"/>
      <c r="BV1832" s="59"/>
      <c r="BW1832" s="59"/>
      <c r="BX1832" s="59"/>
      <c r="BY1832" s="59"/>
      <c r="BZ1832" s="59"/>
      <c r="CA1832" s="59"/>
      <c r="CB1832" s="59"/>
      <c r="CC1832" s="59"/>
      <c r="CD1832" s="59"/>
      <c r="CE1832" s="59"/>
      <c r="CF1832" s="59"/>
      <c r="CG1832" s="59"/>
      <c r="CH1832" s="59"/>
      <c r="CI1832" s="59"/>
      <c r="CJ1832" s="59"/>
      <c r="CK1832" s="59"/>
      <c r="CL1832" s="59"/>
      <c r="CM1832" s="59"/>
      <c r="CN1832" s="59"/>
      <c r="CO1832" s="59"/>
      <c r="CP1832" s="59"/>
      <c r="CQ1832" s="59"/>
      <c r="CR1832" s="59"/>
      <c r="CS1832" s="59"/>
      <c r="CT1832" s="59"/>
      <c r="CU1832" s="59"/>
      <c r="CV1832" s="59"/>
      <c r="CW1832" s="59"/>
      <c r="CX1832" s="59"/>
      <c r="CY1832" s="59"/>
      <c r="CZ1832" s="59"/>
      <c r="DA1832" s="59"/>
      <c r="DB1832" s="59"/>
      <c r="DC1832" s="59"/>
      <c r="DD1832" s="59"/>
      <c r="DE1832" s="59"/>
      <c r="DF1832" s="59"/>
      <c r="DG1832" s="59"/>
      <c r="DH1832" s="59"/>
      <c r="DI1832" s="59"/>
      <c r="DJ1832" s="59"/>
      <c r="DK1832" s="59"/>
      <c r="DL1832" s="59"/>
      <c r="DM1832" s="59"/>
      <c r="DN1832" s="59"/>
      <c r="DO1832" s="59"/>
      <c r="DP1832" s="59"/>
      <c r="DQ1832" s="59"/>
      <c r="DR1832" s="59"/>
      <c r="DS1832" s="59"/>
      <c r="DT1832" s="59"/>
      <c r="DU1832" s="59"/>
      <c r="DV1832" s="59"/>
    </row>
    <row r="1833" spans="1:126" x14ac:dyDescent="0.3">
      <c r="A1833" s="5"/>
      <c r="B1833" s="5" t="s">
        <v>255</v>
      </c>
      <c r="C1833" s="5"/>
      <c r="D1833" s="5" t="s">
        <v>10</v>
      </c>
      <c r="E1833" s="15">
        <f>6.07</f>
        <v>6.07</v>
      </c>
      <c r="F1833" s="15"/>
      <c r="G1833" s="15"/>
    </row>
    <row r="1834" spans="1:126" x14ac:dyDescent="0.3">
      <c r="A1834" s="5"/>
      <c r="B1834" s="5" t="s">
        <v>398</v>
      </c>
      <c r="C1834" s="5"/>
      <c r="D1834" s="5" t="s">
        <v>69</v>
      </c>
      <c r="E1834" s="15">
        <f>5.52</f>
        <v>5.52</v>
      </c>
      <c r="F1834" s="15"/>
      <c r="G1834" s="15"/>
    </row>
    <row r="1835" spans="1:126" s="3" customFormat="1" x14ac:dyDescent="0.3">
      <c r="A1835" s="21"/>
      <c r="B1835" s="21" t="s">
        <v>437</v>
      </c>
      <c r="C1835" s="21"/>
      <c r="D1835" s="21"/>
      <c r="E1835" s="22"/>
      <c r="F1835" s="22"/>
      <c r="G1835" s="22"/>
      <c r="H1835" s="59"/>
      <c r="I1835" s="59"/>
      <c r="J1835" s="59"/>
      <c r="K1835" s="59"/>
      <c r="L1835" s="59"/>
      <c r="M1835" s="59"/>
      <c r="N1835" s="59"/>
      <c r="O1835" s="59"/>
      <c r="P1835" s="59"/>
      <c r="Q1835" s="59"/>
      <c r="R1835" s="59"/>
      <c r="S1835" s="59"/>
      <c r="T1835" s="59"/>
      <c r="U1835" s="59"/>
      <c r="V1835" s="59"/>
      <c r="W1835" s="59"/>
      <c r="X1835" s="59"/>
      <c r="Y1835" s="59"/>
      <c r="Z1835" s="59"/>
      <c r="AA1835" s="59"/>
      <c r="AB1835" s="59"/>
      <c r="AC1835" s="59"/>
      <c r="AD1835" s="59"/>
      <c r="AE1835" s="59"/>
      <c r="AF1835" s="59"/>
      <c r="AG1835" s="59"/>
      <c r="AH1835" s="59"/>
      <c r="AI1835" s="59"/>
      <c r="AJ1835" s="59"/>
      <c r="AK1835" s="59"/>
      <c r="AL1835" s="59"/>
      <c r="AM1835" s="59"/>
      <c r="AN1835" s="59"/>
      <c r="AO1835" s="59"/>
      <c r="AP1835" s="59"/>
      <c r="AQ1835" s="59"/>
      <c r="AR1835" s="59"/>
      <c r="AS1835" s="59"/>
      <c r="AT1835" s="59"/>
      <c r="AU1835" s="59"/>
      <c r="AV1835" s="59"/>
      <c r="AW1835" s="59"/>
      <c r="AX1835" s="59"/>
      <c r="AY1835" s="59"/>
      <c r="AZ1835" s="59"/>
      <c r="BA1835" s="59"/>
      <c r="BB1835" s="59"/>
      <c r="BC1835" s="59"/>
      <c r="BD1835" s="59"/>
      <c r="BE1835" s="59"/>
      <c r="BF1835" s="59"/>
      <c r="BG1835" s="59"/>
      <c r="BH1835" s="59"/>
      <c r="BI1835" s="59"/>
      <c r="BJ1835" s="59"/>
      <c r="BK1835" s="59"/>
      <c r="BL1835" s="59"/>
      <c r="BM1835" s="59"/>
      <c r="BN1835" s="59"/>
      <c r="BO1835" s="59"/>
      <c r="BP1835" s="59"/>
      <c r="BQ1835" s="59"/>
      <c r="BR1835" s="59"/>
      <c r="BS1835" s="59"/>
      <c r="BT1835" s="59"/>
      <c r="BU1835" s="59"/>
      <c r="BV1835" s="59"/>
      <c r="BW1835" s="59"/>
      <c r="BX1835" s="59"/>
      <c r="BY1835" s="59"/>
      <c r="BZ1835" s="59"/>
      <c r="CA1835" s="59"/>
      <c r="CB1835" s="59"/>
      <c r="CC1835" s="59"/>
      <c r="CD1835" s="59"/>
      <c r="CE1835" s="59"/>
      <c r="CF1835" s="59"/>
      <c r="CG1835" s="59"/>
      <c r="CH1835" s="59"/>
      <c r="CI1835" s="59"/>
      <c r="CJ1835" s="59"/>
      <c r="CK1835" s="59"/>
      <c r="CL1835" s="59"/>
      <c r="CM1835" s="59"/>
      <c r="CN1835" s="59"/>
      <c r="CO1835" s="59"/>
      <c r="CP1835" s="59"/>
      <c r="CQ1835" s="59"/>
      <c r="CR1835" s="59"/>
      <c r="CS1835" s="59"/>
      <c r="CT1835" s="59"/>
      <c r="CU1835" s="59"/>
      <c r="CV1835" s="59"/>
      <c r="CW1835" s="59"/>
      <c r="CX1835" s="59"/>
      <c r="CY1835" s="59"/>
      <c r="CZ1835" s="59"/>
      <c r="DA1835" s="59"/>
      <c r="DB1835" s="59"/>
      <c r="DC1835" s="59"/>
      <c r="DD1835" s="59"/>
      <c r="DE1835" s="59"/>
      <c r="DF1835" s="59"/>
      <c r="DG1835" s="59"/>
      <c r="DH1835" s="59"/>
      <c r="DI1835" s="59"/>
      <c r="DJ1835" s="59"/>
      <c r="DK1835" s="59"/>
      <c r="DL1835" s="59"/>
      <c r="DM1835" s="59"/>
      <c r="DN1835" s="59"/>
      <c r="DO1835" s="59"/>
      <c r="DP1835" s="59"/>
      <c r="DQ1835" s="59"/>
      <c r="DR1835" s="59"/>
      <c r="DS1835" s="59"/>
      <c r="DT1835" s="59"/>
      <c r="DU1835" s="59"/>
      <c r="DV1835" s="59"/>
    </row>
    <row r="1836" spans="1:126" ht="31.2" x14ac:dyDescent="0.3">
      <c r="A1836" s="5"/>
      <c r="B1836" s="11" t="s">
        <v>400</v>
      </c>
      <c r="C1836" s="5"/>
      <c r="D1836" s="5" t="s">
        <v>14</v>
      </c>
      <c r="E1836" s="15">
        <f>138</f>
        <v>138</v>
      </c>
      <c r="F1836" s="15"/>
      <c r="G1836" s="15"/>
    </row>
    <row r="1837" spans="1:126" ht="31.2" x14ac:dyDescent="0.3">
      <c r="A1837" s="5"/>
      <c r="B1837" s="11" t="s">
        <v>401</v>
      </c>
      <c r="C1837" s="5"/>
      <c r="D1837" s="5" t="s">
        <v>14</v>
      </c>
      <c r="E1837" s="15">
        <f>138</f>
        <v>138</v>
      </c>
      <c r="F1837" s="15"/>
      <c r="G1837" s="15"/>
    </row>
    <row r="1838" spans="1:126" s="3" customFormat="1" x14ac:dyDescent="0.3">
      <c r="A1838" s="21"/>
      <c r="B1838" s="21" t="s">
        <v>438</v>
      </c>
      <c r="C1838" s="21"/>
      <c r="D1838" s="21" t="s">
        <v>69</v>
      </c>
      <c r="E1838" s="22">
        <f>4598</f>
        <v>4598</v>
      </c>
      <c r="F1838" s="22"/>
      <c r="G1838" s="22"/>
      <c r="H1838" s="59"/>
      <c r="I1838" s="59"/>
      <c r="J1838" s="59"/>
      <c r="K1838" s="59"/>
      <c r="L1838" s="59"/>
      <c r="M1838" s="59"/>
      <c r="N1838" s="59"/>
      <c r="O1838" s="59"/>
      <c r="P1838" s="59"/>
      <c r="Q1838" s="59"/>
      <c r="R1838" s="59"/>
      <c r="S1838" s="59"/>
      <c r="T1838" s="59"/>
      <c r="U1838" s="59"/>
      <c r="V1838" s="59"/>
      <c r="W1838" s="59"/>
      <c r="X1838" s="59"/>
      <c r="Y1838" s="59"/>
      <c r="Z1838" s="59"/>
      <c r="AA1838" s="59"/>
      <c r="AB1838" s="59"/>
      <c r="AC1838" s="59"/>
      <c r="AD1838" s="59"/>
      <c r="AE1838" s="59"/>
      <c r="AF1838" s="59"/>
      <c r="AG1838" s="59"/>
      <c r="AH1838" s="59"/>
      <c r="AI1838" s="59"/>
      <c r="AJ1838" s="59"/>
      <c r="AK1838" s="59"/>
      <c r="AL1838" s="59"/>
      <c r="AM1838" s="59"/>
      <c r="AN1838" s="59"/>
      <c r="AO1838" s="59"/>
      <c r="AP1838" s="59"/>
      <c r="AQ1838" s="59"/>
      <c r="AR1838" s="59"/>
      <c r="AS1838" s="59"/>
      <c r="AT1838" s="59"/>
      <c r="AU1838" s="59"/>
      <c r="AV1838" s="59"/>
      <c r="AW1838" s="59"/>
      <c r="AX1838" s="59"/>
      <c r="AY1838" s="59"/>
      <c r="AZ1838" s="59"/>
      <c r="BA1838" s="59"/>
      <c r="BB1838" s="59"/>
      <c r="BC1838" s="59"/>
      <c r="BD1838" s="59"/>
      <c r="BE1838" s="59"/>
      <c r="BF1838" s="59"/>
      <c r="BG1838" s="59"/>
      <c r="BH1838" s="59"/>
      <c r="BI1838" s="59"/>
      <c r="BJ1838" s="59"/>
      <c r="BK1838" s="59"/>
      <c r="BL1838" s="59"/>
      <c r="BM1838" s="59"/>
      <c r="BN1838" s="59"/>
      <c r="BO1838" s="59"/>
      <c r="BP1838" s="59"/>
      <c r="BQ1838" s="59"/>
      <c r="BR1838" s="59"/>
      <c r="BS1838" s="59"/>
      <c r="BT1838" s="59"/>
      <c r="BU1838" s="59"/>
      <c r="BV1838" s="59"/>
      <c r="BW1838" s="59"/>
      <c r="BX1838" s="59"/>
      <c r="BY1838" s="59"/>
      <c r="BZ1838" s="59"/>
      <c r="CA1838" s="59"/>
      <c r="CB1838" s="59"/>
      <c r="CC1838" s="59"/>
      <c r="CD1838" s="59"/>
      <c r="CE1838" s="59"/>
      <c r="CF1838" s="59"/>
      <c r="CG1838" s="59"/>
      <c r="CH1838" s="59"/>
      <c r="CI1838" s="59"/>
      <c r="CJ1838" s="59"/>
      <c r="CK1838" s="59"/>
      <c r="CL1838" s="59"/>
      <c r="CM1838" s="59"/>
      <c r="CN1838" s="59"/>
      <c r="CO1838" s="59"/>
      <c r="CP1838" s="59"/>
      <c r="CQ1838" s="59"/>
      <c r="CR1838" s="59"/>
      <c r="CS1838" s="59"/>
      <c r="CT1838" s="59"/>
      <c r="CU1838" s="59"/>
      <c r="CV1838" s="59"/>
      <c r="CW1838" s="59"/>
      <c r="CX1838" s="59"/>
      <c r="CY1838" s="59"/>
      <c r="CZ1838" s="59"/>
      <c r="DA1838" s="59"/>
      <c r="DB1838" s="59"/>
      <c r="DC1838" s="59"/>
      <c r="DD1838" s="59"/>
      <c r="DE1838" s="59"/>
      <c r="DF1838" s="59"/>
      <c r="DG1838" s="59"/>
      <c r="DH1838" s="59"/>
      <c r="DI1838" s="59"/>
      <c r="DJ1838" s="59"/>
      <c r="DK1838" s="59"/>
      <c r="DL1838" s="59"/>
      <c r="DM1838" s="59"/>
      <c r="DN1838" s="59"/>
      <c r="DO1838" s="59"/>
      <c r="DP1838" s="59"/>
      <c r="DQ1838" s="59"/>
      <c r="DR1838" s="59"/>
      <c r="DS1838" s="59"/>
      <c r="DT1838" s="59"/>
      <c r="DU1838" s="59"/>
      <c r="DV1838" s="59"/>
    </row>
    <row r="1839" spans="1:126" x14ac:dyDescent="0.3">
      <c r="A1839" s="5"/>
      <c r="B1839" s="5" t="s">
        <v>567</v>
      </c>
      <c r="C1839" s="5"/>
      <c r="D1839" s="5" t="s">
        <v>72</v>
      </c>
      <c r="E1839" s="15">
        <v>1517.3400000000001</v>
      </c>
      <c r="F1839" s="15"/>
      <c r="G1839" s="15"/>
    </row>
    <row r="1840" spans="1:126" x14ac:dyDescent="0.3">
      <c r="A1840" s="5"/>
      <c r="B1840" s="5" t="s">
        <v>568</v>
      </c>
      <c r="C1840" s="5"/>
      <c r="D1840" s="5" t="s">
        <v>72</v>
      </c>
      <c r="E1840" s="15">
        <v>12414.6</v>
      </c>
      <c r="F1840" s="15"/>
      <c r="G1840" s="15"/>
    </row>
    <row r="1841" spans="1:126" x14ac:dyDescent="0.3">
      <c r="A1841" s="5"/>
      <c r="B1841" s="5" t="s">
        <v>569</v>
      </c>
      <c r="C1841" s="5"/>
      <c r="D1841" s="5" t="s">
        <v>72</v>
      </c>
      <c r="E1841" s="15">
        <v>1379.3999999999999</v>
      </c>
      <c r="F1841" s="15"/>
      <c r="G1841" s="15"/>
    </row>
    <row r="1842" spans="1:126" x14ac:dyDescent="0.3">
      <c r="A1842" s="5"/>
      <c r="B1842" s="5" t="s">
        <v>566</v>
      </c>
      <c r="C1842" s="5"/>
      <c r="D1842" s="5" t="s">
        <v>72</v>
      </c>
      <c r="E1842" s="15">
        <v>4598</v>
      </c>
      <c r="F1842" s="15"/>
      <c r="G1842" s="15"/>
    </row>
    <row r="1843" spans="1:126" x14ac:dyDescent="0.3">
      <c r="A1843" s="5"/>
      <c r="B1843" s="5" t="s">
        <v>70</v>
      </c>
      <c r="C1843" s="5"/>
      <c r="D1843" s="5" t="s">
        <v>72</v>
      </c>
      <c r="E1843" s="15">
        <v>4598</v>
      </c>
      <c r="F1843" s="15"/>
      <c r="G1843" s="15"/>
    </row>
    <row r="1844" spans="1:126" s="3" customFormat="1" x14ac:dyDescent="0.3">
      <c r="A1844" s="21"/>
      <c r="B1844" s="21" t="s">
        <v>439</v>
      </c>
      <c r="C1844" s="21"/>
      <c r="D1844" s="21"/>
      <c r="E1844" s="22"/>
      <c r="F1844" s="22"/>
      <c r="G1844" s="22"/>
      <c r="H1844" s="59"/>
      <c r="I1844" s="59"/>
      <c r="J1844" s="59"/>
      <c r="K1844" s="59"/>
      <c r="L1844" s="59"/>
      <c r="M1844" s="59"/>
      <c r="N1844" s="59"/>
      <c r="O1844" s="59"/>
      <c r="P1844" s="59"/>
      <c r="Q1844" s="59"/>
      <c r="R1844" s="59"/>
      <c r="S1844" s="59"/>
      <c r="T1844" s="59"/>
      <c r="U1844" s="59"/>
      <c r="V1844" s="59"/>
      <c r="W1844" s="59"/>
      <c r="X1844" s="59"/>
      <c r="Y1844" s="59"/>
      <c r="Z1844" s="59"/>
      <c r="AA1844" s="59"/>
      <c r="AB1844" s="59"/>
      <c r="AC1844" s="59"/>
      <c r="AD1844" s="59"/>
      <c r="AE1844" s="59"/>
      <c r="AF1844" s="59"/>
      <c r="AG1844" s="59"/>
      <c r="AH1844" s="59"/>
      <c r="AI1844" s="59"/>
      <c r="AJ1844" s="59"/>
      <c r="AK1844" s="59"/>
      <c r="AL1844" s="59"/>
      <c r="AM1844" s="59"/>
      <c r="AN1844" s="59"/>
      <c r="AO1844" s="59"/>
      <c r="AP1844" s="59"/>
      <c r="AQ1844" s="59"/>
      <c r="AR1844" s="59"/>
      <c r="AS1844" s="59"/>
      <c r="AT1844" s="59"/>
      <c r="AU1844" s="59"/>
      <c r="AV1844" s="59"/>
      <c r="AW1844" s="59"/>
      <c r="AX1844" s="59"/>
      <c r="AY1844" s="59"/>
      <c r="AZ1844" s="59"/>
      <c r="BA1844" s="59"/>
      <c r="BB1844" s="59"/>
      <c r="BC1844" s="59"/>
      <c r="BD1844" s="59"/>
      <c r="BE1844" s="59"/>
      <c r="BF1844" s="59"/>
      <c r="BG1844" s="59"/>
      <c r="BH1844" s="59"/>
      <c r="BI1844" s="59"/>
      <c r="BJ1844" s="59"/>
      <c r="BK1844" s="59"/>
      <c r="BL1844" s="59"/>
      <c r="BM1844" s="59"/>
      <c r="BN1844" s="59"/>
      <c r="BO1844" s="59"/>
      <c r="BP1844" s="59"/>
      <c r="BQ1844" s="59"/>
      <c r="BR1844" s="59"/>
      <c r="BS1844" s="59"/>
      <c r="BT1844" s="59"/>
      <c r="BU1844" s="59"/>
      <c r="BV1844" s="59"/>
      <c r="BW1844" s="59"/>
      <c r="BX1844" s="59"/>
      <c r="BY1844" s="59"/>
      <c r="BZ1844" s="59"/>
      <c r="CA1844" s="59"/>
      <c r="CB1844" s="59"/>
      <c r="CC1844" s="59"/>
      <c r="CD1844" s="59"/>
      <c r="CE1844" s="59"/>
      <c r="CF1844" s="59"/>
      <c r="CG1844" s="59"/>
      <c r="CH1844" s="59"/>
      <c r="CI1844" s="59"/>
      <c r="CJ1844" s="59"/>
      <c r="CK1844" s="59"/>
      <c r="CL1844" s="59"/>
      <c r="CM1844" s="59"/>
      <c r="CN1844" s="59"/>
      <c r="CO1844" s="59"/>
      <c r="CP1844" s="59"/>
      <c r="CQ1844" s="59"/>
      <c r="CR1844" s="59"/>
      <c r="CS1844" s="59"/>
      <c r="CT1844" s="59"/>
      <c r="CU1844" s="59"/>
      <c r="CV1844" s="59"/>
      <c r="CW1844" s="59"/>
      <c r="CX1844" s="59"/>
      <c r="CY1844" s="59"/>
      <c r="CZ1844" s="59"/>
      <c r="DA1844" s="59"/>
      <c r="DB1844" s="59"/>
      <c r="DC1844" s="59"/>
      <c r="DD1844" s="59"/>
      <c r="DE1844" s="59"/>
      <c r="DF1844" s="59"/>
      <c r="DG1844" s="59"/>
      <c r="DH1844" s="59"/>
      <c r="DI1844" s="59"/>
      <c r="DJ1844" s="59"/>
      <c r="DK1844" s="59"/>
      <c r="DL1844" s="59"/>
      <c r="DM1844" s="59"/>
      <c r="DN1844" s="59"/>
      <c r="DO1844" s="59"/>
      <c r="DP1844" s="59"/>
      <c r="DQ1844" s="59"/>
      <c r="DR1844" s="59"/>
      <c r="DS1844" s="59"/>
      <c r="DT1844" s="59"/>
      <c r="DU1844" s="59"/>
      <c r="DV1844" s="59"/>
    </row>
    <row r="1845" spans="1:126" x14ac:dyDescent="0.3">
      <c r="A1845" s="5"/>
      <c r="B1845" s="5" t="s">
        <v>81</v>
      </c>
      <c r="C1845" s="5"/>
      <c r="D1845" s="5" t="s">
        <v>10</v>
      </c>
      <c r="E1845" s="15">
        <f>1.36</f>
        <v>1.36</v>
      </c>
      <c r="F1845" s="15"/>
      <c r="G1845" s="15"/>
    </row>
    <row r="1846" spans="1:126" s="3" customFormat="1" x14ac:dyDescent="0.3">
      <c r="A1846" s="21"/>
      <c r="B1846" s="21" t="s">
        <v>440</v>
      </c>
      <c r="C1846" s="21"/>
      <c r="D1846" s="21"/>
      <c r="E1846" s="22"/>
      <c r="F1846" s="22"/>
      <c r="G1846" s="22"/>
      <c r="H1846" s="59"/>
      <c r="I1846" s="59"/>
      <c r="J1846" s="59"/>
      <c r="K1846" s="59"/>
      <c r="L1846" s="59"/>
      <c r="M1846" s="59"/>
      <c r="N1846" s="59"/>
      <c r="O1846" s="59"/>
      <c r="P1846" s="59"/>
      <c r="Q1846" s="59"/>
      <c r="R1846" s="59"/>
      <c r="S1846" s="59"/>
      <c r="T1846" s="59"/>
      <c r="U1846" s="59"/>
      <c r="V1846" s="59"/>
      <c r="W1846" s="59"/>
      <c r="X1846" s="59"/>
      <c r="Y1846" s="59"/>
      <c r="Z1846" s="59"/>
      <c r="AA1846" s="59"/>
      <c r="AB1846" s="59"/>
      <c r="AC1846" s="59"/>
      <c r="AD1846" s="59"/>
      <c r="AE1846" s="59"/>
      <c r="AF1846" s="59"/>
      <c r="AG1846" s="59"/>
      <c r="AH1846" s="59"/>
      <c r="AI1846" s="59"/>
      <c r="AJ1846" s="59"/>
      <c r="AK1846" s="59"/>
      <c r="AL1846" s="59"/>
      <c r="AM1846" s="59"/>
      <c r="AN1846" s="59"/>
      <c r="AO1846" s="59"/>
      <c r="AP1846" s="59"/>
      <c r="AQ1846" s="59"/>
      <c r="AR1846" s="59"/>
      <c r="AS1846" s="59"/>
      <c r="AT1846" s="59"/>
      <c r="AU1846" s="59"/>
      <c r="AV1846" s="59"/>
      <c r="AW1846" s="59"/>
      <c r="AX1846" s="59"/>
      <c r="AY1846" s="59"/>
      <c r="AZ1846" s="59"/>
      <c r="BA1846" s="59"/>
      <c r="BB1846" s="59"/>
      <c r="BC1846" s="59"/>
      <c r="BD1846" s="59"/>
      <c r="BE1846" s="59"/>
      <c r="BF1846" s="59"/>
      <c r="BG1846" s="59"/>
      <c r="BH1846" s="59"/>
      <c r="BI1846" s="59"/>
      <c r="BJ1846" s="59"/>
      <c r="BK1846" s="59"/>
      <c r="BL1846" s="59"/>
      <c r="BM1846" s="59"/>
      <c r="BN1846" s="59"/>
      <c r="BO1846" s="59"/>
      <c r="BP1846" s="59"/>
      <c r="BQ1846" s="59"/>
      <c r="BR1846" s="59"/>
      <c r="BS1846" s="59"/>
      <c r="BT1846" s="59"/>
      <c r="BU1846" s="59"/>
      <c r="BV1846" s="59"/>
      <c r="BW1846" s="59"/>
      <c r="BX1846" s="59"/>
      <c r="BY1846" s="59"/>
      <c r="BZ1846" s="59"/>
      <c r="CA1846" s="59"/>
      <c r="CB1846" s="59"/>
      <c r="CC1846" s="59"/>
      <c r="CD1846" s="59"/>
      <c r="CE1846" s="59"/>
      <c r="CF1846" s="59"/>
      <c r="CG1846" s="59"/>
      <c r="CH1846" s="59"/>
      <c r="CI1846" s="59"/>
      <c r="CJ1846" s="59"/>
      <c r="CK1846" s="59"/>
      <c r="CL1846" s="59"/>
      <c r="CM1846" s="59"/>
      <c r="CN1846" s="59"/>
      <c r="CO1846" s="59"/>
      <c r="CP1846" s="59"/>
      <c r="CQ1846" s="59"/>
      <c r="CR1846" s="59"/>
      <c r="CS1846" s="59"/>
      <c r="CT1846" s="59"/>
      <c r="CU1846" s="59"/>
      <c r="CV1846" s="59"/>
      <c r="CW1846" s="59"/>
      <c r="CX1846" s="59"/>
      <c r="CY1846" s="59"/>
      <c r="CZ1846" s="59"/>
      <c r="DA1846" s="59"/>
      <c r="DB1846" s="59"/>
      <c r="DC1846" s="59"/>
      <c r="DD1846" s="59"/>
      <c r="DE1846" s="59"/>
      <c r="DF1846" s="59"/>
      <c r="DG1846" s="59"/>
      <c r="DH1846" s="59"/>
      <c r="DI1846" s="59"/>
      <c r="DJ1846" s="59"/>
      <c r="DK1846" s="59"/>
      <c r="DL1846" s="59"/>
      <c r="DM1846" s="59"/>
      <c r="DN1846" s="59"/>
      <c r="DO1846" s="59"/>
      <c r="DP1846" s="59"/>
      <c r="DQ1846" s="59"/>
      <c r="DR1846" s="59"/>
      <c r="DS1846" s="59"/>
      <c r="DT1846" s="59"/>
      <c r="DU1846" s="59"/>
      <c r="DV1846" s="59"/>
    </row>
    <row r="1847" spans="1:126" x14ac:dyDescent="0.3">
      <c r="A1847" s="5"/>
      <c r="B1847" s="5" t="s">
        <v>80</v>
      </c>
      <c r="C1847" s="5"/>
      <c r="D1847" s="5" t="s">
        <v>10</v>
      </c>
      <c r="E1847" s="15">
        <f>0.96</f>
        <v>0.96</v>
      </c>
      <c r="F1847" s="15"/>
      <c r="G1847" s="15"/>
    </row>
    <row r="1848" spans="1:126" s="3" customFormat="1" x14ac:dyDescent="0.3">
      <c r="A1848" s="21"/>
      <c r="B1848" s="21" t="s">
        <v>441</v>
      </c>
      <c r="C1848" s="21"/>
      <c r="D1848" s="21"/>
      <c r="E1848" s="22"/>
      <c r="F1848" s="22"/>
      <c r="G1848" s="22"/>
      <c r="H1848" s="59"/>
      <c r="I1848" s="59"/>
      <c r="J1848" s="59"/>
      <c r="K1848" s="59"/>
      <c r="L1848" s="59"/>
      <c r="M1848" s="59"/>
      <c r="N1848" s="59"/>
      <c r="O1848" s="59"/>
      <c r="P1848" s="59"/>
      <c r="Q1848" s="59"/>
      <c r="R1848" s="59"/>
      <c r="S1848" s="59"/>
      <c r="T1848" s="59"/>
      <c r="U1848" s="59"/>
      <c r="V1848" s="59"/>
      <c r="W1848" s="59"/>
      <c r="X1848" s="59"/>
      <c r="Y1848" s="59"/>
      <c r="Z1848" s="59"/>
      <c r="AA1848" s="59"/>
      <c r="AB1848" s="59"/>
      <c r="AC1848" s="59"/>
      <c r="AD1848" s="59"/>
      <c r="AE1848" s="59"/>
      <c r="AF1848" s="59"/>
      <c r="AG1848" s="59"/>
      <c r="AH1848" s="59"/>
      <c r="AI1848" s="59"/>
      <c r="AJ1848" s="59"/>
      <c r="AK1848" s="59"/>
      <c r="AL1848" s="59"/>
      <c r="AM1848" s="59"/>
      <c r="AN1848" s="59"/>
      <c r="AO1848" s="59"/>
      <c r="AP1848" s="59"/>
      <c r="AQ1848" s="59"/>
      <c r="AR1848" s="59"/>
      <c r="AS1848" s="59"/>
      <c r="AT1848" s="59"/>
      <c r="AU1848" s="59"/>
      <c r="AV1848" s="59"/>
      <c r="AW1848" s="59"/>
      <c r="AX1848" s="59"/>
      <c r="AY1848" s="59"/>
      <c r="AZ1848" s="59"/>
      <c r="BA1848" s="59"/>
      <c r="BB1848" s="59"/>
      <c r="BC1848" s="59"/>
      <c r="BD1848" s="59"/>
      <c r="BE1848" s="59"/>
      <c r="BF1848" s="59"/>
      <c r="BG1848" s="59"/>
      <c r="BH1848" s="59"/>
      <c r="BI1848" s="59"/>
      <c r="BJ1848" s="59"/>
      <c r="BK1848" s="59"/>
      <c r="BL1848" s="59"/>
      <c r="BM1848" s="59"/>
      <c r="BN1848" s="59"/>
      <c r="BO1848" s="59"/>
      <c r="BP1848" s="59"/>
      <c r="BQ1848" s="59"/>
      <c r="BR1848" s="59"/>
      <c r="BS1848" s="59"/>
      <c r="BT1848" s="59"/>
      <c r="BU1848" s="59"/>
      <c r="BV1848" s="59"/>
      <c r="BW1848" s="59"/>
      <c r="BX1848" s="59"/>
      <c r="BY1848" s="59"/>
      <c r="BZ1848" s="59"/>
      <c r="CA1848" s="59"/>
      <c r="CB1848" s="59"/>
      <c r="CC1848" s="59"/>
      <c r="CD1848" s="59"/>
      <c r="CE1848" s="59"/>
      <c r="CF1848" s="59"/>
      <c r="CG1848" s="59"/>
      <c r="CH1848" s="59"/>
      <c r="CI1848" s="59"/>
      <c r="CJ1848" s="59"/>
      <c r="CK1848" s="59"/>
      <c r="CL1848" s="59"/>
      <c r="CM1848" s="59"/>
      <c r="CN1848" s="59"/>
      <c r="CO1848" s="59"/>
      <c r="CP1848" s="59"/>
      <c r="CQ1848" s="59"/>
      <c r="CR1848" s="59"/>
      <c r="CS1848" s="59"/>
      <c r="CT1848" s="59"/>
      <c r="CU1848" s="59"/>
      <c r="CV1848" s="59"/>
      <c r="CW1848" s="59"/>
      <c r="CX1848" s="59"/>
      <c r="CY1848" s="59"/>
      <c r="CZ1848" s="59"/>
      <c r="DA1848" s="59"/>
      <c r="DB1848" s="59"/>
      <c r="DC1848" s="59"/>
      <c r="DD1848" s="59"/>
      <c r="DE1848" s="59"/>
      <c r="DF1848" s="59"/>
      <c r="DG1848" s="59"/>
      <c r="DH1848" s="59"/>
      <c r="DI1848" s="59"/>
      <c r="DJ1848" s="59"/>
      <c r="DK1848" s="59"/>
      <c r="DL1848" s="59"/>
      <c r="DM1848" s="59"/>
      <c r="DN1848" s="59"/>
      <c r="DO1848" s="59"/>
      <c r="DP1848" s="59"/>
      <c r="DQ1848" s="59"/>
      <c r="DR1848" s="59"/>
      <c r="DS1848" s="59"/>
      <c r="DT1848" s="59"/>
      <c r="DU1848" s="59"/>
      <c r="DV1848" s="59"/>
    </row>
    <row r="1849" spans="1:126" ht="31.2" x14ac:dyDescent="0.3">
      <c r="A1849" s="5"/>
      <c r="B1849" s="11" t="s">
        <v>404</v>
      </c>
      <c r="C1849" s="5"/>
      <c r="D1849" s="5" t="s">
        <v>8</v>
      </c>
      <c r="E1849" s="15">
        <f>0.59</f>
        <v>0.59</v>
      </c>
      <c r="F1849" s="15"/>
      <c r="G1849" s="15"/>
    </row>
    <row r="1850" spans="1:126" x14ac:dyDescent="0.3">
      <c r="A1850" s="5"/>
      <c r="B1850" s="5" t="s">
        <v>405</v>
      </c>
      <c r="C1850" s="5"/>
      <c r="D1850" s="5" t="s">
        <v>14</v>
      </c>
      <c r="E1850" s="15">
        <f>40</f>
        <v>40</v>
      </c>
      <c r="F1850" s="15"/>
      <c r="G1850" s="15"/>
    </row>
    <row r="1851" spans="1:126" x14ac:dyDescent="0.3">
      <c r="A1851" s="5"/>
      <c r="B1851" s="5" t="s">
        <v>407</v>
      </c>
      <c r="C1851" s="5"/>
      <c r="D1851" s="5" t="s">
        <v>14</v>
      </c>
      <c r="E1851" s="15">
        <f>160</f>
        <v>160</v>
      </c>
      <c r="F1851" s="15"/>
      <c r="G1851" s="15"/>
    </row>
    <row r="1852" spans="1:126" x14ac:dyDescent="0.3">
      <c r="A1852" s="5"/>
      <c r="B1852" s="5" t="s">
        <v>406</v>
      </c>
      <c r="C1852" s="5"/>
      <c r="D1852" s="5" t="s">
        <v>14</v>
      </c>
      <c r="E1852" s="15">
        <f>80</f>
        <v>80</v>
      </c>
      <c r="F1852" s="15"/>
      <c r="G1852" s="15"/>
    </row>
    <row r="1853" spans="1:126" s="3" customFormat="1" x14ac:dyDescent="0.3">
      <c r="A1853" s="21"/>
      <c r="B1853" s="21" t="s">
        <v>63</v>
      </c>
      <c r="C1853" s="21"/>
      <c r="D1853" s="21"/>
      <c r="E1853" s="22"/>
      <c r="F1853" s="22"/>
      <c r="G1853" s="22"/>
      <c r="H1853" s="59"/>
      <c r="I1853" s="59"/>
      <c r="J1853" s="59"/>
      <c r="K1853" s="59"/>
      <c r="L1853" s="59"/>
      <c r="M1853" s="59"/>
      <c r="N1853" s="59"/>
      <c r="O1853" s="59"/>
      <c r="P1853" s="59"/>
      <c r="Q1853" s="59"/>
      <c r="R1853" s="59"/>
      <c r="S1853" s="59"/>
      <c r="T1853" s="59"/>
      <c r="U1853" s="59"/>
      <c r="V1853" s="59"/>
      <c r="W1853" s="59"/>
      <c r="X1853" s="59"/>
      <c r="Y1853" s="59"/>
      <c r="Z1853" s="59"/>
      <c r="AA1853" s="59"/>
      <c r="AB1853" s="59"/>
      <c r="AC1853" s="59"/>
      <c r="AD1853" s="59"/>
      <c r="AE1853" s="59"/>
      <c r="AF1853" s="59"/>
      <c r="AG1853" s="59"/>
      <c r="AH1853" s="59"/>
      <c r="AI1853" s="59"/>
      <c r="AJ1853" s="59"/>
      <c r="AK1853" s="59"/>
      <c r="AL1853" s="59"/>
      <c r="AM1853" s="59"/>
      <c r="AN1853" s="59"/>
      <c r="AO1853" s="59"/>
      <c r="AP1853" s="59"/>
      <c r="AQ1853" s="59"/>
      <c r="AR1853" s="59"/>
      <c r="AS1853" s="59"/>
      <c r="AT1853" s="59"/>
      <c r="AU1853" s="59"/>
      <c r="AV1853" s="59"/>
      <c r="AW1853" s="59"/>
      <c r="AX1853" s="59"/>
      <c r="AY1853" s="59"/>
      <c r="AZ1853" s="59"/>
      <c r="BA1853" s="59"/>
      <c r="BB1853" s="59"/>
      <c r="BC1853" s="59"/>
      <c r="BD1853" s="59"/>
      <c r="BE1853" s="59"/>
      <c r="BF1853" s="59"/>
      <c r="BG1853" s="59"/>
      <c r="BH1853" s="59"/>
      <c r="BI1853" s="59"/>
      <c r="BJ1853" s="59"/>
      <c r="BK1853" s="59"/>
      <c r="BL1853" s="59"/>
      <c r="BM1853" s="59"/>
      <c r="BN1853" s="59"/>
      <c r="BO1853" s="59"/>
      <c r="BP1853" s="59"/>
      <c r="BQ1853" s="59"/>
      <c r="BR1853" s="59"/>
      <c r="BS1853" s="59"/>
      <c r="BT1853" s="59"/>
      <c r="BU1853" s="59"/>
      <c r="BV1853" s="59"/>
      <c r="BW1853" s="59"/>
      <c r="BX1853" s="59"/>
      <c r="BY1853" s="59"/>
      <c r="BZ1853" s="59"/>
      <c r="CA1853" s="59"/>
      <c r="CB1853" s="59"/>
      <c r="CC1853" s="59"/>
      <c r="CD1853" s="59"/>
      <c r="CE1853" s="59"/>
      <c r="CF1853" s="59"/>
      <c r="CG1853" s="59"/>
      <c r="CH1853" s="59"/>
      <c r="CI1853" s="59"/>
      <c r="CJ1853" s="59"/>
      <c r="CK1853" s="59"/>
      <c r="CL1853" s="59"/>
      <c r="CM1853" s="59"/>
      <c r="CN1853" s="59"/>
      <c r="CO1853" s="59"/>
      <c r="CP1853" s="59"/>
      <c r="CQ1853" s="59"/>
      <c r="CR1853" s="59"/>
      <c r="CS1853" s="59"/>
      <c r="CT1853" s="59"/>
      <c r="CU1853" s="59"/>
      <c r="CV1853" s="59"/>
      <c r="CW1853" s="59"/>
      <c r="CX1853" s="59"/>
      <c r="CY1853" s="59"/>
      <c r="CZ1853" s="59"/>
      <c r="DA1853" s="59"/>
      <c r="DB1853" s="59"/>
      <c r="DC1853" s="59"/>
      <c r="DD1853" s="59"/>
      <c r="DE1853" s="59"/>
      <c r="DF1853" s="59"/>
      <c r="DG1853" s="59"/>
      <c r="DH1853" s="59"/>
      <c r="DI1853" s="59"/>
      <c r="DJ1853" s="59"/>
      <c r="DK1853" s="59"/>
      <c r="DL1853" s="59"/>
      <c r="DM1853" s="59"/>
      <c r="DN1853" s="59"/>
      <c r="DO1853" s="59"/>
      <c r="DP1853" s="59"/>
      <c r="DQ1853" s="59"/>
      <c r="DR1853" s="59"/>
      <c r="DS1853" s="59"/>
      <c r="DT1853" s="59"/>
      <c r="DU1853" s="59"/>
      <c r="DV1853" s="59"/>
    </row>
    <row r="1854" spans="1:126" x14ac:dyDescent="0.3">
      <c r="A1854" s="5"/>
      <c r="B1854" s="5" t="s">
        <v>442</v>
      </c>
      <c r="C1854" s="5"/>
      <c r="D1854" s="5" t="s">
        <v>17</v>
      </c>
      <c r="E1854" s="15">
        <f>26.4</f>
        <v>26.4</v>
      </c>
      <c r="F1854" s="15"/>
      <c r="G1854" s="15"/>
    </row>
    <row r="1855" spans="1:126" x14ac:dyDescent="0.3">
      <c r="A1855" s="5"/>
      <c r="B1855" s="5" t="s">
        <v>443</v>
      </c>
      <c r="C1855" s="5"/>
      <c r="D1855" s="5" t="s">
        <v>10</v>
      </c>
      <c r="E1855" s="15">
        <f>5.2</f>
        <v>5.2</v>
      </c>
      <c r="F1855" s="15"/>
      <c r="G1855" s="15"/>
    </row>
    <row r="1856" spans="1:126" x14ac:dyDescent="0.3">
      <c r="A1856" s="5"/>
      <c r="B1856" s="5" t="s">
        <v>124</v>
      </c>
      <c r="C1856" s="5"/>
      <c r="D1856" s="5" t="s">
        <v>8</v>
      </c>
      <c r="E1856" s="15">
        <f>0.1268*E1855</f>
        <v>0.65936000000000006</v>
      </c>
      <c r="F1856" s="15"/>
      <c r="G1856" s="15"/>
    </row>
    <row r="1857" spans="1:126" x14ac:dyDescent="0.3">
      <c r="A1857" s="5"/>
      <c r="B1857" s="5" t="s">
        <v>444</v>
      </c>
      <c r="C1857" s="5"/>
      <c r="D1857" s="5" t="s">
        <v>8</v>
      </c>
      <c r="E1857" s="15">
        <f>0.01268*E1855</f>
        <v>6.5936000000000008E-2</v>
      </c>
      <c r="F1857" s="15"/>
      <c r="G1857" s="15"/>
    </row>
    <row r="1858" spans="1:126" x14ac:dyDescent="0.3">
      <c r="A1858" s="5"/>
      <c r="B1858" s="5" t="s">
        <v>445</v>
      </c>
      <c r="C1858" s="5"/>
      <c r="D1858" s="5" t="s">
        <v>17</v>
      </c>
      <c r="E1858" s="15">
        <f>39.6</f>
        <v>39.6</v>
      </c>
      <c r="F1858" s="15"/>
      <c r="G1858" s="15"/>
    </row>
    <row r="1859" spans="1:126" x14ac:dyDescent="0.3">
      <c r="A1859" s="5"/>
      <c r="B1859" s="5" t="s">
        <v>446</v>
      </c>
      <c r="C1859" s="5"/>
      <c r="D1859" s="5" t="s">
        <v>17</v>
      </c>
      <c r="E1859" s="15">
        <f>13.2</f>
        <v>13.2</v>
      </c>
      <c r="F1859" s="15"/>
      <c r="G1859" s="15"/>
    </row>
    <row r="1860" spans="1:126" x14ac:dyDescent="0.3">
      <c r="A1860" s="5"/>
      <c r="B1860" s="5" t="s">
        <v>443</v>
      </c>
      <c r="C1860" s="5"/>
      <c r="D1860" s="5" t="s">
        <v>10</v>
      </c>
      <c r="E1860" s="15">
        <f>5.2</f>
        <v>5.2</v>
      </c>
      <c r="F1860" s="15"/>
      <c r="G1860" s="15"/>
    </row>
    <row r="1861" spans="1:126" x14ac:dyDescent="0.3">
      <c r="A1861" s="5"/>
      <c r="B1861" s="5" t="s">
        <v>124</v>
      </c>
      <c r="C1861" s="5"/>
      <c r="D1861" s="5" t="s">
        <v>8</v>
      </c>
      <c r="E1861" s="15">
        <f>0.1268*E1860</f>
        <v>0.65936000000000006</v>
      </c>
      <c r="F1861" s="15"/>
      <c r="G1861" s="15"/>
    </row>
    <row r="1862" spans="1:126" x14ac:dyDescent="0.3">
      <c r="A1862" s="5"/>
      <c r="B1862" s="5" t="s">
        <v>444</v>
      </c>
      <c r="C1862" s="5"/>
      <c r="D1862" s="5" t="s">
        <v>8</v>
      </c>
      <c r="E1862" s="15">
        <f>0.01268*E1860</f>
        <v>6.5936000000000008E-2</v>
      </c>
      <c r="F1862" s="15"/>
      <c r="G1862" s="15"/>
    </row>
    <row r="1863" spans="1:126" s="3" customFormat="1" x14ac:dyDescent="0.3">
      <c r="A1863" s="21"/>
      <c r="B1863" s="21" t="s">
        <v>447</v>
      </c>
      <c r="C1863" s="21"/>
      <c r="D1863" s="21"/>
      <c r="E1863" s="22"/>
      <c r="F1863" s="22"/>
      <c r="G1863" s="22"/>
      <c r="H1863" s="59"/>
      <c r="I1863" s="59"/>
      <c r="J1863" s="59"/>
      <c r="K1863" s="59"/>
      <c r="L1863" s="59"/>
      <c r="M1863" s="59"/>
      <c r="N1863" s="59"/>
      <c r="O1863" s="59"/>
      <c r="P1863" s="59"/>
      <c r="Q1863" s="59"/>
      <c r="R1863" s="59"/>
      <c r="S1863" s="59"/>
      <c r="T1863" s="59"/>
      <c r="U1863" s="59"/>
      <c r="V1863" s="59"/>
      <c r="W1863" s="59"/>
      <c r="X1863" s="59"/>
      <c r="Y1863" s="59"/>
      <c r="Z1863" s="59"/>
      <c r="AA1863" s="59"/>
      <c r="AB1863" s="59"/>
      <c r="AC1863" s="59"/>
      <c r="AD1863" s="59"/>
      <c r="AE1863" s="59"/>
      <c r="AF1863" s="59"/>
      <c r="AG1863" s="59"/>
      <c r="AH1863" s="59"/>
      <c r="AI1863" s="59"/>
      <c r="AJ1863" s="59"/>
      <c r="AK1863" s="59"/>
      <c r="AL1863" s="59"/>
      <c r="AM1863" s="59"/>
      <c r="AN1863" s="59"/>
      <c r="AO1863" s="59"/>
      <c r="AP1863" s="59"/>
      <c r="AQ1863" s="59"/>
      <c r="AR1863" s="59"/>
      <c r="AS1863" s="59"/>
      <c r="AT1863" s="59"/>
      <c r="AU1863" s="59"/>
      <c r="AV1863" s="59"/>
      <c r="AW1863" s="59"/>
      <c r="AX1863" s="59"/>
      <c r="AY1863" s="59"/>
      <c r="AZ1863" s="59"/>
      <c r="BA1863" s="59"/>
      <c r="BB1863" s="59"/>
      <c r="BC1863" s="59"/>
      <c r="BD1863" s="59"/>
      <c r="BE1863" s="59"/>
      <c r="BF1863" s="59"/>
      <c r="BG1863" s="59"/>
      <c r="BH1863" s="59"/>
      <c r="BI1863" s="59"/>
      <c r="BJ1863" s="59"/>
      <c r="BK1863" s="59"/>
      <c r="BL1863" s="59"/>
      <c r="BM1863" s="59"/>
      <c r="BN1863" s="59"/>
      <c r="BO1863" s="59"/>
      <c r="BP1863" s="59"/>
      <c r="BQ1863" s="59"/>
      <c r="BR1863" s="59"/>
      <c r="BS1863" s="59"/>
      <c r="BT1863" s="59"/>
      <c r="BU1863" s="59"/>
      <c r="BV1863" s="59"/>
      <c r="BW1863" s="59"/>
      <c r="BX1863" s="59"/>
      <c r="BY1863" s="59"/>
      <c r="BZ1863" s="59"/>
      <c r="CA1863" s="59"/>
      <c r="CB1863" s="59"/>
      <c r="CC1863" s="59"/>
      <c r="CD1863" s="59"/>
      <c r="CE1863" s="59"/>
      <c r="CF1863" s="59"/>
      <c r="CG1863" s="59"/>
      <c r="CH1863" s="59"/>
      <c r="CI1863" s="59"/>
      <c r="CJ1863" s="59"/>
      <c r="CK1863" s="59"/>
      <c r="CL1863" s="59"/>
      <c r="CM1863" s="59"/>
      <c r="CN1863" s="59"/>
      <c r="CO1863" s="59"/>
      <c r="CP1863" s="59"/>
      <c r="CQ1863" s="59"/>
      <c r="CR1863" s="59"/>
      <c r="CS1863" s="59"/>
      <c r="CT1863" s="59"/>
      <c r="CU1863" s="59"/>
      <c r="CV1863" s="59"/>
      <c r="CW1863" s="59"/>
      <c r="CX1863" s="59"/>
      <c r="CY1863" s="59"/>
      <c r="CZ1863" s="59"/>
      <c r="DA1863" s="59"/>
      <c r="DB1863" s="59"/>
      <c r="DC1863" s="59"/>
      <c r="DD1863" s="59"/>
      <c r="DE1863" s="59"/>
      <c r="DF1863" s="59"/>
      <c r="DG1863" s="59"/>
      <c r="DH1863" s="59"/>
      <c r="DI1863" s="59"/>
      <c r="DJ1863" s="59"/>
      <c r="DK1863" s="59"/>
      <c r="DL1863" s="59"/>
      <c r="DM1863" s="59"/>
      <c r="DN1863" s="59"/>
      <c r="DO1863" s="59"/>
      <c r="DP1863" s="59"/>
      <c r="DQ1863" s="59"/>
      <c r="DR1863" s="59"/>
      <c r="DS1863" s="59"/>
      <c r="DT1863" s="59"/>
      <c r="DU1863" s="59"/>
      <c r="DV1863" s="59"/>
    </row>
    <row r="1864" spans="1:126" x14ac:dyDescent="0.3">
      <c r="A1864" s="5"/>
      <c r="B1864" s="5" t="s">
        <v>448</v>
      </c>
      <c r="C1864" s="5"/>
      <c r="D1864" s="5" t="s">
        <v>74</v>
      </c>
      <c r="E1864" s="15">
        <f>212.7</f>
        <v>212.7</v>
      </c>
      <c r="F1864" s="15"/>
      <c r="G1864" s="15"/>
    </row>
    <row r="1865" spans="1:126" x14ac:dyDescent="0.3">
      <c r="A1865" s="5"/>
      <c r="B1865" s="5" t="s">
        <v>449</v>
      </c>
      <c r="C1865" s="5"/>
      <c r="D1865" s="5" t="s">
        <v>74</v>
      </c>
      <c r="E1865" s="15">
        <f>209.2</f>
        <v>209.2</v>
      </c>
      <c r="F1865" s="15"/>
      <c r="G1865" s="15"/>
    </row>
    <row r="1866" spans="1:126" x14ac:dyDescent="0.3">
      <c r="A1866" s="5"/>
      <c r="B1866" s="5" t="s">
        <v>450</v>
      </c>
      <c r="C1866" s="5"/>
      <c r="D1866" s="5" t="s">
        <v>14</v>
      </c>
      <c r="E1866" s="15">
        <f>140</f>
        <v>140</v>
      </c>
      <c r="F1866" s="15"/>
      <c r="G1866" s="15"/>
    </row>
    <row r="1867" spans="1:126" x14ac:dyDescent="0.3">
      <c r="A1867" s="5"/>
      <c r="B1867" s="5" t="s">
        <v>451</v>
      </c>
      <c r="C1867" s="5"/>
      <c r="D1867" s="5" t="s">
        <v>14</v>
      </c>
      <c r="E1867" s="15">
        <f>138</f>
        <v>138</v>
      </c>
      <c r="F1867" s="15"/>
      <c r="G1867" s="15"/>
    </row>
    <row r="1868" spans="1:126" ht="31.2" x14ac:dyDescent="0.3">
      <c r="A1868" s="5"/>
      <c r="B1868" s="11" t="s">
        <v>259</v>
      </c>
      <c r="C1868" s="5"/>
      <c r="D1868" s="5" t="s">
        <v>74</v>
      </c>
      <c r="E1868" s="15">
        <f>702.3</f>
        <v>702.3</v>
      </c>
      <c r="F1868" s="15"/>
      <c r="G1868" s="15"/>
    </row>
    <row r="1869" spans="1:126" x14ac:dyDescent="0.3">
      <c r="A1869" s="5"/>
      <c r="B1869" s="5" t="s">
        <v>452</v>
      </c>
      <c r="C1869" s="5"/>
      <c r="D1869" s="5" t="s">
        <v>8</v>
      </c>
      <c r="E1869" s="15">
        <f>0.72</f>
        <v>0.72</v>
      </c>
      <c r="F1869" s="15"/>
      <c r="G1869" s="15"/>
    </row>
    <row r="1870" spans="1:126" x14ac:dyDescent="0.3">
      <c r="A1870" s="5"/>
      <c r="B1870" s="5" t="s">
        <v>453</v>
      </c>
      <c r="C1870" s="5"/>
      <c r="D1870" s="5" t="s">
        <v>14</v>
      </c>
      <c r="E1870" s="15">
        <f>560</f>
        <v>560</v>
      </c>
      <c r="F1870" s="15"/>
      <c r="G1870" s="15"/>
    </row>
    <row r="1871" spans="1:126" x14ac:dyDescent="0.3">
      <c r="A1871" s="5"/>
      <c r="B1871" s="5" t="s">
        <v>454</v>
      </c>
      <c r="C1871" s="5"/>
      <c r="D1871" s="5" t="s">
        <v>14</v>
      </c>
      <c r="E1871" s="15">
        <f>560</f>
        <v>560</v>
      </c>
      <c r="F1871" s="15"/>
      <c r="G1871" s="15"/>
    </row>
    <row r="1872" spans="1:126" x14ac:dyDescent="0.3">
      <c r="A1872" s="5"/>
      <c r="B1872" s="5" t="s">
        <v>455</v>
      </c>
      <c r="C1872" s="5"/>
      <c r="D1872" s="5" t="s">
        <v>14</v>
      </c>
      <c r="E1872" s="15">
        <f>560</f>
        <v>560</v>
      </c>
      <c r="F1872" s="15"/>
      <c r="G1872" s="15"/>
    </row>
    <row r="1873" spans="1:126" x14ac:dyDescent="0.3">
      <c r="A1873" s="5"/>
      <c r="B1873" s="5" t="s">
        <v>456</v>
      </c>
      <c r="C1873" s="5"/>
      <c r="D1873" s="5" t="s">
        <v>14</v>
      </c>
      <c r="E1873" s="15">
        <f>560</f>
        <v>560</v>
      </c>
      <c r="F1873" s="15"/>
      <c r="G1873" s="15"/>
    </row>
    <row r="1874" spans="1:126" x14ac:dyDescent="0.3">
      <c r="A1874" s="5"/>
      <c r="B1874" s="5" t="s">
        <v>456</v>
      </c>
      <c r="C1874" s="5"/>
      <c r="D1874" s="5" t="s">
        <v>14</v>
      </c>
      <c r="E1874" s="15">
        <f>560</f>
        <v>560</v>
      </c>
      <c r="F1874" s="15"/>
      <c r="G1874" s="15"/>
    </row>
    <row r="1875" spans="1:126" x14ac:dyDescent="0.3">
      <c r="A1875" s="5"/>
      <c r="B1875" s="5" t="s">
        <v>457</v>
      </c>
      <c r="C1875" s="5"/>
      <c r="D1875" s="5" t="s">
        <v>14</v>
      </c>
      <c r="E1875" s="15">
        <f>1120</f>
        <v>1120</v>
      </c>
      <c r="F1875" s="15"/>
      <c r="G1875" s="15"/>
    </row>
    <row r="1876" spans="1:126" x14ac:dyDescent="0.3">
      <c r="A1876" s="5"/>
      <c r="B1876" s="5" t="s">
        <v>458</v>
      </c>
      <c r="C1876" s="5"/>
      <c r="D1876" s="5" t="s">
        <v>14</v>
      </c>
      <c r="E1876" s="15">
        <f>560</f>
        <v>560</v>
      </c>
      <c r="F1876" s="15"/>
      <c r="G1876" s="15"/>
    </row>
    <row r="1877" spans="1:126" x14ac:dyDescent="0.3">
      <c r="A1877" s="5"/>
      <c r="B1877" s="5" t="s">
        <v>458</v>
      </c>
      <c r="C1877" s="5"/>
      <c r="D1877" s="5" t="s">
        <v>14</v>
      </c>
      <c r="E1877" s="15">
        <f>560</f>
        <v>560</v>
      </c>
      <c r="F1877" s="15"/>
      <c r="G1877" s="15"/>
    </row>
    <row r="1878" spans="1:126" s="3" customFormat="1" x14ac:dyDescent="0.3">
      <c r="A1878" s="21"/>
      <c r="B1878" s="21" t="s">
        <v>459</v>
      </c>
      <c r="C1878" s="21"/>
      <c r="D1878" s="21"/>
      <c r="E1878" s="22"/>
      <c r="F1878" s="22"/>
      <c r="G1878" s="22"/>
      <c r="H1878" s="59"/>
      <c r="I1878" s="59"/>
      <c r="J1878" s="59"/>
      <c r="K1878" s="59"/>
      <c r="L1878" s="59"/>
      <c r="M1878" s="59"/>
      <c r="N1878" s="59"/>
      <c r="O1878" s="59"/>
      <c r="P1878" s="59"/>
      <c r="Q1878" s="59"/>
      <c r="R1878" s="59"/>
      <c r="S1878" s="59"/>
      <c r="T1878" s="59"/>
      <c r="U1878" s="59"/>
      <c r="V1878" s="59"/>
      <c r="W1878" s="59"/>
      <c r="X1878" s="59"/>
      <c r="Y1878" s="59"/>
      <c r="Z1878" s="59"/>
      <c r="AA1878" s="59"/>
      <c r="AB1878" s="59"/>
      <c r="AC1878" s="59"/>
      <c r="AD1878" s="59"/>
      <c r="AE1878" s="59"/>
      <c r="AF1878" s="59"/>
      <c r="AG1878" s="59"/>
      <c r="AH1878" s="59"/>
      <c r="AI1878" s="59"/>
      <c r="AJ1878" s="59"/>
      <c r="AK1878" s="59"/>
      <c r="AL1878" s="59"/>
      <c r="AM1878" s="59"/>
      <c r="AN1878" s="59"/>
      <c r="AO1878" s="59"/>
      <c r="AP1878" s="59"/>
      <c r="AQ1878" s="59"/>
      <c r="AR1878" s="59"/>
      <c r="AS1878" s="59"/>
      <c r="AT1878" s="59"/>
      <c r="AU1878" s="59"/>
      <c r="AV1878" s="59"/>
      <c r="AW1878" s="59"/>
      <c r="AX1878" s="59"/>
      <c r="AY1878" s="59"/>
      <c r="AZ1878" s="59"/>
      <c r="BA1878" s="59"/>
      <c r="BB1878" s="59"/>
      <c r="BC1878" s="59"/>
      <c r="BD1878" s="59"/>
      <c r="BE1878" s="59"/>
      <c r="BF1878" s="59"/>
      <c r="BG1878" s="59"/>
      <c r="BH1878" s="59"/>
      <c r="BI1878" s="59"/>
      <c r="BJ1878" s="59"/>
      <c r="BK1878" s="59"/>
      <c r="BL1878" s="59"/>
      <c r="BM1878" s="59"/>
      <c r="BN1878" s="59"/>
      <c r="BO1878" s="59"/>
      <c r="BP1878" s="59"/>
      <c r="BQ1878" s="59"/>
      <c r="BR1878" s="59"/>
      <c r="BS1878" s="59"/>
      <c r="BT1878" s="59"/>
      <c r="BU1878" s="59"/>
      <c r="BV1878" s="59"/>
      <c r="BW1878" s="59"/>
      <c r="BX1878" s="59"/>
      <c r="BY1878" s="59"/>
      <c r="BZ1878" s="59"/>
      <c r="CA1878" s="59"/>
      <c r="CB1878" s="59"/>
      <c r="CC1878" s="59"/>
      <c r="CD1878" s="59"/>
      <c r="CE1878" s="59"/>
      <c r="CF1878" s="59"/>
      <c r="CG1878" s="59"/>
      <c r="CH1878" s="59"/>
      <c r="CI1878" s="59"/>
      <c r="CJ1878" s="59"/>
      <c r="CK1878" s="59"/>
      <c r="CL1878" s="59"/>
      <c r="CM1878" s="59"/>
      <c r="CN1878" s="59"/>
      <c r="CO1878" s="59"/>
      <c r="CP1878" s="59"/>
      <c r="CQ1878" s="59"/>
      <c r="CR1878" s="59"/>
      <c r="CS1878" s="59"/>
      <c r="CT1878" s="59"/>
      <c r="CU1878" s="59"/>
      <c r="CV1878" s="59"/>
      <c r="CW1878" s="59"/>
      <c r="CX1878" s="59"/>
      <c r="CY1878" s="59"/>
      <c r="CZ1878" s="59"/>
      <c r="DA1878" s="59"/>
      <c r="DB1878" s="59"/>
      <c r="DC1878" s="59"/>
      <c r="DD1878" s="59"/>
      <c r="DE1878" s="59"/>
      <c r="DF1878" s="59"/>
      <c r="DG1878" s="59"/>
      <c r="DH1878" s="59"/>
      <c r="DI1878" s="59"/>
      <c r="DJ1878" s="59"/>
      <c r="DK1878" s="59"/>
      <c r="DL1878" s="59"/>
      <c r="DM1878" s="59"/>
      <c r="DN1878" s="59"/>
      <c r="DO1878" s="59"/>
      <c r="DP1878" s="59"/>
      <c r="DQ1878" s="59"/>
      <c r="DR1878" s="59"/>
      <c r="DS1878" s="59"/>
      <c r="DT1878" s="59"/>
      <c r="DU1878" s="59"/>
      <c r="DV1878" s="59"/>
    </row>
    <row r="1879" spans="1:126" x14ac:dyDescent="0.3">
      <c r="A1879" s="5"/>
      <c r="B1879" s="5" t="s">
        <v>448</v>
      </c>
      <c r="C1879" s="5"/>
      <c r="D1879" s="5" t="s">
        <v>74</v>
      </c>
      <c r="E1879" s="15">
        <f>257.2</f>
        <v>257.2</v>
      </c>
      <c r="F1879" s="15"/>
      <c r="G1879" s="15"/>
    </row>
    <row r="1880" spans="1:126" x14ac:dyDescent="0.3">
      <c r="A1880" s="5"/>
      <c r="B1880" s="5" t="s">
        <v>460</v>
      </c>
      <c r="C1880" s="5"/>
      <c r="D1880" s="5" t="s">
        <v>74</v>
      </c>
      <c r="E1880" s="15">
        <f>2.1</f>
        <v>2.1</v>
      </c>
      <c r="F1880" s="15"/>
      <c r="G1880" s="15"/>
    </row>
    <row r="1881" spans="1:126" x14ac:dyDescent="0.3">
      <c r="A1881" s="5"/>
      <c r="B1881" s="5" t="s">
        <v>449</v>
      </c>
      <c r="C1881" s="5"/>
      <c r="D1881" s="5" t="s">
        <v>74</v>
      </c>
      <c r="E1881" s="15">
        <f>257.3</f>
        <v>257.3</v>
      </c>
      <c r="F1881" s="15"/>
      <c r="G1881" s="15"/>
    </row>
    <row r="1882" spans="1:126" x14ac:dyDescent="0.3">
      <c r="A1882" s="5"/>
      <c r="B1882" s="5" t="s">
        <v>450</v>
      </c>
      <c r="C1882" s="5"/>
      <c r="D1882" s="5" t="s">
        <v>14</v>
      </c>
      <c r="E1882" s="15">
        <f>138</f>
        <v>138</v>
      </c>
      <c r="F1882" s="15"/>
      <c r="G1882" s="15"/>
    </row>
    <row r="1883" spans="1:126" x14ac:dyDescent="0.3">
      <c r="A1883" s="5"/>
      <c r="B1883" s="5" t="s">
        <v>451</v>
      </c>
      <c r="C1883" s="5"/>
      <c r="D1883" s="5" t="s">
        <v>14</v>
      </c>
      <c r="E1883" s="15">
        <f>140</f>
        <v>140</v>
      </c>
      <c r="F1883" s="15"/>
      <c r="G1883" s="15"/>
    </row>
    <row r="1884" spans="1:126" ht="31.2" x14ac:dyDescent="0.3">
      <c r="A1884" s="5"/>
      <c r="B1884" s="11" t="s">
        <v>259</v>
      </c>
      <c r="C1884" s="5"/>
      <c r="D1884" s="5" t="s">
        <v>74</v>
      </c>
      <c r="E1884" s="15">
        <f>694</f>
        <v>694</v>
      </c>
      <c r="F1884" s="15"/>
      <c r="G1884" s="15"/>
    </row>
    <row r="1885" spans="1:126" x14ac:dyDescent="0.3">
      <c r="A1885" s="5"/>
      <c r="B1885" s="5" t="s">
        <v>452</v>
      </c>
      <c r="C1885" s="5"/>
      <c r="D1885" s="5" t="s">
        <v>8</v>
      </c>
      <c r="E1885" s="15">
        <f>0.72</f>
        <v>0.72</v>
      </c>
      <c r="F1885" s="15"/>
      <c r="G1885" s="15"/>
    </row>
    <row r="1886" spans="1:126" x14ac:dyDescent="0.3">
      <c r="A1886" s="5"/>
      <c r="B1886" s="5" t="s">
        <v>453</v>
      </c>
      <c r="C1886" s="5"/>
      <c r="D1886" s="5" t="s">
        <v>14</v>
      </c>
      <c r="E1886" s="15">
        <f>556</f>
        <v>556</v>
      </c>
      <c r="F1886" s="15"/>
      <c r="G1886" s="15"/>
    </row>
    <row r="1887" spans="1:126" x14ac:dyDescent="0.3">
      <c r="A1887" s="5"/>
      <c r="B1887" s="5" t="s">
        <v>454</v>
      </c>
      <c r="C1887" s="5"/>
      <c r="D1887" s="5" t="s">
        <v>14</v>
      </c>
      <c r="E1887" s="15">
        <f>556</f>
        <v>556</v>
      </c>
      <c r="F1887" s="15"/>
      <c r="G1887" s="15"/>
    </row>
    <row r="1888" spans="1:126" x14ac:dyDescent="0.3">
      <c r="A1888" s="5"/>
      <c r="B1888" s="5" t="s">
        <v>455</v>
      </c>
      <c r="C1888" s="5"/>
      <c r="D1888" s="5" t="s">
        <v>14</v>
      </c>
      <c r="E1888" s="15">
        <f>556</f>
        <v>556</v>
      </c>
      <c r="F1888" s="15"/>
      <c r="G1888" s="15"/>
    </row>
    <row r="1889" spans="1:126" x14ac:dyDescent="0.3">
      <c r="A1889" s="5"/>
      <c r="B1889" s="5" t="s">
        <v>456</v>
      </c>
      <c r="C1889" s="5"/>
      <c r="D1889" s="5" t="s">
        <v>14</v>
      </c>
      <c r="E1889" s="15">
        <f>556</f>
        <v>556</v>
      </c>
      <c r="F1889" s="15"/>
      <c r="G1889" s="15"/>
    </row>
    <row r="1890" spans="1:126" x14ac:dyDescent="0.3">
      <c r="A1890" s="5"/>
      <c r="B1890" s="5" t="s">
        <v>456</v>
      </c>
      <c r="C1890" s="5"/>
      <c r="D1890" s="5" t="s">
        <v>14</v>
      </c>
      <c r="E1890" s="15">
        <f>556</f>
        <v>556</v>
      </c>
      <c r="F1890" s="15"/>
      <c r="G1890" s="15"/>
    </row>
    <row r="1891" spans="1:126" x14ac:dyDescent="0.3">
      <c r="A1891" s="5"/>
      <c r="B1891" s="5" t="s">
        <v>457</v>
      </c>
      <c r="C1891" s="5"/>
      <c r="D1891" s="5" t="s">
        <v>14</v>
      </c>
      <c r="E1891" s="15">
        <f>1112</f>
        <v>1112</v>
      </c>
      <c r="F1891" s="15"/>
      <c r="G1891" s="15"/>
    </row>
    <row r="1892" spans="1:126" x14ac:dyDescent="0.3">
      <c r="A1892" s="5"/>
      <c r="B1892" s="5" t="s">
        <v>458</v>
      </c>
      <c r="C1892" s="5"/>
      <c r="D1892" s="5" t="s">
        <v>14</v>
      </c>
      <c r="E1892" s="15">
        <f>556</f>
        <v>556</v>
      </c>
      <c r="F1892" s="15"/>
      <c r="G1892" s="15"/>
    </row>
    <row r="1893" spans="1:126" x14ac:dyDescent="0.3">
      <c r="A1893" s="5"/>
      <c r="B1893" s="5" t="s">
        <v>458</v>
      </c>
      <c r="C1893" s="5"/>
      <c r="D1893" s="5" t="s">
        <v>14</v>
      </c>
      <c r="E1893" s="15">
        <f>556</f>
        <v>556</v>
      </c>
      <c r="F1893" s="15"/>
      <c r="G1893" s="15"/>
    </row>
    <row r="1894" spans="1:126" s="3" customFormat="1" x14ac:dyDescent="0.3">
      <c r="A1894" s="21"/>
      <c r="B1894" s="21" t="s">
        <v>461</v>
      </c>
      <c r="C1894" s="21"/>
      <c r="D1894" s="21"/>
      <c r="E1894" s="22"/>
      <c r="F1894" s="22"/>
      <c r="G1894" s="22"/>
      <c r="H1894" s="59"/>
      <c r="I1894" s="59"/>
      <c r="J1894" s="59"/>
      <c r="K1894" s="59"/>
      <c r="L1894" s="59"/>
      <c r="M1894" s="59"/>
      <c r="N1894" s="59"/>
      <c r="O1894" s="59"/>
      <c r="P1894" s="59"/>
      <c r="Q1894" s="59"/>
      <c r="R1894" s="59"/>
      <c r="S1894" s="59"/>
      <c r="T1894" s="59"/>
      <c r="U1894" s="59"/>
      <c r="V1894" s="59"/>
      <c r="W1894" s="59"/>
      <c r="X1894" s="59"/>
      <c r="Y1894" s="59"/>
      <c r="Z1894" s="59"/>
      <c r="AA1894" s="59"/>
      <c r="AB1894" s="59"/>
      <c r="AC1894" s="59"/>
      <c r="AD1894" s="59"/>
      <c r="AE1894" s="59"/>
      <c r="AF1894" s="59"/>
      <c r="AG1894" s="59"/>
      <c r="AH1894" s="59"/>
      <c r="AI1894" s="59"/>
      <c r="AJ1894" s="59"/>
      <c r="AK1894" s="59"/>
      <c r="AL1894" s="59"/>
      <c r="AM1894" s="59"/>
      <c r="AN1894" s="59"/>
      <c r="AO1894" s="59"/>
      <c r="AP1894" s="59"/>
      <c r="AQ1894" s="59"/>
      <c r="AR1894" s="59"/>
      <c r="AS1894" s="59"/>
      <c r="AT1894" s="59"/>
      <c r="AU1894" s="59"/>
      <c r="AV1894" s="59"/>
      <c r="AW1894" s="59"/>
      <c r="AX1894" s="59"/>
      <c r="AY1894" s="59"/>
      <c r="AZ1894" s="59"/>
      <c r="BA1894" s="59"/>
      <c r="BB1894" s="59"/>
      <c r="BC1894" s="59"/>
      <c r="BD1894" s="59"/>
      <c r="BE1894" s="59"/>
      <c r="BF1894" s="59"/>
      <c r="BG1894" s="59"/>
      <c r="BH1894" s="59"/>
      <c r="BI1894" s="59"/>
      <c r="BJ1894" s="59"/>
      <c r="BK1894" s="59"/>
      <c r="BL1894" s="59"/>
      <c r="BM1894" s="59"/>
      <c r="BN1894" s="59"/>
      <c r="BO1894" s="59"/>
      <c r="BP1894" s="59"/>
      <c r="BQ1894" s="59"/>
      <c r="BR1894" s="59"/>
      <c r="BS1894" s="59"/>
      <c r="BT1894" s="59"/>
      <c r="BU1894" s="59"/>
      <c r="BV1894" s="59"/>
      <c r="BW1894" s="59"/>
      <c r="BX1894" s="59"/>
      <c r="BY1894" s="59"/>
      <c r="BZ1894" s="59"/>
      <c r="CA1894" s="59"/>
      <c r="CB1894" s="59"/>
      <c r="CC1894" s="59"/>
      <c r="CD1894" s="59"/>
      <c r="CE1894" s="59"/>
      <c r="CF1894" s="59"/>
      <c r="CG1894" s="59"/>
      <c r="CH1894" s="59"/>
      <c r="CI1894" s="59"/>
      <c r="CJ1894" s="59"/>
      <c r="CK1894" s="59"/>
      <c r="CL1894" s="59"/>
      <c r="CM1894" s="59"/>
      <c r="CN1894" s="59"/>
      <c r="CO1894" s="59"/>
      <c r="CP1894" s="59"/>
      <c r="CQ1894" s="59"/>
      <c r="CR1894" s="59"/>
      <c r="CS1894" s="59"/>
      <c r="CT1894" s="59"/>
      <c r="CU1894" s="59"/>
      <c r="CV1894" s="59"/>
      <c r="CW1894" s="59"/>
      <c r="CX1894" s="59"/>
      <c r="CY1894" s="59"/>
      <c r="CZ1894" s="59"/>
      <c r="DA1894" s="59"/>
      <c r="DB1894" s="59"/>
      <c r="DC1894" s="59"/>
      <c r="DD1894" s="59"/>
      <c r="DE1894" s="59"/>
      <c r="DF1894" s="59"/>
      <c r="DG1894" s="59"/>
      <c r="DH1894" s="59"/>
      <c r="DI1894" s="59"/>
      <c r="DJ1894" s="59"/>
      <c r="DK1894" s="59"/>
      <c r="DL1894" s="59"/>
      <c r="DM1894" s="59"/>
      <c r="DN1894" s="59"/>
      <c r="DO1894" s="59"/>
      <c r="DP1894" s="59"/>
      <c r="DQ1894" s="59"/>
      <c r="DR1894" s="59"/>
      <c r="DS1894" s="59"/>
      <c r="DT1894" s="59"/>
      <c r="DU1894" s="59"/>
      <c r="DV1894" s="59"/>
    </row>
    <row r="1895" spans="1:126" x14ac:dyDescent="0.3">
      <c r="A1895" s="5"/>
      <c r="B1895" s="5" t="s">
        <v>448</v>
      </c>
      <c r="C1895" s="5"/>
      <c r="D1895" s="5" t="s">
        <v>74</v>
      </c>
      <c r="E1895" s="15">
        <f>149</f>
        <v>149</v>
      </c>
      <c r="F1895" s="15"/>
      <c r="G1895" s="15"/>
    </row>
    <row r="1896" spans="1:126" x14ac:dyDescent="0.3">
      <c r="A1896" s="5"/>
      <c r="B1896" s="5" t="s">
        <v>449</v>
      </c>
      <c r="C1896" s="5"/>
      <c r="D1896" s="5" t="s">
        <v>74</v>
      </c>
      <c r="E1896" s="15">
        <f>149.1</f>
        <v>149.1</v>
      </c>
      <c r="F1896" s="15"/>
      <c r="G1896" s="15"/>
    </row>
    <row r="1897" spans="1:126" x14ac:dyDescent="0.3">
      <c r="A1897" s="5"/>
      <c r="B1897" s="5" t="s">
        <v>450</v>
      </c>
      <c r="C1897" s="5"/>
      <c r="D1897" s="5" t="s">
        <v>14</v>
      </c>
      <c r="E1897" s="15">
        <f>112</f>
        <v>112</v>
      </c>
      <c r="F1897" s="15"/>
      <c r="G1897" s="15"/>
    </row>
    <row r="1898" spans="1:126" x14ac:dyDescent="0.3">
      <c r="A1898" s="5"/>
      <c r="B1898" s="5" t="s">
        <v>451</v>
      </c>
      <c r="C1898" s="5"/>
      <c r="D1898" s="5" t="s">
        <v>14</v>
      </c>
      <c r="E1898" s="15">
        <f>113</f>
        <v>113</v>
      </c>
      <c r="F1898" s="15"/>
      <c r="G1898" s="15"/>
    </row>
    <row r="1899" spans="1:126" ht="31.2" x14ac:dyDescent="0.3">
      <c r="A1899" s="5"/>
      <c r="B1899" s="11" t="s">
        <v>259</v>
      </c>
      <c r="C1899" s="5"/>
      <c r="D1899" s="5" t="s">
        <v>74</v>
      </c>
      <c r="E1899" s="15">
        <f>568.3</f>
        <v>568.29999999999995</v>
      </c>
      <c r="F1899" s="15"/>
      <c r="G1899" s="15"/>
    </row>
    <row r="1900" spans="1:126" x14ac:dyDescent="0.3">
      <c r="A1900" s="5"/>
      <c r="B1900" s="5" t="s">
        <v>452</v>
      </c>
      <c r="C1900" s="5"/>
      <c r="D1900" s="5" t="s">
        <v>8</v>
      </c>
      <c r="E1900" s="15">
        <f>232</f>
        <v>232</v>
      </c>
      <c r="F1900" s="15"/>
      <c r="G1900" s="15"/>
    </row>
    <row r="1901" spans="1:126" x14ac:dyDescent="0.3">
      <c r="A1901" s="5"/>
      <c r="B1901" s="5" t="s">
        <v>453</v>
      </c>
      <c r="C1901" s="5"/>
      <c r="D1901" s="5" t="s">
        <v>14</v>
      </c>
      <c r="E1901" s="15">
        <f>464</f>
        <v>464</v>
      </c>
      <c r="F1901" s="15"/>
      <c r="G1901" s="15"/>
    </row>
    <row r="1902" spans="1:126" x14ac:dyDescent="0.3">
      <c r="A1902" s="5"/>
      <c r="B1902" s="5" t="s">
        <v>454</v>
      </c>
      <c r="C1902" s="5"/>
      <c r="D1902" s="5" t="s">
        <v>14</v>
      </c>
      <c r="E1902" s="15">
        <f>464</f>
        <v>464</v>
      </c>
      <c r="F1902" s="15"/>
      <c r="G1902" s="15"/>
    </row>
    <row r="1903" spans="1:126" x14ac:dyDescent="0.3">
      <c r="A1903" s="5"/>
      <c r="B1903" s="5" t="s">
        <v>455</v>
      </c>
      <c r="C1903" s="5"/>
      <c r="D1903" s="5" t="s">
        <v>14</v>
      </c>
      <c r="E1903" s="15">
        <f>464</f>
        <v>464</v>
      </c>
      <c r="F1903" s="15"/>
      <c r="G1903" s="15"/>
    </row>
    <row r="1904" spans="1:126" x14ac:dyDescent="0.3">
      <c r="A1904" s="5"/>
      <c r="B1904" s="5" t="s">
        <v>456</v>
      </c>
      <c r="C1904" s="5"/>
      <c r="D1904" s="5" t="s">
        <v>14</v>
      </c>
      <c r="E1904" s="15">
        <f>464</f>
        <v>464</v>
      </c>
      <c r="F1904" s="15"/>
      <c r="G1904" s="15"/>
    </row>
    <row r="1905" spans="1:126" x14ac:dyDescent="0.3">
      <c r="A1905" s="5"/>
      <c r="B1905" s="5" t="s">
        <v>456</v>
      </c>
      <c r="C1905" s="5"/>
      <c r="D1905" s="5" t="s">
        <v>14</v>
      </c>
      <c r="E1905" s="15">
        <f>464</f>
        <v>464</v>
      </c>
      <c r="F1905" s="15"/>
      <c r="G1905" s="15"/>
    </row>
    <row r="1906" spans="1:126" x14ac:dyDescent="0.3">
      <c r="A1906" s="5"/>
      <c r="B1906" s="5" t="s">
        <v>457</v>
      </c>
      <c r="C1906" s="5"/>
      <c r="D1906" s="5" t="s">
        <v>14</v>
      </c>
      <c r="E1906" s="15">
        <f>928</f>
        <v>928</v>
      </c>
      <c r="F1906" s="15"/>
      <c r="G1906" s="15"/>
    </row>
    <row r="1907" spans="1:126" x14ac:dyDescent="0.3">
      <c r="A1907" s="5"/>
      <c r="B1907" s="5" t="s">
        <v>458</v>
      </c>
      <c r="C1907" s="5"/>
      <c r="D1907" s="5" t="s">
        <v>14</v>
      </c>
      <c r="E1907" s="15">
        <f>464</f>
        <v>464</v>
      </c>
      <c r="F1907" s="15"/>
      <c r="G1907" s="15"/>
    </row>
    <row r="1908" spans="1:126" x14ac:dyDescent="0.3">
      <c r="A1908" s="5"/>
      <c r="B1908" s="5" t="s">
        <v>458</v>
      </c>
      <c r="C1908" s="5"/>
      <c r="D1908" s="5" t="s">
        <v>14</v>
      </c>
      <c r="E1908" s="15">
        <f>464</f>
        <v>464</v>
      </c>
      <c r="F1908" s="15"/>
      <c r="G1908" s="15"/>
    </row>
    <row r="1909" spans="1:126" s="3" customFormat="1" x14ac:dyDescent="0.3">
      <c r="A1909" s="21"/>
      <c r="B1909" s="21" t="s">
        <v>462</v>
      </c>
      <c r="C1909" s="21"/>
      <c r="D1909" s="21"/>
      <c r="E1909" s="22"/>
      <c r="F1909" s="22"/>
      <c r="G1909" s="22"/>
      <c r="H1909" s="59"/>
      <c r="I1909" s="59"/>
      <c r="J1909" s="59"/>
      <c r="K1909" s="59"/>
      <c r="L1909" s="59"/>
      <c r="M1909" s="59"/>
      <c r="N1909" s="59"/>
      <c r="O1909" s="59"/>
      <c r="P1909" s="59"/>
      <c r="Q1909" s="59"/>
      <c r="R1909" s="59"/>
      <c r="S1909" s="59"/>
      <c r="T1909" s="59"/>
      <c r="U1909" s="59"/>
      <c r="V1909" s="59"/>
      <c r="W1909" s="59"/>
      <c r="X1909" s="59"/>
      <c r="Y1909" s="59"/>
      <c r="Z1909" s="59"/>
      <c r="AA1909" s="59"/>
      <c r="AB1909" s="59"/>
      <c r="AC1909" s="59"/>
      <c r="AD1909" s="59"/>
      <c r="AE1909" s="59"/>
      <c r="AF1909" s="59"/>
      <c r="AG1909" s="59"/>
      <c r="AH1909" s="59"/>
      <c r="AI1909" s="59"/>
      <c r="AJ1909" s="59"/>
      <c r="AK1909" s="59"/>
      <c r="AL1909" s="59"/>
      <c r="AM1909" s="59"/>
      <c r="AN1909" s="59"/>
      <c r="AO1909" s="59"/>
      <c r="AP1909" s="59"/>
      <c r="AQ1909" s="59"/>
      <c r="AR1909" s="59"/>
      <c r="AS1909" s="59"/>
      <c r="AT1909" s="59"/>
      <c r="AU1909" s="59"/>
      <c r="AV1909" s="59"/>
      <c r="AW1909" s="59"/>
      <c r="AX1909" s="59"/>
      <c r="AY1909" s="59"/>
      <c r="AZ1909" s="59"/>
      <c r="BA1909" s="59"/>
      <c r="BB1909" s="59"/>
      <c r="BC1909" s="59"/>
      <c r="BD1909" s="59"/>
      <c r="BE1909" s="59"/>
      <c r="BF1909" s="59"/>
      <c r="BG1909" s="59"/>
      <c r="BH1909" s="59"/>
      <c r="BI1909" s="59"/>
      <c r="BJ1909" s="59"/>
      <c r="BK1909" s="59"/>
      <c r="BL1909" s="59"/>
      <c r="BM1909" s="59"/>
      <c r="BN1909" s="59"/>
      <c r="BO1909" s="59"/>
      <c r="BP1909" s="59"/>
      <c r="BQ1909" s="59"/>
      <c r="BR1909" s="59"/>
      <c r="BS1909" s="59"/>
      <c r="BT1909" s="59"/>
      <c r="BU1909" s="59"/>
      <c r="BV1909" s="59"/>
      <c r="BW1909" s="59"/>
      <c r="BX1909" s="59"/>
      <c r="BY1909" s="59"/>
      <c r="BZ1909" s="59"/>
      <c r="CA1909" s="59"/>
      <c r="CB1909" s="59"/>
      <c r="CC1909" s="59"/>
      <c r="CD1909" s="59"/>
      <c r="CE1909" s="59"/>
      <c r="CF1909" s="59"/>
      <c r="CG1909" s="59"/>
      <c r="CH1909" s="59"/>
      <c r="CI1909" s="59"/>
      <c r="CJ1909" s="59"/>
      <c r="CK1909" s="59"/>
      <c r="CL1909" s="59"/>
      <c r="CM1909" s="59"/>
      <c r="CN1909" s="59"/>
      <c r="CO1909" s="59"/>
      <c r="CP1909" s="59"/>
      <c r="CQ1909" s="59"/>
      <c r="CR1909" s="59"/>
      <c r="CS1909" s="59"/>
      <c r="CT1909" s="59"/>
      <c r="CU1909" s="59"/>
      <c r="CV1909" s="59"/>
      <c r="CW1909" s="59"/>
      <c r="CX1909" s="59"/>
      <c r="CY1909" s="59"/>
      <c r="CZ1909" s="59"/>
      <c r="DA1909" s="59"/>
      <c r="DB1909" s="59"/>
      <c r="DC1909" s="59"/>
      <c r="DD1909" s="59"/>
      <c r="DE1909" s="59"/>
      <c r="DF1909" s="59"/>
      <c r="DG1909" s="59"/>
      <c r="DH1909" s="59"/>
      <c r="DI1909" s="59"/>
      <c r="DJ1909" s="59"/>
      <c r="DK1909" s="59"/>
      <c r="DL1909" s="59"/>
      <c r="DM1909" s="59"/>
      <c r="DN1909" s="59"/>
      <c r="DO1909" s="59"/>
      <c r="DP1909" s="59"/>
      <c r="DQ1909" s="59"/>
      <c r="DR1909" s="59"/>
      <c r="DS1909" s="59"/>
      <c r="DT1909" s="59"/>
      <c r="DU1909" s="59"/>
      <c r="DV1909" s="59"/>
    </row>
    <row r="1910" spans="1:126" x14ac:dyDescent="0.3">
      <c r="A1910" s="5"/>
      <c r="B1910" s="5" t="s">
        <v>448</v>
      </c>
      <c r="C1910" s="5"/>
      <c r="D1910" s="5" t="s">
        <v>74</v>
      </c>
      <c r="E1910" s="15">
        <f>111.1</f>
        <v>111.1</v>
      </c>
      <c r="F1910" s="15"/>
      <c r="G1910" s="15"/>
    </row>
    <row r="1911" spans="1:126" x14ac:dyDescent="0.3">
      <c r="A1911" s="5"/>
      <c r="B1911" s="5" t="s">
        <v>449</v>
      </c>
      <c r="C1911" s="5"/>
      <c r="D1911" s="5" t="s">
        <v>74</v>
      </c>
      <c r="E1911" s="15">
        <f>111.4</f>
        <v>111.4</v>
      </c>
      <c r="F1911" s="15"/>
      <c r="G1911" s="15"/>
    </row>
    <row r="1912" spans="1:126" x14ac:dyDescent="0.3">
      <c r="A1912" s="5"/>
      <c r="B1912" s="5" t="s">
        <v>450</v>
      </c>
      <c r="C1912" s="5"/>
      <c r="D1912" s="5" t="s">
        <v>14</v>
      </c>
      <c r="E1912" s="15">
        <f>108</f>
        <v>108</v>
      </c>
      <c r="F1912" s="15"/>
      <c r="G1912" s="15"/>
    </row>
    <row r="1913" spans="1:126" x14ac:dyDescent="0.3">
      <c r="A1913" s="5"/>
      <c r="B1913" s="5" t="s">
        <v>451</v>
      </c>
      <c r="C1913" s="5"/>
      <c r="D1913" s="5" t="s">
        <v>14</v>
      </c>
      <c r="E1913" s="15">
        <f>108</f>
        <v>108</v>
      </c>
      <c r="F1913" s="15"/>
      <c r="G1913" s="15"/>
    </row>
    <row r="1914" spans="1:126" ht="31.2" x14ac:dyDescent="0.3">
      <c r="A1914" s="5"/>
      <c r="B1914" s="11" t="s">
        <v>259</v>
      </c>
      <c r="C1914" s="5"/>
      <c r="D1914" s="5" t="s">
        <v>74</v>
      </c>
      <c r="E1914" s="15">
        <f>541.7</f>
        <v>541.70000000000005</v>
      </c>
      <c r="F1914" s="15"/>
      <c r="G1914" s="15"/>
    </row>
    <row r="1915" spans="1:126" ht="31.2" x14ac:dyDescent="0.3">
      <c r="A1915" s="5"/>
      <c r="B1915" s="11" t="s">
        <v>263</v>
      </c>
      <c r="C1915" s="5"/>
      <c r="D1915" s="5" t="s">
        <v>8</v>
      </c>
      <c r="E1915" s="15">
        <f>0.35</f>
        <v>0.35</v>
      </c>
      <c r="F1915" s="15"/>
      <c r="G1915" s="15"/>
    </row>
    <row r="1916" spans="1:126" x14ac:dyDescent="0.3">
      <c r="A1916" s="5"/>
      <c r="B1916" s="5" t="s">
        <v>463</v>
      </c>
      <c r="C1916" s="5"/>
      <c r="D1916" s="5" t="s">
        <v>74</v>
      </c>
      <c r="E1916" s="15">
        <f>331.7</f>
        <v>331.7</v>
      </c>
      <c r="F1916" s="15"/>
      <c r="G1916" s="15"/>
    </row>
    <row r="1917" spans="1:126" x14ac:dyDescent="0.3">
      <c r="A1917" s="5"/>
      <c r="B1917" s="5" t="s">
        <v>457</v>
      </c>
      <c r="C1917" s="5"/>
      <c r="D1917" s="5" t="s">
        <v>14</v>
      </c>
      <c r="E1917" s="15">
        <f>3696</f>
        <v>3696</v>
      </c>
      <c r="F1917" s="15"/>
      <c r="G1917" s="15"/>
    </row>
    <row r="1918" spans="1:126" x14ac:dyDescent="0.3">
      <c r="A1918" s="5"/>
      <c r="B1918" s="5" t="s">
        <v>458</v>
      </c>
      <c r="C1918" s="5"/>
      <c r="D1918" s="5" t="s">
        <v>14</v>
      </c>
      <c r="E1918" s="15">
        <f>462</f>
        <v>462</v>
      </c>
      <c r="F1918" s="15"/>
      <c r="G1918" s="15"/>
    </row>
    <row r="1919" spans="1:126" x14ac:dyDescent="0.3">
      <c r="A1919" s="5"/>
      <c r="B1919" s="5" t="s">
        <v>458</v>
      </c>
      <c r="C1919" s="5"/>
      <c r="D1919" s="5" t="s">
        <v>14</v>
      </c>
      <c r="E1919" s="15">
        <f>1848</f>
        <v>1848</v>
      </c>
      <c r="F1919" s="15"/>
      <c r="G1919" s="15"/>
    </row>
    <row r="1920" spans="1:126" s="3" customFormat="1" x14ac:dyDescent="0.3">
      <c r="A1920" s="21"/>
      <c r="B1920" s="21" t="s">
        <v>464</v>
      </c>
      <c r="C1920" s="21"/>
      <c r="D1920" s="21"/>
      <c r="E1920" s="22"/>
      <c r="F1920" s="22"/>
      <c r="G1920" s="22"/>
      <c r="H1920" s="59"/>
      <c r="I1920" s="59"/>
      <c r="J1920" s="59"/>
      <c r="K1920" s="59"/>
      <c r="L1920" s="59"/>
      <c r="M1920" s="59"/>
      <c r="N1920" s="59"/>
      <c r="O1920" s="59"/>
      <c r="P1920" s="59"/>
      <c r="Q1920" s="59"/>
      <c r="R1920" s="59"/>
      <c r="S1920" s="59"/>
      <c r="T1920" s="59"/>
      <c r="U1920" s="59"/>
      <c r="V1920" s="59"/>
      <c r="W1920" s="59"/>
      <c r="X1920" s="59"/>
      <c r="Y1920" s="59"/>
      <c r="Z1920" s="59"/>
      <c r="AA1920" s="59"/>
      <c r="AB1920" s="59"/>
      <c r="AC1920" s="59"/>
      <c r="AD1920" s="59"/>
      <c r="AE1920" s="59"/>
      <c r="AF1920" s="59"/>
      <c r="AG1920" s="59"/>
      <c r="AH1920" s="59"/>
      <c r="AI1920" s="59"/>
      <c r="AJ1920" s="59"/>
      <c r="AK1920" s="59"/>
      <c r="AL1920" s="59"/>
      <c r="AM1920" s="59"/>
      <c r="AN1920" s="59"/>
      <c r="AO1920" s="59"/>
      <c r="AP1920" s="59"/>
      <c r="AQ1920" s="59"/>
      <c r="AR1920" s="59"/>
      <c r="AS1920" s="59"/>
      <c r="AT1920" s="59"/>
      <c r="AU1920" s="59"/>
      <c r="AV1920" s="59"/>
      <c r="AW1920" s="59"/>
      <c r="AX1920" s="59"/>
      <c r="AY1920" s="59"/>
      <c r="AZ1920" s="59"/>
      <c r="BA1920" s="59"/>
      <c r="BB1920" s="59"/>
      <c r="BC1920" s="59"/>
      <c r="BD1920" s="59"/>
      <c r="BE1920" s="59"/>
      <c r="BF1920" s="59"/>
      <c r="BG1920" s="59"/>
      <c r="BH1920" s="59"/>
      <c r="BI1920" s="59"/>
      <c r="BJ1920" s="59"/>
      <c r="BK1920" s="59"/>
      <c r="BL1920" s="59"/>
      <c r="BM1920" s="59"/>
      <c r="BN1920" s="59"/>
      <c r="BO1920" s="59"/>
      <c r="BP1920" s="59"/>
      <c r="BQ1920" s="59"/>
      <c r="BR1920" s="59"/>
      <c r="BS1920" s="59"/>
      <c r="BT1920" s="59"/>
      <c r="BU1920" s="59"/>
      <c r="BV1920" s="59"/>
      <c r="BW1920" s="59"/>
      <c r="BX1920" s="59"/>
      <c r="BY1920" s="59"/>
      <c r="BZ1920" s="59"/>
      <c r="CA1920" s="59"/>
      <c r="CB1920" s="59"/>
      <c r="CC1920" s="59"/>
      <c r="CD1920" s="59"/>
      <c r="CE1920" s="59"/>
      <c r="CF1920" s="59"/>
      <c r="CG1920" s="59"/>
      <c r="CH1920" s="59"/>
      <c r="CI1920" s="59"/>
      <c r="CJ1920" s="59"/>
      <c r="CK1920" s="59"/>
      <c r="CL1920" s="59"/>
      <c r="CM1920" s="59"/>
      <c r="CN1920" s="59"/>
      <c r="CO1920" s="59"/>
      <c r="CP1920" s="59"/>
      <c r="CQ1920" s="59"/>
      <c r="CR1920" s="59"/>
      <c r="CS1920" s="59"/>
      <c r="CT1920" s="59"/>
      <c r="CU1920" s="59"/>
      <c r="CV1920" s="59"/>
      <c r="CW1920" s="59"/>
      <c r="CX1920" s="59"/>
      <c r="CY1920" s="59"/>
      <c r="CZ1920" s="59"/>
      <c r="DA1920" s="59"/>
      <c r="DB1920" s="59"/>
      <c r="DC1920" s="59"/>
      <c r="DD1920" s="59"/>
      <c r="DE1920" s="59"/>
      <c r="DF1920" s="59"/>
      <c r="DG1920" s="59"/>
      <c r="DH1920" s="59"/>
      <c r="DI1920" s="59"/>
      <c r="DJ1920" s="59"/>
      <c r="DK1920" s="59"/>
      <c r="DL1920" s="59"/>
      <c r="DM1920" s="59"/>
      <c r="DN1920" s="59"/>
      <c r="DO1920" s="59"/>
      <c r="DP1920" s="59"/>
      <c r="DQ1920" s="59"/>
      <c r="DR1920" s="59"/>
      <c r="DS1920" s="59"/>
      <c r="DT1920" s="59"/>
      <c r="DU1920" s="59"/>
      <c r="DV1920" s="59"/>
    </row>
    <row r="1921" spans="1:126" x14ac:dyDescent="0.3">
      <c r="A1921" s="5"/>
      <c r="B1921" s="5" t="s">
        <v>448</v>
      </c>
      <c r="C1921" s="5"/>
      <c r="D1921" s="5" t="s">
        <v>74</v>
      </c>
      <c r="E1921" s="15">
        <f>282.1</f>
        <v>282.10000000000002</v>
      </c>
      <c r="F1921" s="15"/>
      <c r="G1921" s="15"/>
    </row>
    <row r="1922" spans="1:126" x14ac:dyDescent="0.3">
      <c r="A1922" s="5"/>
      <c r="B1922" s="5" t="s">
        <v>449</v>
      </c>
      <c r="C1922" s="5"/>
      <c r="D1922" s="5" t="s">
        <v>74</v>
      </c>
      <c r="E1922" s="15">
        <f>286.1</f>
        <v>286.10000000000002</v>
      </c>
      <c r="F1922" s="15"/>
      <c r="G1922" s="15"/>
    </row>
    <row r="1923" spans="1:126" x14ac:dyDescent="0.3">
      <c r="A1923" s="5"/>
      <c r="B1923" s="5" t="s">
        <v>450</v>
      </c>
      <c r="C1923" s="5"/>
      <c r="D1923" s="5" t="s">
        <v>14</v>
      </c>
      <c r="E1923" s="15">
        <f>138</f>
        <v>138</v>
      </c>
      <c r="F1923" s="15"/>
      <c r="G1923" s="15"/>
    </row>
    <row r="1924" spans="1:126" x14ac:dyDescent="0.3">
      <c r="A1924" s="5"/>
      <c r="B1924" s="5" t="s">
        <v>451</v>
      </c>
      <c r="C1924" s="5"/>
      <c r="D1924" s="5" t="s">
        <v>14</v>
      </c>
      <c r="E1924" s="15">
        <f>138</f>
        <v>138</v>
      </c>
      <c r="F1924" s="15"/>
      <c r="G1924" s="15"/>
    </row>
    <row r="1925" spans="1:126" ht="31.2" x14ac:dyDescent="0.3">
      <c r="A1925" s="5"/>
      <c r="B1925" s="11" t="s">
        <v>259</v>
      </c>
      <c r="C1925" s="5"/>
      <c r="D1925" s="5" t="s">
        <v>74</v>
      </c>
      <c r="E1925" s="15">
        <f>692</f>
        <v>692</v>
      </c>
      <c r="F1925" s="15"/>
      <c r="G1925" s="15"/>
    </row>
    <row r="1926" spans="1:126" x14ac:dyDescent="0.3">
      <c r="A1926" s="5"/>
      <c r="B1926" s="5" t="s">
        <v>452</v>
      </c>
      <c r="C1926" s="5"/>
      <c r="D1926" s="5" t="s">
        <v>8</v>
      </c>
      <c r="E1926" s="15">
        <f>0.71</f>
        <v>0.71</v>
      </c>
      <c r="F1926" s="15"/>
      <c r="G1926" s="15"/>
    </row>
    <row r="1927" spans="1:126" x14ac:dyDescent="0.3">
      <c r="A1927" s="5"/>
      <c r="B1927" s="5" t="s">
        <v>453</v>
      </c>
      <c r="C1927" s="5"/>
      <c r="D1927" s="5" t="s">
        <v>14</v>
      </c>
      <c r="E1927" s="15">
        <f>552</f>
        <v>552</v>
      </c>
      <c r="F1927" s="15"/>
      <c r="G1927" s="15"/>
    </row>
    <row r="1928" spans="1:126" x14ac:dyDescent="0.3">
      <c r="A1928" s="5"/>
      <c r="B1928" s="5" t="s">
        <v>454</v>
      </c>
      <c r="C1928" s="5"/>
      <c r="D1928" s="5" t="s">
        <v>14</v>
      </c>
      <c r="E1928" s="15">
        <f>552</f>
        <v>552</v>
      </c>
      <c r="F1928" s="15"/>
      <c r="G1928" s="15"/>
    </row>
    <row r="1929" spans="1:126" x14ac:dyDescent="0.3">
      <c r="A1929" s="5"/>
      <c r="B1929" s="5" t="s">
        <v>455</v>
      </c>
      <c r="C1929" s="5"/>
      <c r="D1929" s="5" t="s">
        <v>14</v>
      </c>
      <c r="E1929" s="15">
        <f>552</f>
        <v>552</v>
      </c>
      <c r="F1929" s="15"/>
      <c r="G1929" s="15"/>
    </row>
    <row r="1930" spans="1:126" x14ac:dyDescent="0.3">
      <c r="A1930" s="5"/>
      <c r="B1930" s="5" t="s">
        <v>456</v>
      </c>
      <c r="C1930" s="5"/>
      <c r="D1930" s="5" t="s">
        <v>14</v>
      </c>
      <c r="E1930" s="15">
        <f>552</f>
        <v>552</v>
      </c>
      <c r="F1930" s="15"/>
      <c r="G1930" s="15"/>
    </row>
    <row r="1931" spans="1:126" x14ac:dyDescent="0.3">
      <c r="A1931" s="5"/>
      <c r="B1931" s="5" t="s">
        <v>456</v>
      </c>
      <c r="C1931" s="5"/>
      <c r="D1931" s="5" t="s">
        <v>14</v>
      </c>
      <c r="E1931" s="15">
        <f>552</f>
        <v>552</v>
      </c>
      <c r="F1931" s="15"/>
      <c r="G1931" s="15"/>
    </row>
    <row r="1932" spans="1:126" x14ac:dyDescent="0.3">
      <c r="A1932" s="5"/>
      <c r="B1932" s="5" t="s">
        <v>457</v>
      </c>
      <c r="C1932" s="5"/>
      <c r="D1932" s="5" t="s">
        <v>14</v>
      </c>
      <c r="E1932" s="15">
        <f>1104</f>
        <v>1104</v>
      </c>
      <c r="F1932" s="15"/>
      <c r="G1932" s="15"/>
    </row>
    <row r="1933" spans="1:126" x14ac:dyDescent="0.3">
      <c r="A1933" s="5"/>
      <c r="B1933" s="5" t="s">
        <v>458</v>
      </c>
      <c r="C1933" s="5"/>
      <c r="D1933" s="5" t="s">
        <v>14</v>
      </c>
      <c r="E1933" s="15">
        <f>552</f>
        <v>552</v>
      </c>
      <c r="F1933" s="15"/>
      <c r="G1933" s="15"/>
    </row>
    <row r="1934" spans="1:126" x14ac:dyDescent="0.3">
      <c r="A1934" s="5"/>
      <c r="B1934" s="5" t="s">
        <v>458</v>
      </c>
      <c r="C1934" s="5"/>
      <c r="D1934" s="5" t="s">
        <v>14</v>
      </c>
      <c r="E1934" s="15">
        <f>552</f>
        <v>552</v>
      </c>
      <c r="F1934" s="15"/>
      <c r="G1934" s="15"/>
    </row>
    <row r="1935" spans="1:126" s="25" customFormat="1" x14ac:dyDescent="0.3">
      <c r="A1935" s="23"/>
      <c r="B1935" s="23" t="s">
        <v>465</v>
      </c>
      <c r="C1935" s="23"/>
      <c r="D1935" s="23"/>
      <c r="E1935" s="24"/>
      <c r="F1935" s="24"/>
      <c r="G1935" s="24"/>
      <c r="H1935" s="59"/>
      <c r="I1935" s="59"/>
      <c r="J1935" s="59"/>
      <c r="K1935" s="59"/>
      <c r="L1935" s="59"/>
      <c r="M1935" s="59"/>
      <c r="N1935" s="59"/>
      <c r="O1935" s="59"/>
      <c r="P1935" s="59"/>
      <c r="Q1935" s="59"/>
      <c r="R1935" s="59"/>
      <c r="S1935" s="59"/>
      <c r="T1935" s="59"/>
      <c r="U1935" s="59"/>
      <c r="V1935" s="59"/>
      <c r="W1935" s="59"/>
      <c r="X1935" s="59"/>
      <c r="Y1935" s="59"/>
      <c r="Z1935" s="59"/>
      <c r="AA1935" s="59"/>
      <c r="AB1935" s="59"/>
      <c r="AC1935" s="59"/>
      <c r="AD1935" s="59"/>
      <c r="AE1935" s="59"/>
      <c r="AF1935" s="59"/>
      <c r="AG1935" s="59"/>
      <c r="AH1935" s="59"/>
      <c r="AI1935" s="59"/>
      <c r="AJ1935" s="59"/>
      <c r="AK1935" s="59"/>
      <c r="AL1935" s="59"/>
      <c r="AM1935" s="59"/>
      <c r="AN1935" s="59"/>
      <c r="AO1935" s="59"/>
      <c r="AP1935" s="59"/>
      <c r="AQ1935" s="59"/>
      <c r="AR1935" s="59"/>
      <c r="AS1935" s="59"/>
      <c r="AT1935" s="59"/>
      <c r="AU1935" s="59"/>
      <c r="AV1935" s="59"/>
      <c r="AW1935" s="59"/>
      <c r="AX1935" s="59"/>
      <c r="AY1935" s="59"/>
      <c r="AZ1935" s="59"/>
      <c r="BA1935" s="59"/>
      <c r="BB1935" s="59"/>
      <c r="BC1935" s="59"/>
      <c r="BD1935" s="59"/>
      <c r="BE1935" s="59"/>
      <c r="BF1935" s="59"/>
      <c r="BG1935" s="59"/>
      <c r="BH1935" s="59"/>
      <c r="BI1935" s="59"/>
      <c r="BJ1935" s="59"/>
      <c r="BK1935" s="59"/>
      <c r="BL1935" s="59"/>
      <c r="BM1935" s="59"/>
      <c r="BN1935" s="59"/>
      <c r="BO1935" s="59"/>
      <c r="BP1935" s="59"/>
      <c r="BQ1935" s="59"/>
      <c r="BR1935" s="59"/>
      <c r="BS1935" s="59"/>
      <c r="BT1935" s="59"/>
      <c r="BU1935" s="59"/>
      <c r="BV1935" s="59"/>
      <c r="BW1935" s="59"/>
      <c r="BX1935" s="59"/>
      <c r="BY1935" s="59"/>
      <c r="BZ1935" s="59"/>
      <c r="CA1935" s="59"/>
      <c r="CB1935" s="59"/>
      <c r="CC1935" s="59"/>
      <c r="CD1935" s="59"/>
      <c r="CE1935" s="59"/>
      <c r="CF1935" s="59"/>
      <c r="CG1935" s="59"/>
      <c r="CH1935" s="59"/>
      <c r="CI1935" s="59"/>
      <c r="CJ1935" s="59"/>
      <c r="CK1935" s="59"/>
      <c r="CL1935" s="59"/>
      <c r="CM1935" s="59"/>
      <c r="CN1935" s="59"/>
      <c r="CO1935" s="59"/>
      <c r="CP1935" s="59"/>
      <c r="CQ1935" s="59"/>
      <c r="CR1935" s="59"/>
      <c r="CS1935" s="59"/>
      <c r="CT1935" s="59"/>
      <c r="CU1935" s="59"/>
      <c r="CV1935" s="59"/>
      <c r="CW1935" s="59"/>
      <c r="CX1935" s="59"/>
      <c r="CY1935" s="59"/>
      <c r="CZ1935" s="59"/>
      <c r="DA1935" s="59"/>
      <c r="DB1935" s="59"/>
      <c r="DC1935" s="59"/>
      <c r="DD1935" s="59"/>
      <c r="DE1935" s="59"/>
      <c r="DF1935" s="59"/>
      <c r="DG1935" s="59"/>
      <c r="DH1935" s="59"/>
      <c r="DI1935" s="59"/>
      <c r="DJ1935" s="59"/>
      <c r="DK1935" s="59"/>
      <c r="DL1935" s="59"/>
      <c r="DM1935" s="59"/>
      <c r="DN1935" s="59"/>
      <c r="DO1935" s="59"/>
      <c r="DP1935" s="59"/>
      <c r="DQ1935" s="59"/>
      <c r="DR1935" s="59"/>
      <c r="DS1935" s="59"/>
      <c r="DT1935" s="59"/>
      <c r="DU1935" s="59"/>
      <c r="DV1935" s="59"/>
    </row>
    <row r="1936" spans="1:126" x14ac:dyDescent="0.3">
      <c r="A1936" s="5"/>
      <c r="B1936" s="5" t="s">
        <v>286</v>
      </c>
      <c r="C1936" s="5"/>
      <c r="D1936" s="5" t="s">
        <v>69</v>
      </c>
      <c r="E1936" s="15">
        <f>62.45</f>
        <v>62.45</v>
      </c>
      <c r="F1936" s="15"/>
      <c r="G1936" s="15"/>
    </row>
    <row r="1937" spans="1:126" x14ac:dyDescent="0.3">
      <c r="A1937" s="5"/>
      <c r="B1937" s="5" t="s">
        <v>466</v>
      </c>
      <c r="C1937" s="5"/>
      <c r="D1937" s="5" t="s">
        <v>10</v>
      </c>
      <c r="E1937" s="15">
        <f>7.56</f>
        <v>7.56</v>
      </c>
      <c r="F1937" s="15"/>
      <c r="G1937" s="15"/>
    </row>
    <row r="1938" spans="1:126" x14ac:dyDescent="0.3">
      <c r="A1938" s="5"/>
      <c r="B1938" s="5" t="s">
        <v>467</v>
      </c>
      <c r="C1938" s="5"/>
      <c r="D1938" s="5" t="s">
        <v>10</v>
      </c>
      <c r="E1938" s="15">
        <f>3.78</f>
        <v>3.78</v>
      </c>
      <c r="F1938" s="15"/>
      <c r="G1938" s="15"/>
    </row>
    <row r="1939" spans="1:126" s="3" customFormat="1" x14ac:dyDescent="0.3">
      <c r="A1939" s="21"/>
      <c r="B1939" s="21" t="s">
        <v>469</v>
      </c>
      <c r="C1939" s="21"/>
      <c r="D1939" s="21"/>
      <c r="E1939" s="22"/>
      <c r="F1939" s="22"/>
      <c r="G1939" s="22"/>
      <c r="H1939" s="59"/>
      <c r="I1939" s="59"/>
      <c r="J1939" s="59"/>
      <c r="K1939" s="59"/>
      <c r="L1939" s="59"/>
      <c r="M1939" s="59"/>
      <c r="N1939" s="59"/>
      <c r="O1939" s="59"/>
      <c r="P1939" s="59"/>
      <c r="Q1939" s="59"/>
      <c r="R1939" s="59"/>
      <c r="S1939" s="59"/>
      <c r="T1939" s="59"/>
      <c r="U1939" s="59"/>
      <c r="V1939" s="59"/>
      <c r="W1939" s="59"/>
      <c r="X1939" s="59"/>
      <c r="Y1939" s="59"/>
      <c r="Z1939" s="59"/>
      <c r="AA1939" s="59"/>
      <c r="AB1939" s="59"/>
      <c r="AC1939" s="59"/>
      <c r="AD1939" s="59"/>
      <c r="AE1939" s="59"/>
      <c r="AF1939" s="59"/>
      <c r="AG1939" s="59"/>
      <c r="AH1939" s="59"/>
      <c r="AI1939" s="59"/>
      <c r="AJ1939" s="59"/>
      <c r="AK1939" s="59"/>
      <c r="AL1939" s="59"/>
      <c r="AM1939" s="59"/>
      <c r="AN1939" s="59"/>
      <c r="AO1939" s="59"/>
      <c r="AP1939" s="59"/>
      <c r="AQ1939" s="59"/>
      <c r="AR1939" s="59"/>
      <c r="AS1939" s="59"/>
      <c r="AT1939" s="59"/>
      <c r="AU1939" s="59"/>
      <c r="AV1939" s="59"/>
      <c r="AW1939" s="59"/>
      <c r="AX1939" s="59"/>
      <c r="AY1939" s="59"/>
      <c r="AZ1939" s="59"/>
      <c r="BA1939" s="59"/>
      <c r="BB1939" s="59"/>
      <c r="BC1939" s="59"/>
      <c r="BD1939" s="59"/>
      <c r="BE1939" s="59"/>
      <c r="BF1939" s="59"/>
      <c r="BG1939" s="59"/>
      <c r="BH1939" s="59"/>
      <c r="BI1939" s="59"/>
      <c r="BJ1939" s="59"/>
      <c r="BK1939" s="59"/>
      <c r="BL1939" s="59"/>
      <c r="BM1939" s="59"/>
      <c r="BN1939" s="59"/>
      <c r="BO1939" s="59"/>
      <c r="BP1939" s="59"/>
      <c r="BQ1939" s="59"/>
      <c r="BR1939" s="59"/>
      <c r="BS1939" s="59"/>
      <c r="BT1939" s="59"/>
      <c r="BU1939" s="59"/>
      <c r="BV1939" s="59"/>
      <c r="BW1939" s="59"/>
      <c r="BX1939" s="59"/>
      <c r="BY1939" s="59"/>
      <c r="BZ1939" s="59"/>
      <c r="CA1939" s="59"/>
      <c r="CB1939" s="59"/>
      <c r="CC1939" s="59"/>
      <c r="CD1939" s="59"/>
      <c r="CE1939" s="59"/>
      <c r="CF1939" s="59"/>
      <c r="CG1939" s="59"/>
      <c r="CH1939" s="59"/>
      <c r="CI1939" s="59"/>
      <c r="CJ1939" s="59"/>
      <c r="CK1939" s="59"/>
      <c r="CL1939" s="59"/>
      <c r="CM1939" s="59"/>
      <c r="CN1939" s="59"/>
      <c r="CO1939" s="59"/>
      <c r="CP1939" s="59"/>
      <c r="CQ1939" s="59"/>
      <c r="CR1939" s="59"/>
      <c r="CS1939" s="59"/>
      <c r="CT1939" s="59"/>
      <c r="CU1939" s="59"/>
      <c r="CV1939" s="59"/>
      <c r="CW1939" s="59"/>
      <c r="CX1939" s="59"/>
      <c r="CY1939" s="59"/>
      <c r="CZ1939" s="59"/>
      <c r="DA1939" s="59"/>
      <c r="DB1939" s="59"/>
      <c r="DC1939" s="59"/>
      <c r="DD1939" s="59"/>
      <c r="DE1939" s="59"/>
      <c r="DF1939" s="59"/>
      <c r="DG1939" s="59"/>
      <c r="DH1939" s="59"/>
      <c r="DI1939" s="59"/>
      <c r="DJ1939" s="59"/>
      <c r="DK1939" s="59"/>
      <c r="DL1939" s="59"/>
      <c r="DM1939" s="59"/>
      <c r="DN1939" s="59"/>
      <c r="DO1939" s="59"/>
      <c r="DP1939" s="59"/>
      <c r="DQ1939" s="59"/>
      <c r="DR1939" s="59"/>
      <c r="DS1939" s="59"/>
      <c r="DT1939" s="59"/>
      <c r="DU1939" s="59"/>
      <c r="DV1939" s="59"/>
    </row>
    <row r="1940" spans="1:126" x14ac:dyDescent="0.3">
      <c r="A1940" s="5"/>
      <c r="B1940" s="5" t="s">
        <v>468</v>
      </c>
      <c r="C1940" s="5"/>
      <c r="D1940" s="5" t="s">
        <v>10</v>
      </c>
      <c r="E1940" s="15">
        <f>8.29</f>
        <v>8.2899999999999991</v>
      </c>
      <c r="F1940" s="15"/>
      <c r="G1940" s="15"/>
    </row>
    <row r="1941" spans="1:126" x14ac:dyDescent="0.3">
      <c r="A1941" s="5"/>
      <c r="B1941" s="5" t="s">
        <v>467</v>
      </c>
      <c r="C1941" s="5"/>
      <c r="D1941" s="5" t="s">
        <v>10</v>
      </c>
      <c r="E1941" s="15">
        <f>4.15</f>
        <v>4.1500000000000004</v>
      </c>
      <c r="F1941" s="15"/>
      <c r="G1941" s="15"/>
    </row>
    <row r="1942" spans="1:126" s="3" customFormat="1" x14ac:dyDescent="0.3">
      <c r="A1942" s="21"/>
      <c r="B1942" s="21" t="s">
        <v>289</v>
      </c>
      <c r="C1942" s="21"/>
      <c r="D1942" s="21"/>
      <c r="E1942" s="22"/>
      <c r="F1942" s="22"/>
      <c r="G1942" s="22"/>
      <c r="H1942" s="59"/>
      <c r="I1942" s="59"/>
      <c r="J1942" s="59"/>
      <c r="K1942" s="59"/>
      <c r="L1942" s="59"/>
      <c r="M1942" s="59"/>
      <c r="N1942" s="59"/>
      <c r="O1942" s="59"/>
      <c r="P1942" s="59"/>
      <c r="Q1942" s="59"/>
      <c r="R1942" s="59"/>
      <c r="S1942" s="59"/>
      <c r="T1942" s="59"/>
      <c r="U1942" s="59"/>
      <c r="V1942" s="59"/>
      <c r="W1942" s="59"/>
      <c r="X1942" s="59"/>
      <c r="Y1942" s="59"/>
      <c r="Z1942" s="59"/>
      <c r="AA1942" s="59"/>
      <c r="AB1942" s="59"/>
      <c r="AC1942" s="59"/>
      <c r="AD1942" s="59"/>
      <c r="AE1942" s="59"/>
      <c r="AF1942" s="59"/>
      <c r="AG1942" s="59"/>
      <c r="AH1942" s="59"/>
      <c r="AI1942" s="59"/>
      <c r="AJ1942" s="59"/>
      <c r="AK1942" s="59"/>
      <c r="AL1942" s="59"/>
      <c r="AM1942" s="59"/>
      <c r="AN1942" s="59"/>
      <c r="AO1942" s="59"/>
      <c r="AP1942" s="59"/>
      <c r="AQ1942" s="59"/>
      <c r="AR1942" s="59"/>
      <c r="AS1942" s="59"/>
      <c r="AT1942" s="59"/>
      <c r="AU1942" s="59"/>
      <c r="AV1942" s="59"/>
      <c r="AW1942" s="59"/>
      <c r="AX1942" s="59"/>
      <c r="AY1942" s="59"/>
      <c r="AZ1942" s="59"/>
      <c r="BA1942" s="59"/>
      <c r="BB1942" s="59"/>
      <c r="BC1942" s="59"/>
      <c r="BD1942" s="59"/>
      <c r="BE1942" s="59"/>
      <c r="BF1942" s="59"/>
      <c r="BG1942" s="59"/>
      <c r="BH1942" s="59"/>
      <c r="BI1942" s="59"/>
      <c r="BJ1942" s="59"/>
      <c r="BK1942" s="59"/>
      <c r="BL1942" s="59"/>
      <c r="BM1942" s="59"/>
      <c r="BN1942" s="59"/>
      <c r="BO1942" s="59"/>
      <c r="BP1942" s="59"/>
      <c r="BQ1942" s="59"/>
      <c r="BR1942" s="59"/>
      <c r="BS1942" s="59"/>
      <c r="BT1942" s="59"/>
      <c r="BU1942" s="59"/>
      <c r="BV1942" s="59"/>
      <c r="BW1942" s="59"/>
      <c r="BX1942" s="59"/>
      <c r="BY1942" s="59"/>
      <c r="BZ1942" s="59"/>
      <c r="CA1942" s="59"/>
      <c r="CB1942" s="59"/>
      <c r="CC1942" s="59"/>
      <c r="CD1942" s="59"/>
      <c r="CE1942" s="59"/>
      <c r="CF1942" s="59"/>
      <c r="CG1942" s="59"/>
      <c r="CH1942" s="59"/>
      <c r="CI1942" s="59"/>
      <c r="CJ1942" s="59"/>
      <c r="CK1942" s="59"/>
      <c r="CL1942" s="59"/>
      <c r="CM1942" s="59"/>
      <c r="CN1942" s="59"/>
      <c r="CO1942" s="59"/>
      <c r="CP1942" s="59"/>
      <c r="CQ1942" s="59"/>
      <c r="CR1942" s="59"/>
      <c r="CS1942" s="59"/>
      <c r="CT1942" s="59"/>
      <c r="CU1942" s="59"/>
      <c r="CV1942" s="59"/>
      <c r="CW1942" s="59"/>
      <c r="CX1942" s="59"/>
      <c r="CY1942" s="59"/>
      <c r="CZ1942" s="59"/>
      <c r="DA1942" s="59"/>
      <c r="DB1942" s="59"/>
      <c r="DC1942" s="59"/>
      <c r="DD1942" s="59"/>
      <c r="DE1942" s="59"/>
      <c r="DF1942" s="59"/>
      <c r="DG1942" s="59"/>
      <c r="DH1942" s="59"/>
      <c r="DI1942" s="59"/>
      <c r="DJ1942" s="59"/>
      <c r="DK1942" s="59"/>
      <c r="DL1942" s="59"/>
      <c r="DM1942" s="59"/>
      <c r="DN1942" s="59"/>
      <c r="DO1942" s="59"/>
      <c r="DP1942" s="59"/>
      <c r="DQ1942" s="59"/>
      <c r="DR1942" s="59"/>
      <c r="DS1942" s="59"/>
      <c r="DT1942" s="59"/>
      <c r="DU1942" s="59"/>
      <c r="DV1942" s="59"/>
    </row>
    <row r="1943" spans="1:126" x14ac:dyDescent="0.3">
      <c r="A1943" s="5"/>
      <c r="B1943" s="5" t="s">
        <v>287</v>
      </c>
      <c r="C1943" s="5"/>
      <c r="D1943" s="5" t="s">
        <v>10</v>
      </c>
      <c r="E1943" s="15">
        <f>3.44</f>
        <v>3.44</v>
      </c>
      <c r="F1943" s="15"/>
      <c r="G1943" s="15"/>
    </row>
    <row r="1944" spans="1:126" x14ac:dyDescent="0.3">
      <c r="A1944" s="5"/>
      <c r="B1944" s="5" t="s">
        <v>131</v>
      </c>
      <c r="C1944" s="5"/>
      <c r="D1944" s="5" t="s">
        <v>8</v>
      </c>
      <c r="E1944" s="15">
        <f>0.34</f>
        <v>0.34</v>
      </c>
      <c r="F1944" s="15"/>
      <c r="G1944" s="15"/>
    </row>
    <row r="1945" spans="1:126" x14ac:dyDescent="0.3">
      <c r="A1945" s="5"/>
      <c r="B1945" s="5" t="s">
        <v>205</v>
      </c>
      <c r="C1945" s="5"/>
      <c r="D1945" s="5" t="s">
        <v>8</v>
      </c>
      <c r="E1945" s="15">
        <f>0.17</f>
        <v>0.17</v>
      </c>
      <c r="F1945" s="15"/>
      <c r="G1945" s="15"/>
    </row>
    <row r="1946" spans="1:126" s="3" customFormat="1" x14ac:dyDescent="0.3">
      <c r="A1946" s="21"/>
      <c r="B1946" s="21" t="s">
        <v>288</v>
      </c>
      <c r="C1946" s="21"/>
      <c r="D1946" s="21"/>
      <c r="E1946" s="22"/>
      <c r="F1946" s="22"/>
      <c r="G1946" s="22"/>
      <c r="H1946" s="59"/>
      <c r="I1946" s="59"/>
      <c r="J1946" s="59"/>
      <c r="K1946" s="59"/>
      <c r="L1946" s="59"/>
      <c r="M1946" s="59"/>
      <c r="N1946" s="59"/>
      <c r="O1946" s="59"/>
      <c r="P1946" s="59"/>
      <c r="Q1946" s="59"/>
      <c r="R1946" s="59"/>
      <c r="S1946" s="59"/>
      <c r="T1946" s="59"/>
      <c r="U1946" s="59"/>
      <c r="V1946" s="59"/>
      <c r="W1946" s="59"/>
      <c r="X1946" s="59"/>
      <c r="Y1946" s="59"/>
      <c r="Z1946" s="59"/>
      <c r="AA1946" s="59"/>
      <c r="AB1946" s="59"/>
      <c r="AC1946" s="59"/>
      <c r="AD1946" s="59"/>
      <c r="AE1946" s="59"/>
      <c r="AF1946" s="59"/>
      <c r="AG1946" s="59"/>
      <c r="AH1946" s="59"/>
      <c r="AI1946" s="59"/>
      <c r="AJ1946" s="59"/>
      <c r="AK1946" s="59"/>
      <c r="AL1946" s="59"/>
      <c r="AM1946" s="59"/>
      <c r="AN1946" s="59"/>
      <c r="AO1946" s="59"/>
      <c r="AP1946" s="59"/>
      <c r="AQ1946" s="59"/>
      <c r="AR1946" s="59"/>
      <c r="AS1946" s="59"/>
      <c r="AT1946" s="59"/>
      <c r="AU1946" s="59"/>
      <c r="AV1946" s="59"/>
      <c r="AW1946" s="59"/>
      <c r="AX1946" s="59"/>
      <c r="AY1946" s="59"/>
      <c r="AZ1946" s="59"/>
      <c r="BA1946" s="59"/>
      <c r="BB1946" s="59"/>
      <c r="BC1946" s="59"/>
      <c r="BD1946" s="59"/>
      <c r="BE1946" s="59"/>
      <c r="BF1946" s="59"/>
      <c r="BG1946" s="59"/>
      <c r="BH1946" s="59"/>
      <c r="BI1946" s="59"/>
      <c r="BJ1946" s="59"/>
      <c r="BK1946" s="59"/>
      <c r="BL1946" s="59"/>
      <c r="BM1946" s="59"/>
      <c r="BN1946" s="59"/>
      <c r="BO1946" s="59"/>
      <c r="BP1946" s="59"/>
      <c r="BQ1946" s="59"/>
      <c r="BR1946" s="59"/>
      <c r="BS1946" s="59"/>
      <c r="BT1946" s="59"/>
      <c r="BU1946" s="59"/>
      <c r="BV1946" s="59"/>
      <c r="BW1946" s="59"/>
      <c r="BX1946" s="59"/>
      <c r="BY1946" s="59"/>
      <c r="BZ1946" s="59"/>
      <c r="CA1946" s="59"/>
      <c r="CB1946" s="59"/>
      <c r="CC1946" s="59"/>
      <c r="CD1946" s="59"/>
      <c r="CE1946" s="59"/>
      <c r="CF1946" s="59"/>
      <c r="CG1946" s="59"/>
      <c r="CH1946" s="59"/>
      <c r="CI1946" s="59"/>
      <c r="CJ1946" s="59"/>
      <c r="CK1946" s="59"/>
      <c r="CL1946" s="59"/>
      <c r="CM1946" s="59"/>
      <c r="CN1946" s="59"/>
      <c r="CO1946" s="59"/>
      <c r="CP1946" s="59"/>
      <c r="CQ1946" s="59"/>
      <c r="CR1946" s="59"/>
      <c r="CS1946" s="59"/>
      <c r="CT1946" s="59"/>
      <c r="CU1946" s="59"/>
      <c r="CV1946" s="59"/>
      <c r="CW1946" s="59"/>
      <c r="CX1946" s="59"/>
      <c r="CY1946" s="59"/>
      <c r="CZ1946" s="59"/>
      <c r="DA1946" s="59"/>
      <c r="DB1946" s="59"/>
      <c r="DC1946" s="59"/>
      <c r="DD1946" s="59"/>
      <c r="DE1946" s="59"/>
      <c r="DF1946" s="59"/>
      <c r="DG1946" s="59"/>
      <c r="DH1946" s="59"/>
      <c r="DI1946" s="59"/>
      <c r="DJ1946" s="59"/>
      <c r="DK1946" s="59"/>
      <c r="DL1946" s="59"/>
      <c r="DM1946" s="59"/>
      <c r="DN1946" s="59"/>
      <c r="DO1946" s="59"/>
      <c r="DP1946" s="59"/>
      <c r="DQ1946" s="59"/>
      <c r="DR1946" s="59"/>
      <c r="DS1946" s="59"/>
      <c r="DT1946" s="59"/>
      <c r="DU1946" s="59"/>
      <c r="DV1946" s="59"/>
    </row>
    <row r="1947" spans="1:126" x14ac:dyDescent="0.3">
      <c r="A1947" s="5"/>
      <c r="B1947" s="5" t="s">
        <v>470</v>
      </c>
      <c r="C1947" s="5"/>
      <c r="D1947" s="5" t="s">
        <v>10</v>
      </c>
      <c r="E1947" s="15">
        <f>36.79</f>
        <v>36.79</v>
      </c>
      <c r="F1947" s="15"/>
      <c r="G1947" s="15"/>
    </row>
    <row r="1948" spans="1:126" x14ac:dyDescent="0.3">
      <c r="A1948" s="5"/>
      <c r="B1948" s="5" t="s">
        <v>222</v>
      </c>
      <c r="C1948" s="5"/>
      <c r="D1948" s="5" t="s">
        <v>8</v>
      </c>
      <c r="E1948" s="15">
        <f>2.95</f>
        <v>2.95</v>
      </c>
      <c r="F1948" s="15"/>
      <c r="G1948" s="15"/>
    </row>
    <row r="1949" spans="1:126" x14ac:dyDescent="0.3">
      <c r="A1949" s="5"/>
      <c r="B1949" s="5" t="s">
        <v>131</v>
      </c>
      <c r="C1949" s="5"/>
      <c r="D1949" s="5" t="s">
        <v>8</v>
      </c>
      <c r="E1949" s="15">
        <f>1.52</f>
        <v>1.52</v>
      </c>
      <c r="F1949" s="15"/>
      <c r="G1949" s="15"/>
    </row>
    <row r="1950" spans="1:126" x14ac:dyDescent="0.3">
      <c r="A1950" s="5"/>
      <c r="B1950" s="5" t="s">
        <v>124</v>
      </c>
      <c r="C1950" s="5"/>
      <c r="D1950" s="5" t="s">
        <v>8</v>
      </c>
      <c r="E1950" s="15">
        <f>1.94</f>
        <v>1.94</v>
      </c>
      <c r="F1950" s="15"/>
      <c r="G1950" s="15"/>
    </row>
    <row r="1951" spans="1:126" x14ac:dyDescent="0.3">
      <c r="A1951" s="5"/>
      <c r="B1951" s="5" t="s">
        <v>138</v>
      </c>
      <c r="C1951" s="5"/>
      <c r="D1951" s="5" t="s">
        <v>8</v>
      </c>
      <c r="E1951" s="15">
        <f>0.35</f>
        <v>0.35</v>
      </c>
      <c r="F1951" s="15"/>
      <c r="G1951" s="15"/>
    </row>
    <row r="1952" spans="1:126" x14ac:dyDescent="0.3">
      <c r="A1952" s="5"/>
      <c r="B1952" s="11" t="s">
        <v>471</v>
      </c>
      <c r="C1952" s="5"/>
      <c r="D1952" s="5" t="s">
        <v>14</v>
      </c>
      <c r="E1952" s="15">
        <f>11</f>
        <v>11</v>
      </c>
      <c r="F1952" s="15"/>
      <c r="G1952" s="15"/>
    </row>
    <row r="1953" spans="1:126" s="3" customFormat="1" x14ac:dyDescent="0.3">
      <c r="A1953" s="21"/>
      <c r="B1953" s="21" t="s">
        <v>290</v>
      </c>
      <c r="C1953" s="21"/>
      <c r="D1953" s="21"/>
      <c r="E1953" s="22"/>
      <c r="F1953" s="22"/>
      <c r="G1953" s="22"/>
      <c r="H1953" s="59"/>
      <c r="I1953" s="59"/>
      <c r="J1953" s="59"/>
      <c r="K1953" s="59"/>
      <c r="L1953" s="59"/>
      <c r="M1953" s="59"/>
      <c r="N1953" s="59"/>
      <c r="O1953" s="59"/>
      <c r="P1953" s="59"/>
      <c r="Q1953" s="59"/>
      <c r="R1953" s="59"/>
      <c r="S1953" s="59"/>
      <c r="T1953" s="59"/>
      <c r="U1953" s="59"/>
      <c r="V1953" s="59"/>
      <c r="W1953" s="59"/>
      <c r="X1953" s="59"/>
      <c r="Y1953" s="59"/>
      <c r="Z1953" s="59"/>
      <c r="AA1953" s="59"/>
      <c r="AB1953" s="59"/>
      <c r="AC1953" s="59"/>
      <c r="AD1953" s="59"/>
      <c r="AE1953" s="59"/>
      <c r="AF1953" s="59"/>
      <c r="AG1953" s="59"/>
      <c r="AH1953" s="59"/>
      <c r="AI1953" s="59"/>
      <c r="AJ1953" s="59"/>
      <c r="AK1953" s="59"/>
      <c r="AL1953" s="59"/>
      <c r="AM1953" s="59"/>
      <c r="AN1953" s="59"/>
      <c r="AO1953" s="59"/>
      <c r="AP1953" s="59"/>
      <c r="AQ1953" s="59"/>
      <c r="AR1953" s="59"/>
      <c r="AS1953" s="59"/>
      <c r="AT1953" s="59"/>
      <c r="AU1953" s="59"/>
      <c r="AV1953" s="59"/>
      <c r="AW1953" s="59"/>
      <c r="AX1953" s="59"/>
      <c r="AY1953" s="59"/>
      <c r="AZ1953" s="59"/>
      <c r="BA1953" s="59"/>
      <c r="BB1953" s="59"/>
      <c r="BC1953" s="59"/>
      <c r="BD1953" s="59"/>
      <c r="BE1953" s="59"/>
      <c r="BF1953" s="59"/>
      <c r="BG1953" s="59"/>
      <c r="BH1953" s="59"/>
      <c r="BI1953" s="59"/>
      <c r="BJ1953" s="59"/>
      <c r="BK1953" s="59"/>
      <c r="BL1953" s="59"/>
      <c r="BM1953" s="59"/>
      <c r="BN1953" s="59"/>
      <c r="BO1953" s="59"/>
      <c r="BP1953" s="59"/>
      <c r="BQ1953" s="59"/>
      <c r="BR1953" s="59"/>
      <c r="BS1953" s="59"/>
      <c r="BT1953" s="59"/>
      <c r="BU1953" s="59"/>
      <c r="BV1953" s="59"/>
      <c r="BW1953" s="59"/>
      <c r="BX1953" s="59"/>
      <c r="BY1953" s="59"/>
      <c r="BZ1953" s="59"/>
      <c r="CA1953" s="59"/>
      <c r="CB1953" s="59"/>
      <c r="CC1953" s="59"/>
      <c r="CD1953" s="59"/>
      <c r="CE1953" s="59"/>
      <c r="CF1953" s="59"/>
      <c r="CG1953" s="59"/>
      <c r="CH1953" s="59"/>
      <c r="CI1953" s="59"/>
      <c r="CJ1953" s="59"/>
      <c r="CK1953" s="59"/>
      <c r="CL1953" s="59"/>
      <c r="CM1953" s="59"/>
      <c r="CN1953" s="59"/>
      <c r="CO1953" s="59"/>
      <c r="CP1953" s="59"/>
      <c r="CQ1953" s="59"/>
      <c r="CR1953" s="59"/>
      <c r="CS1953" s="59"/>
      <c r="CT1953" s="59"/>
      <c r="CU1953" s="59"/>
      <c r="CV1953" s="59"/>
      <c r="CW1953" s="59"/>
      <c r="CX1953" s="59"/>
      <c r="CY1953" s="59"/>
      <c r="CZ1953" s="59"/>
      <c r="DA1953" s="59"/>
      <c r="DB1953" s="59"/>
      <c r="DC1953" s="59"/>
      <c r="DD1953" s="59"/>
      <c r="DE1953" s="59"/>
      <c r="DF1953" s="59"/>
      <c r="DG1953" s="59"/>
      <c r="DH1953" s="59"/>
      <c r="DI1953" s="59"/>
      <c r="DJ1953" s="59"/>
      <c r="DK1953" s="59"/>
      <c r="DL1953" s="59"/>
      <c r="DM1953" s="59"/>
      <c r="DN1953" s="59"/>
      <c r="DO1953" s="59"/>
      <c r="DP1953" s="59"/>
      <c r="DQ1953" s="59"/>
      <c r="DR1953" s="59"/>
      <c r="DS1953" s="59"/>
      <c r="DT1953" s="59"/>
      <c r="DU1953" s="59"/>
      <c r="DV1953" s="59"/>
    </row>
    <row r="1954" spans="1:126" x14ac:dyDescent="0.3">
      <c r="A1954" s="5"/>
      <c r="B1954" s="5" t="s">
        <v>291</v>
      </c>
      <c r="C1954" s="5"/>
      <c r="D1954" s="5" t="s">
        <v>69</v>
      </c>
      <c r="E1954" s="15">
        <f>10.24</f>
        <v>10.24</v>
      </c>
      <c r="F1954" s="15"/>
      <c r="G1954" s="15"/>
    </row>
    <row r="1955" spans="1:126" x14ac:dyDescent="0.3">
      <c r="A1955" s="5"/>
      <c r="B1955" s="5" t="s">
        <v>472</v>
      </c>
      <c r="C1955" s="5"/>
      <c r="D1955" s="5" t="s">
        <v>74</v>
      </c>
      <c r="E1955" s="15">
        <f>11.46</f>
        <v>11.46</v>
      </c>
      <c r="F1955" s="15"/>
      <c r="G1955" s="15"/>
    </row>
    <row r="1956" spans="1:126" x14ac:dyDescent="0.3">
      <c r="A1956" s="5"/>
      <c r="B1956" s="5" t="s">
        <v>220</v>
      </c>
      <c r="C1956" s="5"/>
      <c r="D1956" s="5" t="s">
        <v>72</v>
      </c>
      <c r="E1956" s="15">
        <f>10.38*0.45</f>
        <v>4.6710000000000003</v>
      </c>
      <c r="F1956" s="15"/>
      <c r="G1956" s="15"/>
    </row>
    <row r="1957" spans="1:126" x14ac:dyDescent="0.3">
      <c r="A1957" s="5"/>
      <c r="B1957" s="5" t="s">
        <v>80</v>
      </c>
      <c r="C1957" s="5"/>
      <c r="D1957" s="5" t="s">
        <v>10</v>
      </c>
      <c r="E1957" s="15">
        <f>0.22</f>
        <v>0.22</v>
      </c>
      <c r="F1957" s="15"/>
      <c r="G1957" s="15"/>
    </row>
    <row r="1958" spans="1:126" x14ac:dyDescent="0.3">
      <c r="A1958" s="5"/>
      <c r="B1958" s="5" t="s">
        <v>292</v>
      </c>
      <c r="C1958" s="5"/>
      <c r="D1958" s="5" t="s">
        <v>72</v>
      </c>
      <c r="E1958" s="15">
        <f>111.9*0.5</f>
        <v>55.95</v>
      </c>
      <c r="F1958" s="15"/>
      <c r="G1958" s="15"/>
    </row>
    <row r="1959" spans="1:126" x14ac:dyDescent="0.3">
      <c r="A1959" s="5"/>
      <c r="B1959" s="5" t="s">
        <v>293</v>
      </c>
      <c r="C1959" s="5"/>
      <c r="D1959" s="5" t="s">
        <v>72</v>
      </c>
      <c r="E1959" s="15">
        <f>111.9*1</f>
        <v>111.9</v>
      </c>
      <c r="F1959" s="15"/>
      <c r="G1959" s="15"/>
    </row>
    <row r="1960" spans="1:126" x14ac:dyDescent="0.3">
      <c r="A1960" s="5"/>
      <c r="B1960" s="5" t="s">
        <v>292</v>
      </c>
      <c r="C1960" s="5"/>
      <c r="D1960" s="5" t="s">
        <v>72</v>
      </c>
      <c r="E1960" s="15">
        <f>111.9*0.5</f>
        <v>55.95</v>
      </c>
      <c r="F1960" s="15"/>
      <c r="G1960" s="15"/>
    </row>
    <row r="1961" spans="1:126" x14ac:dyDescent="0.3">
      <c r="A1961" s="5"/>
      <c r="B1961" s="5" t="s">
        <v>291</v>
      </c>
      <c r="C1961" s="5"/>
      <c r="D1961" s="5" t="s">
        <v>69</v>
      </c>
      <c r="E1961" s="15">
        <f>111.9</f>
        <v>111.9</v>
      </c>
      <c r="F1961" s="15"/>
      <c r="G1961" s="15"/>
    </row>
    <row r="1962" spans="1:126" s="25" customFormat="1" x14ac:dyDescent="0.3">
      <c r="A1962" s="23"/>
      <c r="B1962" s="23" t="s">
        <v>473</v>
      </c>
      <c r="C1962" s="23"/>
      <c r="D1962" s="23"/>
      <c r="E1962" s="24"/>
      <c r="F1962" s="24"/>
      <c r="G1962" s="24"/>
      <c r="H1962" s="59"/>
      <c r="I1962" s="59"/>
      <c r="J1962" s="59"/>
      <c r="K1962" s="59"/>
      <c r="L1962" s="59"/>
      <c r="M1962" s="59"/>
      <c r="N1962" s="59"/>
      <c r="O1962" s="59"/>
      <c r="P1962" s="59"/>
      <c r="Q1962" s="59"/>
      <c r="R1962" s="59"/>
      <c r="S1962" s="59"/>
      <c r="T1962" s="59"/>
      <c r="U1962" s="59"/>
      <c r="V1962" s="59"/>
      <c r="W1962" s="59"/>
      <c r="X1962" s="59"/>
      <c r="Y1962" s="59"/>
      <c r="Z1962" s="59"/>
      <c r="AA1962" s="59"/>
      <c r="AB1962" s="59"/>
      <c r="AC1962" s="59"/>
      <c r="AD1962" s="59"/>
      <c r="AE1962" s="59"/>
      <c r="AF1962" s="59"/>
      <c r="AG1962" s="59"/>
      <c r="AH1962" s="59"/>
      <c r="AI1962" s="59"/>
      <c r="AJ1962" s="59"/>
      <c r="AK1962" s="59"/>
      <c r="AL1962" s="59"/>
      <c r="AM1962" s="59"/>
      <c r="AN1962" s="59"/>
      <c r="AO1962" s="59"/>
      <c r="AP1962" s="59"/>
      <c r="AQ1962" s="59"/>
      <c r="AR1962" s="59"/>
      <c r="AS1962" s="59"/>
      <c r="AT1962" s="59"/>
      <c r="AU1962" s="59"/>
      <c r="AV1962" s="59"/>
      <c r="AW1962" s="59"/>
      <c r="AX1962" s="59"/>
      <c r="AY1962" s="59"/>
      <c r="AZ1962" s="59"/>
      <c r="BA1962" s="59"/>
      <c r="BB1962" s="59"/>
      <c r="BC1962" s="59"/>
      <c r="BD1962" s="59"/>
      <c r="BE1962" s="59"/>
      <c r="BF1962" s="59"/>
      <c r="BG1962" s="59"/>
      <c r="BH1962" s="59"/>
      <c r="BI1962" s="59"/>
      <c r="BJ1962" s="59"/>
      <c r="BK1962" s="59"/>
      <c r="BL1962" s="59"/>
      <c r="BM1962" s="59"/>
      <c r="BN1962" s="59"/>
      <c r="BO1962" s="59"/>
      <c r="BP1962" s="59"/>
      <c r="BQ1962" s="59"/>
      <c r="BR1962" s="59"/>
      <c r="BS1962" s="59"/>
      <c r="BT1962" s="59"/>
      <c r="BU1962" s="59"/>
      <c r="BV1962" s="59"/>
      <c r="BW1962" s="59"/>
      <c r="BX1962" s="59"/>
      <c r="BY1962" s="59"/>
      <c r="BZ1962" s="59"/>
      <c r="CA1962" s="59"/>
      <c r="CB1962" s="59"/>
      <c r="CC1962" s="59"/>
      <c r="CD1962" s="59"/>
      <c r="CE1962" s="59"/>
      <c r="CF1962" s="59"/>
      <c r="CG1962" s="59"/>
      <c r="CH1962" s="59"/>
      <c r="CI1962" s="59"/>
      <c r="CJ1962" s="59"/>
      <c r="CK1962" s="59"/>
      <c r="CL1962" s="59"/>
      <c r="CM1962" s="59"/>
      <c r="CN1962" s="59"/>
      <c r="CO1962" s="59"/>
      <c r="CP1962" s="59"/>
      <c r="CQ1962" s="59"/>
      <c r="CR1962" s="59"/>
      <c r="CS1962" s="59"/>
      <c r="CT1962" s="59"/>
      <c r="CU1962" s="59"/>
      <c r="CV1962" s="59"/>
      <c r="CW1962" s="59"/>
      <c r="CX1962" s="59"/>
      <c r="CY1962" s="59"/>
      <c r="CZ1962" s="59"/>
      <c r="DA1962" s="59"/>
      <c r="DB1962" s="59"/>
      <c r="DC1962" s="59"/>
      <c r="DD1962" s="59"/>
      <c r="DE1962" s="59"/>
      <c r="DF1962" s="59"/>
      <c r="DG1962" s="59"/>
      <c r="DH1962" s="59"/>
      <c r="DI1962" s="59"/>
      <c r="DJ1962" s="59"/>
      <c r="DK1962" s="59"/>
      <c r="DL1962" s="59"/>
      <c r="DM1962" s="59"/>
      <c r="DN1962" s="59"/>
      <c r="DO1962" s="59"/>
      <c r="DP1962" s="59"/>
      <c r="DQ1962" s="59"/>
      <c r="DR1962" s="59"/>
      <c r="DS1962" s="59"/>
      <c r="DT1962" s="59"/>
      <c r="DU1962" s="59"/>
      <c r="DV1962" s="59"/>
    </row>
    <row r="1963" spans="1:126" x14ac:dyDescent="0.3">
      <c r="A1963" s="5"/>
      <c r="B1963" s="11" t="s">
        <v>274</v>
      </c>
      <c r="C1963" s="5"/>
      <c r="D1963" s="5" t="s">
        <v>10</v>
      </c>
      <c r="E1963" s="15">
        <f>25164.6</f>
        <v>25164.6</v>
      </c>
      <c r="F1963" s="15"/>
      <c r="G1963" s="15"/>
    </row>
    <row r="1964" spans="1:126" x14ac:dyDescent="0.3">
      <c r="A1964" s="5"/>
      <c r="B1964" s="5" t="s">
        <v>275</v>
      </c>
      <c r="C1964" s="5"/>
      <c r="D1964" s="5" t="s">
        <v>10</v>
      </c>
      <c r="E1964" s="15">
        <f>1028.1</f>
        <v>1028.0999999999999</v>
      </c>
      <c r="F1964" s="15"/>
      <c r="G1964" s="15"/>
    </row>
    <row r="1965" spans="1:126" x14ac:dyDescent="0.3">
      <c r="A1965" s="5"/>
      <c r="B1965" s="5" t="s">
        <v>474</v>
      </c>
      <c r="C1965" s="5"/>
      <c r="D1965" s="5" t="s">
        <v>10</v>
      </c>
      <c r="E1965" s="15">
        <f>720.7</f>
        <v>720.7</v>
      </c>
      <c r="F1965" s="15"/>
      <c r="G1965" s="15"/>
    </row>
    <row r="1966" spans="1:126" x14ac:dyDescent="0.3">
      <c r="A1966" s="5"/>
      <c r="B1966" s="5" t="s">
        <v>475</v>
      </c>
      <c r="C1966" s="5"/>
      <c r="D1966" s="5" t="s">
        <v>14</v>
      </c>
      <c r="E1966" s="15">
        <f>429</f>
        <v>429</v>
      </c>
      <c r="F1966" s="15"/>
      <c r="G1966" s="15"/>
    </row>
    <row r="1967" spans="1:126" x14ac:dyDescent="0.3">
      <c r="A1967" s="5"/>
      <c r="B1967" s="5" t="s">
        <v>286</v>
      </c>
      <c r="C1967" s="5"/>
      <c r="D1967" s="5" t="s">
        <v>69</v>
      </c>
      <c r="E1967" s="15">
        <f>5911.5</f>
        <v>5911.5</v>
      </c>
      <c r="F1967" s="15"/>
      <c r="G1967" s="15"/>
    </row>
    <row r="1968" spans="1:126" s="3" customFormat="1" x14ac:dyDescent="0.3">
      <c r="A1968" s="21"/>
      <c r="B1968" s="21" t="s">
        <v>476</v>
      </c>
      <c r="C1968" s="21"/>
      <c r="D1968" s="21"/>
      <c r="E1968" s="22"/>
      <c r="F1968" s="22"/>
      <c r="G1968" s="22"/>
      <c r="H1968" s="59"/>
      <c r="I1968" s="59"/>
      <c r="J1968" s="59"/>
      <c r="K1968" s="59"/>
      <c r="L1968" s="59"/>
      <c r="M1968" s="59"/>
      <c r="N1968" s="59"/>
      <c r="O1968" s="59"/>
      <c r="P1968" s="59"/>
      <c r="Q1968" s="59"/>
      <c r="R1968" s="59"/>
      <c r="S1968" s="59"/>
      <c r="T1968" s="59"/>
      <c r="U1968" s="59"/>
      <c r="V1968" s="59"/>
      <c r="W1968" s="59"/>
      <c r="X1968" s="59"/>
      <c r="Y1968" s="59"/>
      <c r="Z1968" s="59"/>
      <c r="AA1968" s="59"/>
      <c r="AB1968" s="59"/>
      <c r="AC1968" s="59"/>
      <c r="AD1968" s="59"/>
      <c r="AE1968" s="59"/>
      <c r="AF1968" s="59"/>
      <c r="AG1968" s="59"/>
      <c r="AH1968" s="59"/>
      <c r="AI1968" s="59"/>
      <c r="AJ1968" s="59"/>
      <c r="AK1968" s="59"/>
      <c r="AL1968" s="59"/>
      <c r="AM1968" s="59"/>
      <c r="AN1968" s="59"/>
      <c r="AO1968" s="59"/>
      <c r="AP1968" s="59"/>
      <c r="AQ1968" s="59"/>
      <c r="AR1968" s="59"/>
      <c r="AS1968" s="59"/>
      <c r="AT1968" s="59"/>
      <c r="AU1968" s="59"/>
      <c r="AV1968" s="59"/>
      <c r="AW1968" s="59"/>
      <c r="AX1968" s="59"/>
      <c r="AY1968" s="59"/>
      <c r="AZ1968" s="59"/>
      <c r="BA1968" s="59"/>
      <c r="BB1968" s="59"/>
      <c r="BC1968" s="59"/>
      <c r="BD1968" s="59"/>
      <c r="BE1968" s="59"/>
      <c r="BF1968" s="59"/>
      <c r="BG1968" s="59"/>
      <c r="BH1968" s="59"/>
      <c r="BI1968" s="59"/>
      <c r="BJ1968" s="59"/>
      <c r="BK1968" s="59"/>
      <c r="BL1968" s="59"/>
      <c r="BM1968" s="59"/>
      <c r="BN1968" s="59"/>
      <c r="BO1968" s="59"/>
      <c r="BP1968" s="59"/>
      <c r="BQ1968" s="59"/>
      <c r="BR1968" s="59"/>
      <c r="BS1968" s="59"/>
      <c r="BT1968" s="59"/>
      <c r="BU1968" s="59"/>
      <c r="BV1968" s="59"/>
      <c r="BW1968" s="59"/>
      <c r="BX1968" s="59"/>
      <c r="BY1968" s="59"/>
      <c r="BZ1968" s="59"/>
      <c r="CA1968" s="59"/>
      <c r="CB1968" s="59"/>
      <c r="CC1968" s="59"/>
      <c r="CD1968" s="59"/>
      <c r="CE1968" s="59"/>
      <c r="CF1968" s="59"/>
      <c r="CG1968" s="59"/>
      <c r="CH1968" s="59"/>
      <c r="CI1968" s="59"/>
      <c r="CJ1968" s="59"/>
      <c r="CK1968" s="59"/>
      <c r="CL1968" s="59"/>
      <c r="CM1968" s="59"/>
      <c r="CN1968" s="59"/>
      <c r="CO1968" s="59"/>
      <c r="CP1968" s="59"/>
      <c r="CQ1968" s="59"/>
      <c r="CR1968" s="59"/>
      <c r="CS1968" s="59"/>
      <c r="CT1968" s="59"/>
      <c r="CU1968" s="59"/>
      <c r="CV1968" s="59"/>
      <c r="CW1968" s="59"/>
      <c r="CX1968" s="59"/>
      <c r="CY1968" s="59"/>
      <c r="CZ1968" s="59"/>
      <c r="DA1968" s="59"/>
      <c r="DB1968" s="59"/>
      <c r="DC1968" s="59"/>
      <c r="DD1968" s="59"/>
      <c r="DE1968" s="59"/>
      <c r="DF1968" s="59"/>
      <c r="DG1968" s="59"/>
      <c r="DH1968" s="59"/>
      <c r="DI1968" s="59"/>
      <c r="DJ1968" s="59"/>
      <c r="DK1968" s="59"/>
      <c r="DL1968" s="59"/>
      <c r="DM1968" s="59"/>
      <c r="DN1968" s="59"/>
      <c r="DO1968" s="59"/>
      <c r="DP1968" s="59"/>
      <c r="DQ1968" s="59"/>
      <c r="DR1968" s="59"/>
      <c r="DS1968" s="59"/>
      <c r="DT1968" s="59"/>
      <c r="DU1968" s="59"/>
      <c r="DV1968" s="59"/>
    </row>
    <row r="1969" spans="1:126" x14ac:dyDescent="0.3">
      <c r="A1969" s="5"/>
      <c r="B1969" s="5" t="s">
        <v>477</v>
      </c>
      <c r="C1969" s="5"/>
      <c r="D1969" s="5" t="s">
        <v>10</v>
      </c>
      <c r="E1969" s="15">
        <f>75.9</f>
        <v>75.900000000000006</v>
      </c>
      <c r="F1969" s="15"/>
      <c r="G1969" s="15"/>
    </row>
    <row r="1970" spans="1:126" x14ac:dyDescent="0.3">
      <c r="A1970" s="5"/>
      <c r="B1970" s="5" t="s">
        <v>478</v>
      </c>
      <c r="C1970" s="5"/>
      <c r="D1970" s="5" t="s">
        <v>10</v>
      </c>
      <c r="E1970" s="15">
        <f>93.7</f>
        <v>93.7</v>
      </c>
      <c r="F1970" s="15"/>
      <c r="G1970" s="15"/>
    </row>
    <row r="1971" spans="1:126" x14ac:dyDescent="0.3">
      <c r="A1971" s="5"/>
      <c r="B1971" s="5" t="s">
        <v>136</v>
      </c>
      <c r="C1971" s="5"/>
      <c r="D1971" s="5" t="s">
        <v>8</v>
      </c>
      <c r="E1971" s="15">
        <f>3.9</f>
        <v>3.9</v>
      </c>
      <c r="F1971" s="15"/>
      <c r="G1971" s="15"/>
    </row>
    <row r="1972" spans="1:126" x14ac:dyDescent="0.3">
      <c r="A1972" s="5"/>
      <c r="B1972" s="5" t="s">
        <v>477</v>
      </c>
      <c r="C1972" s="5"/>
      <c r="D1972" s="5" t="s">
        <v>10</v>
      </c>
      <c r="E1972" s="15">
        <f>159.1</f>
        <v>159.1</v>
      </c>
      <c r="F1972" s="15"/>
      <c r="G1972" s="15"/>
    </row>
    <row r="1973" spans="1:126" x14ac:dyDescent="0.3">
      <c r="A1973" s="5"/>
      <c r="B1973" s="5" t="s">
        <v>279</v>
      </c>
      <c r="C1973" s="5"/>
      <c r="D1973" s="5" t="s">
        <v>10</v>
      </c>
      <c r="E1973" s="15">
        <f>16625.8</f>
        <v>16625.8</v>
      </c>
      <c r="F1973" s="15"/>
      <c r="G1973" s="15"/>
    </row>
    <row r="1974" spans="1:126" s="7" customFormat="1" x14ac:dyDescent="0.3">
      <c r="A1974" s="6"/>
      <c r="B1974" s="6" t="s">
        <v>480</v>
      </c>
      <c r="C1974" s="6" t="s">
        <v>503</v>
      </c>
      <c r="D1974" s="6"/>
      <c r="E1974" s="13"/>
      <c r="F1974" s="13"/>
      <c r="G1974" s="13"/>
      <c r="H1974" s="59"/>
      <c r="I1974" s="59"/>
      <c r="J1974" s="59"/>
      <c r="K1974" s="59"/>
      <c r="L1974" s="59"/>
      <c r="M1974" s="59"/>
      <c r="N1974" s="59"/>
      <c r="O1974" s="59"/>
      <c r="P1974" s="59"/>
      <c r="Q1974" s="59"/>
      <c r="R1974" s="59"/>
      <c r="S1974" s="59"/>
      <c r="T1974" s="59"/>
      <c r="U1974" s="59"/>
      <c r="V1974" s="59"/>
      <c r="W1974" s="59"/>
      <c r="X1974" s="59"/>
      <c r="Y1974" s="59"/>
      <c r="Z1974" s="59"/>
      <c r="AA1974" s="59"/>
      <c r="AB1974" s="59"/>
      <c r="AC1974" s="59"/>
      <c r="AD1974" s="59"/>
      <c r="AE1974" s="59"/>
      <c r="AF1974" s="59"/>
      <c r="AG1974" s="59"/>
      <c r="AH1974" s="59"/>
      <c r="AI1974" s="59"/>
      <c r="AJ1974" s="59"/>
      <c r="AK1974" s="59"/>
      <c r="AL1974" s="59"/>
      <c r="AM1974" s="59"/>
      <c r="AN1974" s="59"/>
      <c r="AO1974" s="59"/>
      <c r="AP1974" s="59"/>
      <c r="AQ1974" s="59"/>
      <c r="AR1974" s="59"/>
      <c r="AS1974" s="59"/>
      <c r="AT1974" s="59"/>
      <c r="AU1974" s="59"/>
      <c r="AV1974" s="59"/>
      <c r="AW1974" s="59"/>
      <c r="AX1974" s="59"/>
      <c r="AY1974" s="59"/>
      <c r="AZ1974" s="59"/>
      <c r="BA1974" s="59"/>
      <c r="BB1974" s="59"/>
      <c r="BC1974" s="59"/>
      <c r="BD1974" s="59"/>
      <c r="BE1974" s="59"/>
      <c r="BF1974" s="59"/>
      <c r="BG1974" s="59"/>
      <c r="BH1974" s="59"/>
      <c r="BI1974" s="59"/>
      <c r="BJ1974" s="59"/>
      <c r="BK1974" s="59"/>
      <c r="BL1974" s="59"/>
      <c r="BM1974" s="59"/>
      <c r="BN1974" s="59"/>
      <c r="BO1974" s="59"/>
      <c r="BP1974" s="59"/>
      <c r="BQ1974" s="59"/>
      <c r="BR1974" s="59"/>
      <c r="BS1974" s="59"/>
      <c r="BT1974" s="59"/>
      <c r="BU1974" s="59"/>
      <c r="BV1974" s="59"/>
      <c r="BW1974" s="59"/>
      <c r="BX1974" s="59"/>
      <c r="BY1974" s="59"/>
      <c r="BZ1974" s="59"/>
      <c r="CA1974" s="59"/>
      <c r="CB1974" s="59"/>
      <c r="CC1974" s="59"/>
      <c r="CD1974" s="59"/>
      <c r="CE1974" s="59"/>
      <c r="CF1974" s="59"/>
      <c r="CG1974" s="59"/>
      <c r="CH1974" s="59"/>
      <c r="CI1974" s="59"/>
      <c r="CJ1974" s="59"/>
      <c r="CK1974" s="59"/>
      <c r="CL1974" s="59"/>
      <c r="CM1974" s="59"/>
      <c r="CN1974" s="59"/>
      <c r="CO1974" s="59"/>
      <c r="CP1974" s="59"/>
      <c r="CQ1974" s="59"/>
      <c r="CR1974" s="59"/>
      <c r="CS1974" s="59"/>
      <c r="CT1974" s="59"/>
      <c r="CU1974" s="59"/>
      <c r="CV1974" s="59"/>
      <c r="CW1974" s="59"/>
      <c r="CX1974" s="59"/>
      <c r="CY1974" s="59"/>
      <c r="CZ1974" s="59"/>
      <c r="DA1974" s="59"/>
      <c r="DB1974" s="59"/>
      <c r="DC1974" s="59"/>
      <c r="DD1974" s="59"/>
      <c r="DE1974" s="59"/>
      <c r="DF1974" s="59"/>
      <c r="DG1974" s="59"/>
      <c r="DH1974" s="59"/>
      <c r="DI1974" s="59"/>
      <c r="DJ1974" s="59"/>
      <c r="DK1974" s="59"/>
      <c r="DL1974" s="59"/>
      <c r="DM1974" s="59"/>
      <c r="DN1974" s="59"/>
      <c r="DO1974" s="59"/>
      <c r="DP1974" s="59"/>
      <c r="DQ1974" s="59"/>
      <c r="DR1974" s="59"/>
      <c r="DS1974" s="59"/>
      <c r="DT1974" s="59"/>
      <c r="DU1974" s="59"/>
      <c r="DV1974" s="59"/>
    </row>
    <row r="1975" spans="1:126" s="25" customFormat="1" x14ac:dyDescent="0.3">
      <c r="A1975" s="23"/>
      <c r="B1975" s="23" t="s">
        <v>479</v>
      </c>
      <c r="C1975" s="23"/>
      <c r="D1975" s="23"/>
      <c r="E1975" s="24"/>
      <c r="F1975" s="24"/>
      <c r="G1975" s="24"/>
      <c r="H1975" s="59"/>
      <c r="I1975" s="59"/>
      <c r="J1975" s="59"/>
      <c r="K1975" s="59"/>
      <c r="L1975" s="59"/>
      <c r="M1975" s="59"/>
      <c r="N1975" s="59"/>
      <c r="O1975" s="59"/>
      <c r="P1975" s="59"/>
      <c r="Q1975" s="59"/>
      <c r="R1975" s="59"/>
      <c r="S1975" s="59"/>
      <c r="T1975" s="59"/>
      <c r="U1975" s="59"/>
      <c r="V1975" s="59"/>
      <c r="W1975" s="59"/>
      <c r="X1975" s="59"/>
      <c r="Y1975" s="59"/>
      <c r="Z1975" s="59"/>
      <c r="AA1975" s="59"/>
      <c r="AB1975" s="59"/>
      <c r="AC1975" s="59"/>
      <c r="AD1975" s="59"/>
      <c r="AE1975" s="59"/>
      <c r="AF1975" s="59"/>
      <c r="AG1975" s="59"/>
      <c r="AH1975" s="59"/>
      <c r="AI1975" s="59"/>
      <c r="AJ1975" s="59"/>
      <c r="AK1975" s="59"/>
      <c r="AL1975" s="59"/>
      <c r="AM1975" s="59"/>
      <c r="AN1975" s="59"/>
      <c r="AO1975" s="59"/>
      <c r="AP1975" s="59"/>
      <c r="AQ1975" s="59"/>
      <c r="AR1975" s="59"/>
      <c r="AS1975" s="59"/>
      <c r="AT1975" s="59"/>
      <c r="AU1975" s="59"/>
      <c r="AV1975" s="59"/>
      <c r="AW1975" s="59"/>
      <c r="AX1975" s="59"/>
      <c r="AY1975" s="59"/>
      <c r="AZ1975" s="59"/>
      <c r="BA1975" s="59"/>
      <c r="BB1975" s="59"/>
      <c r="BC1975" s="59"/>
      <c r="BD1975" s="59"/>
      <c r="BE1975" s="59"/>
      <c r="BF1975" s="59"/>
      <c r="BG1975" s="59"/>
      <c r="BH1975" s="59"/>
      <c r="BI1975" s="59"/>
      <c r="BJ1975" s="59"/>
      <c r="BK1975" s="59"/>
      <c r="BL1975" s="59"/>
      <c r="BM1975" s="59"/>
      <c r="BN1975" s="59"/>
      <c r="BO1975" s="59"/>
      <c r="BP1975" s="59"/>
      <c r="BQ1975" s="59"/>
      <c r="BR1975" s="59"/>
      <c r="BS1975" s="59"/>
      <c r="BT1975" s="59"/>
      <c r="BU1975" s="59"/>
      <c r="BV1975" s="59"/>
      <c r="BW1975" s="59"/>
      <c r="BX1975" s="59"/>
      <c r="BY1975" s="59"/>
      <c r="BZ1975" s="59"/>
      <c r="CA1975" s="59"/>
      <c r="CB1975" s="59"/>
      <c r="CC1975" s="59"/>
      <c r="CD1975" s="59"/>
      <c r="CE1975" s="59"/>
      <c r="CF1975" s="59"/>
      <c r="CG1975" s="59"/>
      <c r="CH1975" s="59"/>
      <c r="CI1975" s="59"/>
      <c r="CJ1975" s="59"/>
      <c r="CK1975" s="59"/>
      <c r="CL1975" s="59"/>
      <c r="CM1975" s="59"/>
      <c r="CN1975" s="59"/>
      <c r="CO1975" s="59"/>
      <c r="CP1975" s="59"/>
      <c r="CQ1975" s="59"/>
      <c r="CR1975" s="59"/>
      <c r="CS1975" s="59"/>
      <c r="CT1975" s="59"/>
      <c r="CU1975" s="59"/>
      <c r="CV1975" s="59"/>
      <c r="CW1975" s="59"/>
      <c r="CX1975" s="59"/>
      <c r="CY1975" s="59"/>
      <c r="CZ1975" s="59"/>
      <c r="DA1975" s="59"/>
      <c r="DB1975" s="59"/>
      <c r="DC1975" s="59"/>
      <c r="DD1975" s="59"/>
      <c r="DE1975" s="59"/>
      <c r="DF1975" s="59"/>
      <c r="DG1975" s="59"/>
      <c r="DH1975" s="59"/>
      <c r="DI1975" s="59"/>
      <c r="DJ1975" s="59"/>
      <c r="DK1975" s="59"/>
      <c r="DL1975" s="59"/>
      <c r="DM1975" s="59"/>
      <c r="DN1975" s="59"/>
      <c r="DO1975" s="59"/>
      <c r="DP1975" s="59"/>
      <c r="DQ1975" s="59"/>
      <c r="DR1975" s="59"/>
      <c r="DS1975" s="59"/>
      <c r="DT1975" s="59"/>
      <c r="DU1975" s="59"/>
      <c r="DV1975" s="59"/>
    </row>
    <row r="1976" spans="1:126" x14ac:dyDescent="0.3">
      <c r="A1976" s="5"/>
      <c r="B1976" s="5" t="s">
        <v>481</v>
      </c>
      <c r="C1976" s="5"/>
      <c r="D1976" s="5" t="s">
        <v>10</v>
      </c>
      <c r="E1976" s="15">
        <f>292840</f>
        <v>292840</v>
      </c>
      <c r="F1976" s="15"/>
      <c r="G1976" s="15"/>
    </row>
    <row r="1977" spans="1:126" x14ac:dyDescent="0.3">
      <c r="A1977" s="5"/>
      <c r="B1977" s="5" t="s">
        <v>482</v>
      </c>
      <c r="C1977" s="5"/>
      <c r="D1977" s="5" t="s">
        <v>69</v>
      </c>
      <c r="E1977" s="15">
        <f>114369</f>
        <v>114369</v>
      </c>
      <c r="F1977" s="15"/>
      <c r="G1977" s="15"/>
    </row>
    <row r="1978" spans="1:126" x14ac:dyDescent="0.3">
      <c r="A1978" s="5"/>
      <c r="B1978" s="5" t="s">
        <v>483</v>
      </c>
      <c r="C1978" s="5"/>
      <c r="D1978" s="5" t="s">
        <v>8</v>
      </c>
      <c r="E1978" s="15">
        <f>0.18</f>
        <v>0.18</v>
      </c>
      <c r="F1978" s="15"/>
      <c r="G1978" s="15"/>
    </row>
    <row r="1979" spans="1:126" x14ac:dyDescent="0.3">
      <c r="A1979" s="5"/>
      <c r="B1979" s="5" t="s">
        <v>484</v>
      </c>
      <c r="C1979" s="5"/>
      <c r="D1979" s="5" t="s">
        <v>69</v>
      </c>
      <c r="E1979" s="15">
        <f>16063</f>
        <v>16063</v>
      </c>
      <c r="F1979" s="15"/>
      <c r="G1979" s="15"/>
    </row>
    <row r="1980" spans="1:126" s="3" customFormat="1" x14ac:dyDescent="0.3">
      <c r="A1980" s="21"/>
      <c r="B1980" s="21" t="s">
        <v>487</v>
      </c>
      <c r="C1980" s="21"/>
      <c r="D1980" s="21"/>
      <c r="E1980" s="22"/>
      <c r="F1980" s="22"/>
      <c r="G1980" s="22"/>
      <c r="H1980" s="59"/>
      <c r="I1980" s="59"/>
      <c r="J1980" s="59"/>
      <c r="K1980" s="59"/>
      <c r="L1980" s="59"/>
      <c r="M1980" s="59"/>
      <c r="N1980" s="59"/>
      <c r="O1980" s="59"/>
      <c r="P1980" s="59"/>
      <c r="Q1980" s="59"/>
      <c r="R1980" s="59"/>
      <c r="S1980" s="59"/>
      <c r="T1980" s="59"/>
      <c r="U1980" s="59"/>
      <c r="V1980" s="59"/>
      <c r="W1980" s="59"/>
      <c r="X1980" s="59"/>
      <c r="Y1980" s="59"/>
      <c r="Z1980" s="59"/>
      <c r="AA1980" s="59"/>
      <c r="AB1980" s="59"/>
      <c r="AC1980" s="59"/>
      <c r="AD1980" s="59"/>
      <c r="AE1980" s="59"/>
      <c r="AF1980" s="59"/>
      <c r="AG1980" s="59"/>
      <c r="AH1980" s="59"/>
      <c r="AI1980" s="59"/>
      <c r="AJ1980" s="59"/>
      <c r="AK1980" s="59"/>
      <c r="AL1980" s="59"/>
      <c r="AM1980" s="59"/>
      <c r="AN1980" s="59"/>
      <c r="AO1980" s="59"/>
      <c r="AP1980" s="59"/>
      <c r="AQ1980" s="59"/>
      <c r="AR1980" s="59"/>
      <c r="AS1980" s="59"/>
      <c r="AT1980" s="59"/>
      <c r="AU1980" s="59"/>
      <c r="AV1980" s="59"/>
      <c r="AW1980" s="59"/>
      <c r="AX1980" s="59"/>
      <c r="AY1980" s="59"/>
      <c r="AZ1980" s="59"/>
      <c r="BA1980" s="59"/>
      <c r="BB1980" s="59"/>
      <c r="BC1980" s="59"/>
      <c r="BD1980" s="59"/>
      <c r="BE1980" s="59"/>
      <c r="BF1980" s="59"/>
      <c r="BG1980" s="59"/>
      <c r="BH1980" s="59"/>
      <c r="BI1980" s="59"/>
      <c r="BJ1980" s="59"/>
      <c r="BK1980" s="59"/>
      <c r="BL1980" s="59"/>
      <c r="BM1980" s="59"/>
      <c r="BN1980" s="59"/>
      <c r="BO1980" s="59"/>
      <c r="BP1980" s="59"/>
      <c r="BQ1980" s="59"/>
      <c r="BR1980" s="59"/>
      <c r="BS1980" s="59"/>
      <c r="BT1980" s="59"/>
      <c r="BU1980" s="59"/>
      <c r="BV1980" s="59"/>
      <c r="BW1980" s="59"/>
      <c r="BX1980" s="59"/>
      <c r="BY1980" s="59"/>
      <c r="BZ1980" s="59"/>
      <c r="CA1980" s="59"/>
      <c r="CB1980" s="59"/>
      <c r="CC1980" s="59"/>
      <c r="CD1980" s="59"/>
      <c r="CE1980" s="59"/>
      <c r="CF1980" s="59"/>
      <c r="CG1980" s="59"/>
      <c r="CH1980" s="59"/>
      <c r="CI1980" s="59"/>
      <c r="CJ1980" s="59"/>
      <c r="CK1980" s="59"/>
      <c r="CL1980" s="59"/>
      <c r="CM1980" s="59"/>
      <c r="CN1980" s="59"/>
      <c r="CO1980" s="59"/>
      <c r="CP1980" s="59"/>
      <c r="CQ1980" s="59"/>
      <c r="CR1980" s="59"/>
      <c r="CS1980" s="59"/>
      <c r="CT1980" s="59"/>
      <c r="CU1980" s="59"/>
      <c r="CV1980" s="59"/>
      <c r="CW1980" s="59"/>
      <c r="CX1980" s="59"/>
      <c r="CY1980" s="59"/>
      <c r="CZ1980" s="59"/>
      <c r="DA1980" s="59"/>
      <c r="DB1980" s="59"/>
      <c r="DC1980" s="59"/>
      <c r="DD1980" s="59"/>
      <c r="DE1980" s="59"/>
      <c r="DF1980" s="59"/>
      <c r="DG1980" s="59"/>
      <c r="DH1980" s="59"/>
      <c r="DI1980" s="59"/>
      <c r="DJ1980" s="59"/>
      <c r="DK1980" s="59"/>
      <c r="DL1980" s="59"/>
      <c r="DM1980" s="59"/>
      <c r="DN1980" s="59"/>
      <c r="DO1980" s="59"/>
      <c r="DP1980" s="59"/>
      <c r="DQ1980" s="59"/>
      <c r="DR1980" s="59"/>
      <c r="DS1980" s="59"/>
      <c r="DT1980" s="59"/>
      <c r="DU1980" s="59"/>
      <c r="DV1980" s="59"/>
    </row>
    <row r="1981" spans="1:126" x14ac:dyDescent="0.3">
      <c r="A1981" s="5"/>
      <c r="B1981" s="5" t="s">
        <v>485</v>
      </c>
      <c r="C1981" s="5"/>
      <c r="D1981" s="5" t="s">
        <v>10</v>
      </c>
      <c r="E1981" s="15">
        <f>1949*3*2.5*0.15</f>
        <v>2192.625</v>
      </c>
      <c r="F1981" s="15"/>
      <c r="G1981" s="15"/>
    </row>
    <row r="1982" spans="1:126" x14ac:dyDescent="0.3">
      <c r="A1982" s="5"/>
      <c r="B1982" s="5" t="s">
        <v>486</v>
      </c>
      <c r="C1982" s="5"/>
      <c r="D1982" s="5" t="s">
        <v>10</v>
      </c>
      <c r="E1982" s="15">
        <f>1564</f>
        <v>1564</v>
      </c>
      <c r="F1982" s="15"/>
      <c r="G1982" s="15"/>
    </row>
    <row r="1983" spans="1:126" x14ac:dyDescent="0.3">
      <c r="A1983" s="5"/>
      <c r="B1983" s="5" t="s">
        <v>220</v>
      </c>
      <c r="C1983" s="5"/>
      <c r="D1983" s="5" t="s">
        <v>8</v>
      </c>
      <c r="E1983" s="15">
        <f>38.44</f>
        <v>38.44</v>
      </c>
      <c r="F1983" s="15"/>
      <c r="G1983" s="15"/>
    </row>
    <row r="1984" spans="1:126" s="3" customFormat="1" x14ac:dyDescent="0.3">
      <c r="A1984" s="21"/>
      <c r="B1984" s="21" t="s">
        <v>488</v>
      </c>
      <c r="C1984" s="21"/>
      <c r="D1984" s="21"/>
      <c r="E1984" s="22"/>
      <c r="F1984" s="22"/>
      <c r="G1984" s="22"/>
      <c r="H1984" s="59"/>
      <c r="I1984" s="59"/>
      <c r="J1984" s="59"/>
      <c r="K1984" s="59"/>
      <c r="L1984" s="59"/>
      <c r="M1984" s="59"/>
      <c r="N1984" s="59"/>
      <c r="O1984" s="59"/>
      <c r="P1984" s="59"/>
      <c r="Q1984" s="59"/>
      <c r="R1984" s="59"/>
      <c r="S1984" s="59"/>
      <c r="T1984" s="59"/>
      <c r="U1984" s="59"/>
      <c r="V1984" s="59"/>
      <c r="W1984" s="59"/>
      <c r="X1984" s="59"/>
      <c r="Y1984" s="59"/>
      <c r="Z1984" s="59"/>
      <c r="AA1984" s="59"/>
      <c r="AB1984" s="59"/>
      <c r="AC1984" s="59"/>
      <c r="AD1984" s="59"/>
      <c r="AE1984" s="59"/>
      <c r="AF1984" s="59"/>
      <c r="AG1984" s="59"/>
      <c r="AH1984" s="59"/>
      <c r="AI1984" s="59"/>
      <c r="AJ1984" s="59"/>
      <c r="AK1984" s="59"/>
      <c r="AL1984" s="59"/>
      <c r="AM1984" s="59"/>
      <c r="AN1984" s="59"/>
      <c r="AO1984" s="59"/>
      <c r="AP1984" s="59"/>
      <c r="AQ1984" s="59"/>
      <c r="AR1984" s="59"/>
      <c r="AS1984" s="59"/>
      <c r="AT1984" s="59"/>
      <c r="AU1984" s="59"/>
      <c r="AV1984" s="59"/>
      <c r="AW1984" s="59"/>
      <c r="AX1984" s="59"/>
      <c r="AY1984" s="59"/>
      <c r="AZ1984" s="59"/>
      <c r="BA1984" s="59"/>
      <c r="BB1984" s="59"/>
      <c r="BC1984" s="59"/>
      <c r="BD1984" s="59"/>
      <c r="BE1984" s="59"/>
      <c r="BF1984" s="59"/>
      <c r="BG1984" s="59"/>
      <c r="BH1984" s="59"/>
      <c r="BI1984" s="59"/>
      <c r="BJ1984" s="59"/>
      <c r="BK1984" s="59"/>
      <c r="BL1984" s="59"/>
      <c r="BM1984" s="59"/>
      <c r="BN1984" s="59"/>
      <c r="BO1984" s="59"/>
      <c r="BP1984" s="59"/>
      <c r="BQ1984" s="59"/>
      <c r="BR1984" s="59"/>
      <c r="BS1984" s="59"/>
      <c r="BT1984" s="59"/>
      <c r="BU1984" s="59"/>
      <c r="BV1984" s="59"/>
      <c r="BW1984" s="59"/>
      <c r="BX1984" s="59"/>
      <c r="BY1984" s="59"/>
      <c r="BZ1984" s="59"/>
      <c r="CA1984" s="59"/>
      <c r="CB1984" s="59"/>
      <c r="CC1984" s="59"/>
      <c r="CD1984" s="59"/>
      <c r="CE1984" s="59"/>
      <c r="CF1984" s="59"/>
      <c r="CG1984" s="59"/>
      <c r="CH1984" s="59"/>
      <c r="CI1984" s="59"/>
      <c r="CJ1984" s="59"/>
      <c r="CK1984" s="59"/>
      <c r="CL1984" s="59"/>
      <c r="CM1984" s="59"/>
      <c r="CN1984" s="59"/>
      <c r="CO1984" s="59"/>
      <c r="CP1984" s="59"/>
      <c r="CQ1984" s="59"/>
      <c r="CR1984" s="59"/>
      <c r="CS1984" s="59"/>
      <c r="CT1984" s="59"/>
      <c r="CU1984" s="59"/>
      <c r="CV1984" s="59"/>
      <c r="CW1984" s="59"/>
      <c r="CX1984" s="59"/>
      <c r="CY1984" s="59"/>
      <c r="CZ1984" s="59"/>
      <c r="DA1984" s="59"/>
      <c r="DB1984" s="59"/>
      <c r="DC1984" s="59"/>
      <c r="DD1984" s="59"/>
      <c r="DE1984" s="59"/>
      <c r="DF1984" s="59"/>
      <c r="DG1984" s="59"/>
      <c r="DH1984" s="59"/>
      <c r="DI1984" s="59"/>
      <c r="DJ1984" s="59"/>
      <c r="DK1984" s="59"/>
      <c r="DL1984" s="59"/>
      <c r="DM1984" s="59"/>
      <c r="DN1984" s="59"/>
      <c r="DO1984" s="59"/>
      <c r="DP1984" s="59"/>
      <c r="DQ1984" s="59"/>
      <c r="DR1984" s="59"/>
      <c r="DS1984" s="59"/>
      <c r="DT1984" s="59"/>
      <c r="DU1984" s="59"/>
      <c r="DV1984" s="59"/>
    </row>
    <row r="1985" spans="1:126" x14ac:dyDescent="0.3">
      <c r="A1985" s="5"/>
      <c r="B1985" s="5" t="s">
        <v>489</v>
      </c>
      <c r="C1985" s="5"/>
      <c r="D1985" s="5" t="s">
        <v>10</v>
      </c>
      <c r="E1985" s="15">
        <f>353</f>
        <v>353</v>
      </c>
      <c r="F1985" s="15"/>
      <c r="G1985" s="15"/>
    </row>
    <row r="1986" spans="1:126" x14ac:dyDescent="0.3">
      <c r="A1986" s="5"/>
      <c r="B1986" s="5" t="s">
        <v>486</v>
      </c>
      <c r="C1986" s="5"/>
      <c r="D1986" s="5" t="s">
        <v>10</v>
      </c>
      <c r="E1986" s="15">
        <f>107</f>
        <v>107</v>
      </c>
      <c r="F1986" s="15"/>
      <c r="G1986" s="15"/>
    </row>
    <row r="1987" spans="1:126" x14ac:dyDescent="0.3">
      <c r="A1987" s="5"/>
      <c r="B1987" s="5" t="s">
        <v>279</v>
      </c>
      <c r="C1987" s="5"/>
      <c r="D1987" s="5" t="s">
        <v>10</v>
      </c>
      <c r="E1987" s="15">
        <f>14849</f>
        <v>14849</v>
      </c>
      <c r="F1987" s="15"/>
      <c r="G1987" s="15"/>
    </row>
    <row r="1988" spans="1:126" x14ac:dyDescent="0.3">
      <c r="A1988" s="5"/>
      <c r="B1988" s="5" t="s">
        <v>484</v>
      </c>
      <c r="C1988" s="5"/>
      <c r="D1988" s="5" t="s">
        <v>69</v>
      </c>
      <c r="E1988" s="15">
        <f>8534</f>
        <v>8534</v>
      </c>
      <c r="F1988" s="15"/>
      <c r="G1988" s="15"/>
    </row>
    <row r="1989" spans="1:126" x14ac:dyDescent="0.3">
      <c r="A1989" s="5"/>
      <c r="B1989" s="5" t="s">
        <v>490</v>
      </c>
      <c r="C1989" s="5"/>
      <c r="D1989" s="5" t="s">
        <v>8</v>
      </c>
      <c r="E1989" s="15">
        <f>25.7</f>
        <v>25.7</v>
      </c>
      <c r="F1989" s="15"/>
      <c r="G1989" s="15"/>
    </row>
    <row r="1990" spans="1:126" x14ac:dyDescent="0.3">
      <c r="A1990" s="5"/>
      <c r="B1990" s="5" t="s">
        <v>491</v>
      </c>
      <c r="C1990" s="5"/>
      <c r="D1990" s="5" t="s">
        <v>10</v>
      </c>
      <c r="E1990" s="15">
        <f>2137</f>
        <v>2137</v>
      </c>
      <c r="F1990" s="15"/>
      <c r="G1990" s="15"/>
    </row>
    <row r="1991" spans="1:126" s="25" customFormat="1" x14ac:dyDescent="0.3">
      <c r="A1991" s="23"/>
      <c r="B1991" s="23" t="s">
        <v>492</v>
      </c>
      <c r="C1991" s="23"/>
      <c r="D1991" s="23"/>
      <c r="E1991" s="24"/>
      <c r="F1991" s="24"/>
      <c r="G1991" s="24"/>
      <c r="H1991" s="59"/>
      <c r="I1991" s="59"/>
      <c r="J1991" s="59"/>
      <c r="K1991" s="59"/>
      <c r="L1991" s="59"/>
      <c r="M1991" s="59"/>
      <c r="N1991" s="59"/>
      <c r="O1991" s="59"/>
      <c r="P1991" s="59"/>
      <c r="Q1991" s="59"/>
      <c r="R1991" s="59"/>
      <c r="S1991" s="59"/>
      <c r="T1991" s="59"/>
      <c r="U1991" s="59"/>
      <c r="V1991" s="59"/>
      <c r="W1991" s="59"/>
      <c r="X1991" s="59"/>
      <c r="Y1991" s="59"/>
      <c r="Z1991" s="59"/>
      <c r="AA1991" s="59"/>
      <c r="AB1991" s="59"/>
      <c r="AC1991" s="59"/>
      <c r="AD1991" s="59"/>
      <c r="AE1991" s="59"/>
      <c r="AF1991" s="59"/>
      <c r="AG1991" s="59"/>
      <c r="AH1991" s="59"/>
      <c r="AI1991" s="59"/>
      <c r="AJ1991" s="59"/>
      <c r="AK1991" s="59"/>
      <c r="AL1991" s="59"/>
      <c r="AM1991" s="59"/>
      <c r="AN1991" s="59"/>
      <c r="AO1991" s="59"/>
      <c r="AP1991" s="59"/>
      <c r="AQ1991" s="59"/>
      <c r="AR1991" s="59"/>
      <c r="AS1991" s="59"/>
      <c r="AT1991" s="59"/>
      <c r="AU1991" s="59"/>
      <c r="AV1991" s="59"/>
      <c r="AW1991" s="59"/>
      <c r="AX1991" s="59"/>
      <c r="AY1991" s="59"/>
      <c r="AZ1991" s="59"/>
      <c r="BA1991" s="59"/>
      <c r="BB1991" s="59"/>
      <c r="BC1991" s="59"/>
      <c r="BD1991" s="59"/>
      <c r="BE1991" s="59"/>
      <c r="BF1991" s="59"/>
      <c r="BG1991" s="59"/>
      <c r="BH1991" s="59"/>
      <c r="BI1991" s="59"/>
      <c r="BJ1991" s="59"/>
      <c r="BK1991" s="59"/>
      <c r="BL1991" s="59"/>
      <c r="BM1991" s="59"/>
      <c r="BN1991" s="59"/>
      <c r="BO1991" s="59"/>
      <c r="BP1991" s="59"/>
      <c r="BQ1991" s="59"/>
      <c r="BR1991" s="59"/>
      <c r="BS1991" s="59"/>
      <c r="BT1991" s="59"/>
      <c r="BU1991" s="59"/>
      <c r="BV1991" s="59"/>
      <c r="BW1991" s="59"/>
      <c r="BX1991" s="59"/>
      <c r="BY1991" s="59"/>
      <c r="BZ1991" s="59"/>
      <c r="CA1991" s="59"/>
      <c r="CB1991" s="59"/>
      <c r="CC1991" s="59"/>
      <c r="CD1991" s="59"/>
      <c r="CE1991" s="59"/>
      <c r="CF1991" s="59"/>
      <c r="CG1991" s="59"/>
      <c r="CH1991" s="59"/>
      <c r="CI1991" s="59"/>
      <c r="CJ1991" s="59"/>
      <c r="CK1991" s="59"/>
      <c r="CL1991" s="59"/>
      <c r="CM1991" s="59"/>
      <c r="CN1991" s="59"/>
      <c r="CO1991" s="59"/>
      <c r="CP1991" s="59"/>
      <c r="CQ1991" s="59"/>
      <c r="CR1991" s="59"/>
      <c r="CS1991" s="59"/>
      <c r="CT1991" s="59"/>
      <c r="CU1991" s="59"/>
      <c r="CV1991" s="59"/>
      <c r="CW1991" s="59"/>
      <c r="CX1991" s="59"/>
      <c r="CY1991" s="59"/>
      <c r="CZ1991" s="59"/>
      <c r="DA1991" s="59"/>
      <c r="DB1991" s="59"/>
      <c r="DC1991" s="59"/>
      <c r="DD1991" s="59"/>
      <c r="DE1991" s="59"/>
      <c r="DF1991" s="59"/>
      <c r="DG1991" s="59"/>
      <c r="DH1991" s="59"/>
      <c r="DI1991" s="59"/>
      <c r="DJ1991" s="59"/>
      <c r="DK1991" s="59"/>
      <c r="DL1991" s="59"/>
      <c r="DM1991" s="59"/>
      <c r="DN1991" s="59"/>
      <c r="DO1991" s="59"/>
      <c r="DP1991" s="59"/>
      <c r="DQ1991" s="59"/>
      <c r="DR1991" s="59"/>
      <c r="DS1991" s="59"/>
      <c r="DT1991" s="59"/>
      <c r="DU1991" s="59"/>
      <c r="DV1991" s="59"/>
    </row>
    <row r="1992" spans="1:126" s="3" customFormat="1" x14ac:dyDescent="0.3">
      <c r="A1992" s="21"/>
      <c r="B1992" s="21" t="s">
        <v>500</v>
      </c>
      <c r="C1992" s="21"/>
      <c r="D1992" s="21"/>
      <c r="E1992" s="22"/>
      <c r="F1992" s="22"/>
      <c r="G1992" s="22"/>
      <c r="H1992" s="59"/>
      <c r="I1992" s="59"/>
      <c r="J1992" s="59"/>
      <c r="K1992" s="59"/>
      <c r="L1992" s="59"/>
      <c r="M1992" s="59"/>
      <c r="N1992" s="59"/>
      <c r="O1992" s="59"/>
      <c r="P1992" s="59"/>
      <c r="Q1992" s="59"/>
      <c r="R1992" s="59"/>
      <c r="S1992" s="59"/>
      <c r="T1992" s="59"/>
      <c r="U1992" s="59"/>
      <c r="V1992" s="59"/>
      <c r="W1992" s="59"/>
      <c r="X1992" s="59"/>
      <c r="Y1992" s="59"/>
      <c r="Z1992" s="59"/>
      <c r="AA1992" s="59"/>
      <c r="AB1992" s="59"/>
      <c r="AC1992" s="59"/>
      <c r="AD1992" s="59"/>
      <c r="AE1992" s="59"/>
      <c r="AF1992" s="59"/>
      <c r="AG1992" s="59"/>
      <c r="AH1992" s="59"/>
      <c r="AI1992" s="59"/>
      <c r="AJ1992" s="59"/>
      <c r="AK1992" s="59"/>
      <c r="AL1992" s="59"/>
      <c r="AM1992" s="59"/>
      <c r="AN1992" s="59"/>
      <c r="AO1992" s="59"/>
      <c r="AP1992" s="59"/>
      <c r="AQ1992" s="59"/>
      <c r="AR1992" s="59"/>
      <c r="AS1992" s="59"/>
      <c r="AT1992" s="59"/>
      <c r="AU1992" s="59"/>
      <c r="AV1992" s="59"/>
      <c r="AW1992" s="59"/>
      <c r="AX1992" s="59"/>
      <c r="AY1992" s="59"/>
      <c r="AZ1992" s="59"/>
      <c r="BA1992" s="59"/>
      <c r="BB1992" s="59"/>
      <c r="BC1992" s="59"/>
      <c r="BD1992" s="59"/>
      <c r="BE1992" s="59"/>
      <c r="BF1992" s="59"/>
      <c r="BG1992" s="59"/>
      <c r="BH1992" s="59"/>
      <c r="BI1992" s="59"/>
      <c r="BJ1992" s="59"/>
      <c r="BK1992" s="59"/>
      <c r="BL1992" s="59"/>
      <c r="BM1992" s="59"/>
      <c r="BN1992" s="59"/>
      <c r="BO1992" s="59"/>
      <c r="BP1992" s="59"/>
      <c r="BQ1992" s="59"/>
      <c r="BR1992" s="59"/>
      <c r="BS1992" s="59"/>
      <c r="BT1992" s="59"/>
      <c r="BU1992" s="59"/>
      <c r="BV1992" s="59"/>
      <c r="BW1992" s="59"/>
      <c r="BX1992" s="59"/>
      <c r="BY1992" s="59"/>
      <c r="BZ1992" s="59"/>
      <c r="CA1992" s="59"/>
      <c r="CB1992" s="59"/>
      <c r="CC1992" s="59"/>
      <c r="CD1992" s="59"/>
      <c r="CE1992" s="59"/>
      <c r="CF1992" s="59"/>
      <c r="CG1992" s="59"/>
      <c r="CH1992" s="59"/>
      <c r="CI1992" s="59"/>
      <c r="CJ1992" s="59"/>
      <c r="CK1992" s="59"/>
      <c r="CL1992" s="59"/>
      <c r="CM1992" s="59"/>
      <c r="CN1992" s="59"/>
      <c r="CO1992" s="59"/>
      <c r="CP1992" s="59"/>
      <c r="CQ1992" s="59"/>
      <c r="CR1992" s="59"/>
      <c r="CS1992" s="59"/>
      <c r="CT1992" s="59"/>
      <c r="CU1992" s="59"/>
      <c r="CV1992" s="59"/>
      <c r="CW1992" s="59"/>
      <c r="CX1992" s="59"/>
      <c r="CY1992" s="59"/>
      <c r="CZ1992" s="59"/>
      <c r="DA1992" s="59"/>
      <c r="DB1992" s="59"/>
      <c r="DC1992" s="59"/>
      <c r="DD1992" s="59"/>
      <c r="DE1992" s="59"/>
      <c r="DF1992" s="59"/>
      <c r="DG1992" s="59"/>
      <c r="DH1992" s="59"/>
      <c r="DI1992" s="59"/>
      <c r="DJ1992" s="59"/>
      <c r="DK1992" s="59"/>
      <c r="DL1992" s="59"/>
      <c r="DM1992" s="59"/>
      <c r="DN1992" s="59"/>
      <c r="DO1992" s="59"/>
      <c r="DP1992" s="59"/>
      <c r="DQ1992" s="59"/>
      <c r="DR1992" s="59"/>
      <c r="DS1992" s="59"/>
      <c r="DT1992" s="59"/>
      <c r="DU1992" s="59"/>
      <c r="DV1992" s="59"/>
    </row>
    <row r="1993" spans="1:126" x14ac:dyDescent="0.3">
      <c r="A1993" s="5"/>
      <c r="B1993" s="5" t="s">
        <v>493</v>
      </c>
      <c r="C1993" s="5"/>
      <c r="D1993" s="5" t="s">
        <v>8</v>
      </c>
      <c r="E1993" s="15">
        <f>441</f>
        <v>441</v>
      </c>
      <c r="F1993" s="15"/>
      <c r="G1993" s="15"/>
    </row>
    <row r="1994" spans="1:126" x14ac:dyDescent="0.3">
      <c r="A1994" s="5"/>
      <c r="B1994" s="5" t="s">
        <v>494</v>
      </c>
      <c r="C1994" s="5"/>
      <c r="D1994" s="5" t="s">
        <v>8</v>
      </c>
      <c r="E1994" s="15">
        <f>1.11</f>
        <v>1.1100000000000001</v>
      </c>
      <c r="F1994" s="15"/>
      <c r="G1994" s="15"/>
    </row>
    <row r="1995" spans="1:126" x14ac:dyDescent="0.3">
      <c r="A1995" s="5"/>
      <c r="B1995" s="5" t="s">
        <v>495</v>
      </c>
      <c r="C1995" s="5"/>
      <c r="D1995" s="5" t="s">
        <v>8</v>
      </c>
      <c r="E1995" s="15">
        <f>711</f>
        <v>711</v>
      </c>
      <c r="F1995" s="15"/>
      <c r="G1995" s="15"/>
    </row>
    <row r="1996" spans="1:126" x14ac:dyDescent="0.3">
      <c r="A1996" s="5"/>
      <c r="B1996" s="5" t="s">
        <v>494</v>
      </c>
      <c r="C1996" s="5"/>
      <c r="D1996" s="5" t="s">
        <v>8</v>
      </c>
      <c r="E1996" s="15">
        <f>1.11</f>
        <v>1.1100000000000001</v>
      </c>
      <c r="F1996" s="15"/>
      <c r="G1996" s="15"/>
    </row>
    <row r="1997" spans="1:126" x14ac:dyDescent="0.3">
      <c r="A1997" s="5"/>
      <c r="B1997" s="5" t="s">
        <v>496</v>
      </c>
      <c r="C1997" s="5"/>
      <c r="D1997" s="5" t="s">
        <v>8</v>
      </c>
      <c r="E1997" s="15">
        <f>1005</f>
        <v>1005</v>
      </c>
      <c r="F1997" s="15"/>
      <c r="G1997" s="15"/>
    </row>
    <row r="1998" spans="1:126" x14ac:dyDescent="0.3">
      <c r="A1998" s="5"/>
      <c r="B1998" s="5" t="s">
        <v>494</v>
      </c>
      <c r="C1998" s="5"/>
      <c r="D1998" s="5" t="s">
        <v>8</v>
      </c>
      <c r="E1998" s="15">
        <f>2.23</f>
        <v>2.23</v>
      </c>
      <c r="F1998" s="15"/>
      <c r="G1998" s="15"/>
    </row>
    <row r="1999" spans="1:126" s="3" customFormat="1" x14ac:dyDescent="0.3">
      <c r="A1999" s="21"/>
      <c r="B1999" s="21" t="s">
        <v>501</v>
      </c>
      <c r="C1999" s="21"/>
      <c r="D1999" s="21"/>
      <c r="E1999" s="22"/>
      <c r="F1999" s="22"/>
      <c r="G1999" s="22"/>
      <c r="H1999" s="59"/>
      <c r="I1999" s="59"/>
      <c r="J1999" s="59"/>
      <c r="K1999" s="59"/>
      <c r="L1999" s="59"/>
      <c r="M1999" s="59"/>
      <c r="N1999" s="59"/>
      <c r="O1999" s="59"/>
      <c r="P1999" s="59"/>
      <c r="Q1999" s="59"/>
      <c r="R1999" s="59"/>
      <c r="S1999" s="59"/>
      <c r="T1999" s="59"/>
      <c r="U1999" s="59"/>
      <c r="V1999" s="59"/>
      <c r="W1999" s="59"/>
      <c r="X1999" s="59"/>
      <c r="Y1999" s="59"/>
      <c r="Z1999" s="59"/>
      <c r="AA1999" s="59"/>
      <c r="AB1999" s="59"/>
      <c r="AC1999" s="59"/>
      <c r="AD1999" s="59"/>
      <c r="AE1999" s="59"/>
      <c r="AF1999" s="59"/>
      <c r="AG1999" s="59"/>
      <c r="AH1999" s="59"/>
      <c r="AI1999" s="59"/>
      <c r="AJ1999" s="59"/>
      <c r="AK1999" s="59"/>
      <c r="AL1999" s="59"/>
      <c r="AM1999" s="59"/>
      <c r="AN1999" s="59"/>
      <c r="AO1999" s="59"/>
      <c r="AP1999" s="59"/>
      <c r="AQ1999" s="59"/>
      <c r="AR1999" s="59"/>
      <c r="AS1999" s="59"/>
      <c r="AT1999" s="59"/>
      <c r="AU1999" s="59"/>
      <c r="AV1999" s="59"/>
      <c r="AW1999" s="59"/>
      <c r="AX1999" s="59"/>
      <c r="AY1999" s="59"/>
      <c r="AZ1999" s="59"/>
      <c r="BA1999" s="59"/>
      <c r="BB1999" s="59"/>
      <c r="BC1999" s="59"/>
      <c r="BD1999" s="59"/>
      <c r="BE1999" s="59"/>
      <c r="BF1999" s="59"/>
      <c r="BG1999" s="59"/>
      <c r="BH1999" s="59"/>
      <c r="BI1999" s="59"/>
      <c r="BJ1999" s="59"/>
      <c r="BK1999" s="59"/>
      <c r="BL1999" s="59"/>
      <c r="BM1999" s="59"/>
      <c r="BN1999" s="59"/>
      <c r="BO1999" s="59"/>
      <c r="BP1999" s="59"/>
      <c r="BQ1999" s="59"/>
      <c r="BR1999" s="59"/>
      <c r="BS1999" s="59"/>
      <c r="BT1999" s="59"/>
      <c r="BU1999" s="59"/>
      <c r="BV1999" s="59"/>
      <c r="BW1999" s="59"/>
      <c r="BX1999" s="59"/>
      <c r="BY1999" s="59"/>
      <c r="BZ1999" s="59"/>
      <c r="CA1999" s="59"/>
      <c r="CB1999" s="59"/>
      <c r="CC1999" s="59"/>
      <c r="CD1999" s="59"/>
      <c r="CE1999" s="59"/>
      <c r="CF1999" s="59"/>
      <c r="CG1999" s="59"/>
      <c r="CH1999" s="59"/>
      <c r="CI1999" s="59"/>
      <c r="CJ1999" s="59"/>
      <c r="CK1999" s="59"/>
      <c r="CL1999" s="59"/>
      <c r="CM1999" s="59"/>
      <c r="CN1999" s="59"/>
      <c r="CO1999" s="59"/>
      <c r="CP1999" s="59"/>
      <c r="CQ1999" s="59"/>
      <c r="CR1999" s="59"/>
      <c r="CS1999" s="59"/>
      <c r="CT1999" s="59"/>
      <c r="CU1999" s="59"/>
      <c r="CV1999" s="59"/>
      <c r="CW1999" s="59"/>
      <c r="CX1999" s="59"/>
      <c r="CY1999" s="59"/>
      <c r="CZ1999" s="59"/>
      <c r="DA1999" s="59"/>
      <c r="DB1999" s="59"/>
      <c r="DC1999" s="59"/>
      <c r="DD1999" s="59"/>
      <c r="DE1999" s="59"/>
      <c r="DF1999" s="59"/>
      <c r="DG1999" s="59"/>
      <c r="DH1999" s="59"/>
      <c r="DI1999" s="59"/>
      <c r="DJ1999" s="59"/>
      <c r="DK1999" s="59"/>
      <c r="DL1999" s="59"/>
      <c r="DM1999" s="59"/>
      <c r="DN1999" s="59"/>
      <c r="DO1999" s="59"/>
      <c r="DP1999" s="59"/>
      <c r="DQ1999" s="59"/>
      <c r="DR1999" s="59"/>
      <c r="DS1999" s="59"/>
      <c r="DT1999" s="59"/>
      <c r="DU1999" s="59"/>
      <c r="DV1999" s="59"/>
    </row>
    <row r="2000" spans="1:126" x14ac:dyDescent="0.3">
      <c r="A2000" s="5"/>
      <c r="B2000" s="5" t="s">
        <v>497</v>
      </c>
      <c r="C2000" s="5"/>
      <c r="D2000" s="5" t="s">
        <v>10</v>
      </c>
      <c r="E2000" s="15">
        <f>2923*0.28</f>
        <v>818.44</v>
      </c>
      <c r="F2000" s="15"/>
      <c r="G2000" s="15"/>
    </row>
    <row r="2001" spans="1:126" x14ac:dyDescent="0.3">
      <c r="A2001" s="5"/>
      <c r="B2001" s="5" t="s">
        <v>498</v>
      </c>
      <c r="C2001" s="5"/>
      <c r="D2001" s="5" t="s">
        <v>10</v>
      </c>
      <c r="E2001" s="15">
        <f>1507</f>
        <v>1507</v>
      </c>
      <c r="F2001" s="15"/>
      <c r="G2001" s="15"/>
    </row>
    <row r="2002" spans="1:126" s="3" customFormat="1" x14ac:dyDescent="0.3">
      <c r="A2002" s="21"/>
      <c r="B2002" s="21" t="s">
        <v>502</v>
      </c>
      <c r="C2002" s="21"/>
      <c r="D2002" s="21"/>
      <c r="E2002" s="22"/>
      <c r="F2002" s="22"/>
      <c r="G2002" s="22"/>
      <c r="H2002" s="59"/>
      <c r="I2002" s="59"/>
      <c r="J2002" s="59"/>
      <c r="K2002" s="59"/>
      <c r="L2002" s="59"/>
      <c r="M2002" s="59"/>
      <c r="N2002" s="59"/>
      <c r="O2002" s="59"/>
      <c r="P2002" s="59"/>
      <c r="Q2002" s="59"/>
      <c r="R2002" s="59"/>
      <c r="S2002" s="59"/>
      <c r="T2002" s="59"/>
      <c r="U2002" s="59"/>
      <c r="V2002" s="59"/>
      <c r="W2002" s="59"/>
      <c r="X2002" s="59"/>
      <c r="Y2002" s="59"/>
      <c r="Z2002" s="59"/>
      <c r="AA2002" s="59"/>
      <c r="AB2002" s="59"/>
      <c r="AC2002" s="59"/>
      <c r="AD2002" s="59"/>
      <c r="AE2002" s="59"/>
      <c r="AF2002" s="59"/>
      <c r="AG2002" s="59"/>
      <c r="AH2002" s="59"/>
      <c r="AI2002" s="59"/>
      <c r="AJ2002" s="59"/>
      <c r="AK2002" s="59"/>
      <c r="AL2002" s="59"/>
      <c r="AM2002" s="59"/>
      <c r="AN2002" s="59"/>
      <c r="AO2002" s="59"/>
      <c r="AP2002" s="59"/>
      <c r="AQ2002" s="59"/>
      <c r="AR2002" s="59"/>
      <c r="AS2002" s="59"/>
      <c r="AT2002" s="59"/>
      <c r="AU2002" s="59"/>
      <c r="AV2002" s="59"/>
      <c r="AW2002" s="59"/>
      <c r="AX2002" s="59"/>
      <c r="AY2002" s="59"/>
      <c r="AZ2002" s="59"/>
      <c r="BA2002" s="59"/>
      <c r="BB2002" s="59"/>
      <c r="BC2002" s="59"/>
      <c r="BD2002" s="59"/>
      <c r="BE2002" s="59"/>
      <c r="BF2002" s="59"/>
      <c r="BG2002" s="59"/>
      <c r="BH2002" s="59"/>
      <c r="BI2002" s="59"/>
      <c r="BJ2002" s="59"/>
      <c r="BK2002" s="59"/>
      <c r="BL2002" s="59"/>
      <c r="BM2002" s="59"/>
      <c r="BN2002" s="59"/>
      <c r="BO2002" s="59"/>
      <c r="BP2002" s="59"/>
      <c r="BQ2002" s="59"/>
      <c r="BR2002" s="59"/>
      <c r="BS2002" s="59"/>
      <c r="BT2002" s="59"/>
      <c r="BU2002" s="59"/>
      <c r="BV2002" s="59"/>
      <c r="BW2002" s="59"/>
      <c r="BX2002" s="59"/>
      <c r="BY2002" s="59"/>
      <c r="BZ2002" s="59"/>
      <c r="CA2002" s="59"/>
      <c r="CB2002" s="59"/>
      <c r="CC2002" s="59"/>
      <c r="CD2002" s="59"/>
      <c r="CE2002" s="59"/>
      <c r="CF2002" s="59"/>
      <c r="CG2002" s="59"/>
      <c r="CH2002" s="59"/>
      <c r="CI2002" s="59"/>
      <c r="CJ2002" s="59"/>
      <c r="CK2002" s="59"/>
      <c r="CL2002" s="59"/>
      <c r="CM2002" s="59"/>
      <c r="CN2002" s="59"/>
      <c r="CO2002" s="59"/>
      <c r="CP2002" s="59"/>
      <c r="CQ2002" s="59"/>
      <c r="CR2002" s="59"/>
      <c r="CS2002" s="59"/>
      <c r="CT2002" s="59"/>
      <c r="CU2002" s="59"/>
      <c r="CV2002" s="59"/>
      <c r="CW2002" s="59"/>
      <c r="CX2002" s="59"/>
      <c r="CY2002" s="59"/>
      <c r="CZ2002" s="59"/>
      <c r="DA2002" s="59"/>
      <c r="DB2002" s="59"/>
      <c r="DC2002" s="59"/>
      <c r="DD2002" s="59"/>
      <c r="DE2002" s="59"/>
      <c r="DF2002" s="59"/>
      <c r="DG2002" s="59"/>
      <c r="DH2002" s="59"/>
      <c r="DI2002" s="59"/>
      <c r="DJ2002" s="59"/>
      <c r="DK2002" s="59"/>
      <c r="DL2002" s="59"/>
      <c r="DM2002" s="59"/>
      <c r="DN2002" s="59"/>
      <c r="DO2002" s="59"/>
      <c r="DP2002" s="59"/>
      <c r="DQ2002" s="59"/>
      <c r="DR2002" s="59"/>
      <c r="DS2002" s="59"/>
      <c r="DT2002" s="59"/>
      <c r="DU2002" s="59"/>
      <c r="DV2002" s="59"/>
    </row>
    <row r="2003" spans="1:126" x14ac:dyDescent="0.3">
      <c r="A2003" s="5"/>
      <c r="B2003" s="5" t="s">
        <v>499</v>
      </c>
      <c r="C2003" s="5"/>
      <c r="D2003" s="5" t="s">
        <v>10</v>
      </c>
      <c r="E2003" s="15">
        <f>4834</f>
        <v>4834</v>
      </c>
      <c r="F2003" s="15"/>
      <c r="G2003" s="15"/>
    </row>
    <row r="2004" spans="1:126" s="3" customFormat="1" ht="31.2" x14ac:dyDescent="0.3">
      <c r="A2004" s="21"/>
      <c r="B2004" s="26" t="s">
        <v>504</v>
      </c>
      <c r="C2004" s="21"/>
      <c r="D2004" s="21"/>
      <c r="E2004" s="22"/>
      <c r="F2004" s="22"/>
      <c r="G2004" s="22"/>
      <c r="H2004" s="59"/>
      <c r="I2004" s="59"/>
      <c r="J2004" s="59"/>
      <c r="K2004" s="59"/>
      <c r="L2004" s="59"/>
      <c r="M2004" s="59"/>
      <c r="N2004" s="59"/>
      <c r="O2004" s="59"/>
      <c r="P2004" s="59"/>
      <c r="Q2004" s="59"/>
      <c r="R2004" s="59"/>
      <c r="S2004" s="59"/>
      <c r="T2004" s="59"/>
      <c r="U2004" s="59"/>
      <c r="V2004" s="59"/>
      <c r="W2004" s="59"/>
      <c r="X2004" s="59"/>
      <c r="Y2004" s="59"/>
      <c r="Z2004" s="59"/>
      <c r="AA2004" s="59"/>
      <c r="AB2004" s="59"/>
      <c r="AC2004" s="59"/>
      <c r="AD2004" s="59"/>
      <c r="AE2004" s="59"/>
      <c r="AF2004" s="59"/>
      <c r="AG2004" s="59"/>
      <c r="AH2004" s="59"/>
      <c r="AI2004" s="59"/>
      <c r="AJ2004" s="59"/>
      <c r="AK2004" s="59"/>
      <c r="AL2004" s="59"/>
      <c r="AM2004" s="59"/>
      <c r="AN2004" s="59"/>
      <c r="AO2004" s="59"/>
      <c r="AP2004" s="59"/>
      <c r="AQ2004" s="59"/>
      <c r="AR2004" s="59"/>
      <c r="AS2004" s="59"/>
      <c r="AT2004" s="59"/>
      <c r="AU2004" s="59"/>
      <c r="AV2004" s="59"/>
      <c r="AW2004" s="59"/>
      <c r="AX2004" s="59"/>
      <c r="AY2004" s="59"/>
      <c r="AZ2004" s="59"/>
      <c r="BA2004" s="59"/>
      <c r="BB2004" s="59"/>
      <c r="BC2004" s="59"/>
      <c r="BD2004" s="59"/>
      <c r="BE2004" s="59"/>
      <c r="BF2004" s="59"/>
      <c r="BG2004" s="59"/>
      <c r="BH2004" s="59"/>
      <c r="BI2004" s="59"/>
      <c r="BJ2004" s="59"/>
      <c r="BK2004" s="59"/>
      <c r="BL2004" s="59"/>
      <c r="BM2004" s="59"/>
      <c r="BN2004" s="59"/>
      <c r="BO2004" s="59"/>
      <c r="BP2004" s="59"/>
      <c r="BQ2004" s="59"/>
      <c r="BR2004" s="59"/>
      <c r="BS2004" s="59"/>
      <c r="BT2004" s="59"/>
      <c r="BU2004" s="59"/>
      <c r="BV2004" s="59"/>
      <c r="BW2004" s="59"/>
      <c r="BX2004" s="59"/>
      <c r="BY2004" s="59"/>
      <c r="BZ2004" s="59"/>
      <c r="CA2004" s="59"/>
      <c r="CB2004" s="59"/>
      <c r="CC2004" s="59"/>
      <c r="CD2004" s="59"/>
      <c r="CE2004" s="59"/>
      <c r="CF2004" s="59"/>
      <c r="CG2004" s="59"/>
      <c r="CH2004" s="59"/>
      <c r="CI2004" s="59"/>
      <c r="CJ2004" s="59"/>
      <c r="CK2004" s="59"/>
      <c r="CL2004" s="59"/>
      <c r="CM2004" s="59"/>
      <c r="CN2004" s="59"/>
      <c r="CO2004" s="59"/>
      <c r="CP2004" s="59"/>
      <c r="CQ2004" s="59"/>
      <c r="CR2004" s="59"/>
      <c r="CS2004" s="59"/>
      <c r="CT2004" s="59"/>
      <c r="CU2004" s="59"/>
      <c r="CV2004" s="59"/>
      <c r="CW2004" s="59"/>
      <c r="CX2004" s="59"/>
      <c r="CY2004" s="59"/>
      <c r="CZ2004" s="59"/>
      <c r="DA2004" s="59"/>
      <c r="DB2004" s="59"/>
      <c r="DC2004" s="59"/>
      <c r="DD2004" s="59"/>
      <c r="DE2004" s="59"/>
      <c r="DF2004" s="59"/>
      <c r="DG2004" s="59"/>
      <c r="DH2004" s="59"/>
      <c r="DI2004" s="59"/>
      <c r="DJ2004" s="59"/>
      <c r="DK2004" s="59"/>
      <c r="DL2004" s="59"/>
      <c r="DM2004" s="59"/>
      <c r="DN2004" s="59"/>
      <c r="DO2004" s="59"/>
      <c r="DP2004" s="59"/>
      <c r="DQ2004" s="59"/>
      <c r="DR2004" s="59"/>
      <c r="DS2004" s="59"/>
      <c r="DT2004" s="59"/>
      <c r="DU2004" s="59"/>
      <c r="DV2004" s="59"/>
    </row>
    <row r="2005" spans="1:126" x14ac:dyDescent="0.3">
      <c r="A2005" s="5"/>
      <c r="B2005" s="5" t="s">
        <v>493</v>
      </c>
      <c r="C2005" s="5"/>
      <c r="D2005" s="5" t="s">
        <v>8</v>
      </c>
      <c r="E2005" s="15">
        <f>147</f>
        <v>147</v>
      </c>
      <c r="F2005" s="15"/>
      <c r="G2005" s="15"/>
    </row>
    <row r="2006" spans="1:126" x14ac:dyDescent="0.3">
      <c r="A2006" s="5"/>
      <c r="B2006" s="5" t="s">
        <v>494</v>
      </c>
      <c r="C2006" s="5"/>
      <c r="D2006" s="5" t="s">
        <v>8</v>
      </c>
      <c r="E2006" s="15">
        <f>0.37</f>
        <v>0.37</v>
      </c>
      <c r="F2006" s="15"/>
      <c r="G2006" s="15"/>
    </row>
    <row r="2007" spans="1:126" x14ac:dyDescent="0.3">
      <c r="A2007" s="5"/>
      <c r="B2007" s="5" t="s">
        <v>495</v>
      </c>
      <c r="C2007" s="5"/>
      <c r="D2007" s="5" t="s">
        <v>8</v>
      </c>
      <c r="E2007" s="15">
        <f>166</f>
        <v>166</v>
      </c>
      <c r="F2007" s="15"/>
      <c r="G2007" s="15"/>
    </row>
    <row r="2008" spans="1:126" x14ac:dyDescent="0.3">
      <c r="A2008" s="5"/>
      <c r="B2008" s="5" t="s">
        <v>494</v>
      </c>
      <c r="C2008" s="5"/>
      <c r="D2008" s="5" t="s">
        <v>8</v>
      </c>
      <c r="E2008" s="15">
        <f>0.37</f>
        <v>0.37</v>
      </c>
      <c r="F2008" s="15"/>
      <c r="G2008" s="15"/>
    </row>
    <row r="2009" spans="1:126" x14ac:dyDescent="0.3">
      <c r="A2009" s="5"/>
      <c r="B2009" s="5" t="s">
        <v>496</v>
      </c>
      <c r="C2009" s="5"/>
      <c r="D2009" s="5" t="s">
        <v>8</v>
      </c>
      <c r="E2009" s="15">
        <f>291</f>
        <v>291</v>
      </c>
      <c r="F2009" s="15"/>
      <c r="G2009" s="15"/>
    </row>
    <row r="2010" spans="1:126" x14ac:dyDescent="0.3">
      <c r="A2010" s="5"/>
      <c r="B2010" s="5" t="s">
        <v>494</v>
      </c>
      <c r="C2010" s="5"/>
      <c r="D2010" s="5" t="s">
        <v>8</v>
      </c>
      <c r="E2010" s="15">
        <f>0.74</f>
        <v>0.74</v>
      </c>
      <c r="F2010" s="15"/>
      <c r="G2010" s="15"/>
    </row>
    <row r="2011" spans="1:126" x14ac:dyDescent="0.3">
      <c r="A2011" s="5"/>
      <c r="B2011" s="5" t="s">
        <v>497</v>
      </c>
      <c r="C2011" s="5"/>
      <c r="D2011" s="5" t="s">
        <v>10</v>
      </c>
      <c r="E2011" s="15">
        <f>930*0.26</f>
        <v>241.8</v>
      </c>
      <c r="F2011" s="15"/>
      <c r="G2011" s="15"/>
    </row>
    <row r="2012" spans="1:126" s="3" customFormat="1" ht="31.2" x14ac:dyDescent="0.3">
      <c r="A2012" s="21"/>
      <c r="B2012" s="26" t="s">
        <v>505</v>
      </c>
      <c r="C2012" s="21"/>
      <c r="D2012" s="21"/>
      <c r="E2012" s="22"/>
      <c r="F2012" s="22"/>
      <c r="G2012" s="22"/>
      <c r="H2012" s="59"/>
      <c r="I2012" s="59"/>
      <c r="J2012" s="59"/>
      <c r="K2012" s="59"/>
      <c r="L2012" s="59"/>
      <c r="M2012" s="59"/>
      <c r="N2012" s="59"/>
      <c r="O2012" s="59"/>
      <c r="P2012" s="59"/>
      <c r="Q2012" s="59"/>
      <c r="R2012" s="59"/>
      <c r="S2012" s="59"/>
      <c r="T2012" s="59"/>
      <c r="U2012" s="59"/>
      <c r="V2012" s="59"/>
      <c r="W2012" s="59"/>
      <c r="X2012" s="59"/>
      <c r="Y2012" s="59"/>
      <c r="Z2012" s="59"/>
      <c r="AA2012" s="59"/>
      <c r="AB2012" s="59"/>
      <c r="AC2012" s="59"/>
      <c r="AD2012" s="59"/>
      <c r="AE2012" s="59"/>
      <c r="AF2012" s="59"/>
      <c r="AG2012" s="59"/>
      <c r="AH2012" s="59"/>
      <c r="AI2012" s="59"/>
      <c r="AJ2012" s="59"/>
      <c r="AK2012" s="59"/>
      <c r="AL2012" s="59"/>
      <c r="AM2012" s="59"/>
      <c r="AN2012" s="59"/>
      <c r="AO2012" s="59"/>
      <c r="AP2012" s="59"/>
      <c r="AQ2012" s="59"/>
      <c r="AR2012" s="59"/>
      <c r="AS2012" s="59"/>
      <c r="AT2012" s="59"/>
      <c r="AU2012" s="59"/>
      <c r="AV2012" s="59"/>
      <c r="AW2012" s="59"/>
      <c r="AX2012" s="59"/>
      <c r="AY2012" s="59"/>
      <c r="AZ2012" s="59"/>
      <c r="BA2012" s="59"/>
      <c r="BB2012" s="59"/>
      <c r="BC2012" s="59"/>
      <c r="BD2012" s="59"/>
      <c r="BE2012" s="59"/>
      <c r="BF2012" s="59"/>
      <c r="BG2012" s="59"/>
      <c r="BH2012" s="59"/>
      <c r="BI2012" s="59"/>
      <c r="BJ2012" s="59"/>
      <c r="BK2012" s="59"/>
      <c r="BL2012" s="59"/>
      <c r="BM2012" s="59"/>
      <c r="BN2012" s="59"/>
      <c r="BO2012" s="59"/>
      <c r="BP2012" s="59"/>
      <c r="BQ2012" s="59"/>
      <c r="BR2012" s="59"/>
      <c r="BS2012" s="59"/>
      <c r="BT2012" s="59"/>
      <c r="BU2012" s="59"/>
      <c r="BV2012" s="59"/>
      <c r="BW2012" s="59"/>
      <c r="BX2012" s="59"/>
      <c r="BY2012" s="59"/>
      <c r="BZ2012" s="59"/>
      <c r="CA2012" s="59"/>
      <c r="CB2012" s="59"/>
      <c r="CC2012" s="59"/>
      <c r="CD2012" s="59"/>
      <c r="CE2012" s="59"/>
      <c r="CF2012" s="59"/>
      <c r="CG2012" s="59"/>
      <c r="CH2012" s="59"/>
      <c r="CI2012" s="59"/>
      <c r="CJ2012" s="59"/>
      <c r="CK2012" s="59"/>
      <c r="CL2012" s="59"/>
      <c r="CM2012" s="59"/>
      <c r="CN2012" s="59"/>
      <c r="CO2012" s="59"/>
      <c r="CP2012" s="59"/>
      <c r="CQ2012" s="59"/>
      <c r="CR2012" s="59"/>
      <c r="CS2012" s="59"/>
      <c r="CT2012" s="59"/>
      <c r="CU2012" s="59"/>
      <c r="CV2012" s="59"/>
      <c r="CW2012" s="59"/>
      <c r="CX2012" s="59"/>
      <c r="CY2012" s="59"/>
      <c r="CZ2012" s="59"/>
      <c r="DA2012" s="59"/>
      <c r="DB2012" s="59"/>
      <c r="DC2012" s="59"/>
      <c r="DD2012" s="59"/>
      <c r="DE2012" s="59"/>
      <c r="DF2012" s="59"/>
      <c r="DG2012" s="59"/>
      <c r="DH2012" s="59"/>
      <c r="DI2012" s="59"/>
      <c r="DJ2012" s="59"/>
      <c r="DK2012" s="59"/>
      <c r="DL2012" s="59"/>
      <c r="DM2012" s="59"/>
      <c r="DN2012" s="59"/>
      <c r="DO2012" s="59"/>
      <c r="DP2012" s="59"/>
      <c r="DQ2012" s="59"/>
      <c r="DR2012" s="59"/>
      <c r="DS2012" s="59"/>
      <c r="DT2012" s="59"/>
      <c r="DU2012" s="59"/>
      <c r="DV2012" s="59"/>
    </row>
    <row r="2013" spans="1:126" x14ac:dyDescent="0.3">
      <c r="A2013" s="5"/>
      <c r="B2013" s="5" t="s">
        <v>506</v>
      </c>
      <c r="C2013" s="5"/>
      <c r="D2013" s="5" t="s">
        <v>8</v>
      </c>
      <c r="E2013" s="15">
        <f>28</f>
        <v>28</v>
      </c>
      <c r="F2013" s="15"/>
      <c r="G2013" s="15"/>
    </row>
    <row r="2014" spans="1:126" x14ac:dyDescent="0.3">
      <c r="A2014" s="5"/>
      <c r="B2014" s="5" t="s">
        <v>494</v>
      </c>
      <c r="C2014" s="5"/>
      <c r="D2014" s="5" t="s">
        <v>8</v>
      </c>
      <c r="E2014" s="15">
        <f>0.24</f>
        <v>0.24</v>
      </c>
      <c r="F2014" s="15"/>
      <c r="G2014" s="15"/>
    </row>
    <row r="2015" spans="1:126" x14ac:dyDescent="0.3">
      <c r="A2015" s="5"/>
      <c r="B2015" s="5" t="s">
        <v>507</v>
      </c>
      <c r="C2015" s="5"/>
      <c r="D2015" s="5" t="s">
        <v>10</v>
      </c>
      <c r="E2015" s="15">
        <f>312*0.15</f>
        <v>46.8</v>
      </c>
      <c r="F2015" s="15"/>
      <c r="G2015" s="15"/>
    </row>
    <row r="2016" spans="1:126" s="3" customFormat="1" x14ac:dyDescent="0.3">
      <c r="A2016" s="21"/>
      <c r="B2016" s="26" t="s">
        <v>508</v>
      </c>
      <c r="C2016" s="21"/>
      <c r="D2016" s="21"/>
      <c r="E2016" s="22"/>
      <c r="F2016" s="22"/>
      <c r="G2016" s="22"/>
      <c r="H2016" s="59"/>
      <c r="I2016" s="59"/>
      <c r="J2016" s="59"/>
      <c r="K2016" s="59"/>
      <c r="L2016" s="59"/>
      <c r="M2016" s="59"/>
      <c r="N2016" s="59"/>
      <c r="O2016" s="59"/>
      <c r="P2016" s="59"/>
      <c r="Q2016" s="59"/>
      <c r="R2016" s="59"/>
      <c r="S2016" s="59"/>
      <c r="T2016" s="59"/>
      <c r="U2016" s="59"/>
      <c r="V2016" s="59"/>
      <c r="W2016" s="59"/>
      <c r="X2016" s="59"/>
      <c r="Y2016" s="59"/>
      <c r="Z2016" s="59"/>
      <c r="AA2016" s="59"/>
      <c r="AB2016" s="59"/>
      <c r="AC2016" s="59"/>
      <c r="AD2016" s="59"/>
      <c r="AE2016" s="59"/>
      <c r="AF2016" s="59"/>
      <c r="AG2016" s="59"/>
      <c r="AH2016" s="59"/>
      <c r="AI2016" s="59"/>
      <c r="AJ2016" s="59"/>
      <c r="AK2016" s="59"/>
      <c r="AL2016" s="59"/>
      <c r="AM2016" s="59"/>
      <c r="AN2016" s="59"/>
      <c r="AO2016" s="59"/>
      <c r="AP2016" s="59"/>
      <c r="AQ2016" s="59"/>
      <c r="AR2016" s="59"/>
      <c r="AS2016" s="59"/>
      <c r="AT2016" s="59"/>
      <c r="AU2016" s="59"/>
      <c r="AV2016" s="59"/>
      <c r="AW2016" s="59"/>
      <c r="AX2016" s="59"/>
      <c r="AY2016" s="59"/>
      <c r="AZ2016" s="59"/>
      <c r="BA2016" s="59"/>
      <c r="BB2016" s="59"/>
      <c r="BC2016" s="59"/>
      <c r="BD2016" s="59"/>
      <c r="BE2016" s="59"/>
      <c r="BF2016" s="59"/>
      <c r="BG2016" s="59"/>
      <c r="BH2016" s="59"/>
      <c r="BI2016" s="59"/>
      <c r="BJ2016" s="59"/>
      <c r="BK2016" s="59"/>
      <c r="BL2016" s="59"/>
      <c r="BM2016" s="59"/>
      <c r="BN2016" s="59"/>
      <c r="BO2016" s="59"/>
      <c r="BP2016" s="59"/>
      <c r="BQ2016" s="59"/>
      <c r="BR2016" s="59"/>
      <c r="BS2016" s="59"/>
      <c r="BT2016" s="59"/>
      <c r="BU2016" s="59"/>
      <c r="BV2016" s="59"/>
      <c r="BW2016" s="59"/>
      <c r="BX2016" s="59"/>
      <c r="BY2016" s="59"/>
      <c r="BZ2016" s="59"/>
      <c r="CA2016" s="59"/>
      <c r="CB2016" s="59"/>
      <c r="CC2016" s="59"/>
      <c r="CD2016" s="59"/>
      <c r="CE2016" s="59"/>
      <c r="CF2016" s="59"/>
      <c r="CG2016" s="59"/>
      <c r="CH2016" s="59"/>
      <c r="CI2016" s="59"/>
      <c r="CJ2016" s="59"/>
      <c r="CK2016" s="59"/>
      <c r="CL2016" s="59"/>
      <c r="CM2016" s="59"/>
      <c r="CN2016" s="59"/>
      <c r="CO2016" s="59"/>
      <c r="CP2016" s="59"/>
      <c r="CQ2016" s="59"/>
      <c r="CR2016" s="59"/>
      <c r="CS2016" s="59"/>
      <c r="CT2016" s="59"/>
      <c r="CU2016" s="59"/>
      <c r="CV2016" s="59"/>
      <c r="CW2016" s="59"/>
      <c r="CX2016" s="59"/>
      <c r="CY2016" s="59"/>
      <c r="CZ2016" s="59"/>
      <c r="DA2016" s="59"/>
      <c r="DB2016" s="59"/>
      <c r="DC2016" s="59"/>
      <c r="DD2016" s="59"/>
      <c r="DE2016" s="59"/>
      <c r="DF2016" s="59"/>
      <c r="DG2016" s="59"/>
      <c r="DH2016" s="59"/>
      <c r="DI2016" s="59"/>
      <c r="DJ2016" s="59"/>
      <c r="DK2016" s="59"/>
      <c r="DL2016" s="59"/>
      <c r="DM2016" s="59"/>
      <c r="DN2016" s="59"/>
      <c r="DO2016" s="59"/>
      <c r="DP2016" s="59"/>
      <c r="DQ2016" s="59"/>
      <c r="DR2016" s="59"/>
      <c r="DS2016" s="59"/>
      <c r="DT2016" s="59"/>
      <c r="DU2016" s="59"/>
      <c r="DV2016" s="59"/>
    </row>
    <row r="2017" spans="1:126" x14ac:dyDescent="0.3">
      <c r="A2017" s="5"/>
      <c r="B2017" s="5" t="s">
        <v>509</v>
      </c>
      <c r="C2017" s="5"/>
      <c r="D2017" s="5" t="s">
        <v>10</v>
      </c>
      <c r="E2017" s="15">
        <f>4697*0.15</f>
        <v>704.55</v>
      </c>
      <c r="F2017" s="15"/>
      <c r="G2017" s="15"/>
    </row>
    <row r="2018" spans="1:126" x14ac:dyDescent="0.3">
      <c r="A2018" s="5"/>
      <c r="B2018" s="5" t="s">
        <v>510</v>
      </c>
      <c r="C2018" s="5"/>
      <c r="D2018" s="5" t="s">
        <v>74</v>
      </c>
      <c r="E2018" s="15">
        <f>176</f>
        <v>176</v>
      </c>
      <c r="F2018" s="15"/>
      <c r="G2018" s="15"/>
    </row>
    <row r="2019" spans="1:126" s="3" customFormat="1" x14ac:dyDescent="0.3">
      <c r="A2019" s="21"/>
      <c r="B2019" s="26" t="s">
        <v>511</v>
      </c>
      <c r="C2019" s="21"/>
      <c r="D2019" s="21"/>
      <c r="E2019" s="22"/>
      <c r="F2019" s="22"/>
      <c r="G2019" s="22"/>
      <c r="H2019" s="59"/>
      <c r="I2019" s="59"/>
      <c r="J2019" s="59"/>
      <c r="K2019" s="59"/>
      <c r="L2019" s="59"/>
      <c r="M2019" s="59"/>
      <c r="N2019" s="59"/>
      <c r="O2019" s="59"/>
      <c r="P2019" s="59"/>
      <c r="Q2019" s="59"/>
      <c r="R2019" s="59"/>
      <c r="S2019" s="59"/>
      <c r="T2019" s="59"/>
      <c r="U2019" s="59"/>
      <c r="V2019" s="59"/>
      <c r="W2019" s="59"/>
      <c r="X2019" s="59"/>
      <c r="Y2019" s="59"/>
      <c r="Z2019" s="59"/>
      <c r="AA2019" s="59"/>
      <c r="AB2019" s="59"/>
      <c r="AC2019" s="59"/>
      <c r="AD2019" s="59"/>
      <c r="AE2019" s="59"/>
      <c r="AF2019" s="59"/>
      <c r="AG2019" s="59"/>
      <c r="AH2019" s="59"/>
      <c r="AI2019" s="59"/>
      <c r="AJ2019" s="59"/>
      <c r="AK2019" s="59"/>
      <c r="AL2019" s="59"/>
      <c r="AM2019" s="59"/>
      <c r="AN2019" s="59"/>
      <c r="AO2019" s="59"/>
      <c r="AP2019" s="59"/>
      <c r="AQ2019" s="59"/>
      <c r="AR2019" s="59"/>
      <c r="AS2019" s="59"/>
      <c r="AT2019" s="59"/>
      <c r="AU2019" s="59"/>
      <c r="AV2019" s="59"/>
      <c r="AW2019" s="59"/>
      <c r="AX2019" s="59"/>
      <c r="AY2019" s="59"/>
      <c r="AZ2019" s="59"/>
      <c r="BA2019" s="59"/>
      <c r="BB2019" s="59"/>
      <c r="BC2019" s="59"/>
      <c r="BD2019" s="59"/>
      <c r="BE2019" s="59"/>
      <c r="BF2019" s="59"/>
      <c r="BG2019" s="59"/>
      <c r="BH2019" s="59"/>
      <c r="BI2019" s="59"/>
      <c r="BJ2019" s="59"/>
      <c r="BK2019" s="59"/>
      <c r="BL2019" s="59"/>
      <c r="BM2019" s="59"/>
      <c r="BN2019" s="59"/>
      <c r="BO2019" s="59"/>
      <c r="BP2019" s="59"/>
      <c r="BQ2019" s="59"/>
      <c r="BR2019" s="59"/>
      <c r="BS2019" s="59"/>
      <c r="BT2019" s="59"/>
      <c r="BU2019" s="59"/>
      <c r="BV2019" s="59"/>
      <c r="BW2019" s="59"/>
      <c r="BX2019" s="59"/>
      <c r="BY2019" s="59"/>
      <c r="BZ2019" s="59"/>
      <c r="CA2019" s="59"/>
      <c r="CB2019" s="59"/>
      <c r="CC2019" s="59"/>
      <c r="CD2019" s="59"/>
      <c r="CE2019" s="59"/>
      <c r="CF2019" s="59"/>
      <c r="CG2019" s="59"/>
      <c r="CH2019" s="59"/>
      <c r="CI2019" s="59"/>
      <c r="CJ2019" s="59"/>
      <c r="CK2019" s="59"/>
      <c r="CL2019" s="59"/>
      <c r="CM2019" s="59"/>
      <c r="CN2019" s="59"/>
      <c r="CO2019" s="59"/>
      <c r="CP2019" s="59"/>
      <c r="CQ2019" s="59"/>
      <c r="CR2019" s="59"/>
      <c r="CS2019" s="59"/>
      <c r="CT2019" s="59"/>
      <c r="CU2019" s="59"/>
      <c r="CV2019" s="59"/>
      <c r="CW2019" s="59"/>
      <c r="CX2019" s="59"/>
      <c r="CY2019" s="59"/>
      <c r="CZ2019" s="59"/>
      <c r="DA2019" s="59"/>
      <c r="DB2019" s="59"/>
      <c r="DC2019" s="59"/>
      <c r="DD2019" s="59"/>
      <c r="DE2019" s="59"/>
      <c r="DF2019" s="59"/>
      <c r="DG2019" s="59"/>
      <c r="DH2019" s="59"/>
      <c r="DI2019" s="59"/>
      <c r="DJ2019" s="59"/>
      <c r="DK2019" s="59"/>
      <c r="DL2019" s="59"/>
      <c r="DM2019" s="59"/>
      <c r="DN2019" s="59"/>
      <c r="DO2019" s="59"/>
      <c r="DP2019" s="59"/>
      <c r="DQ2019" s="59"/>
      <c r="DR2019" s="59"/>
      <c r="DS2019" s="59"/>
      <c r="DT2019" s="59"/>
      <c r="DU2019" s="59"/>
      <c r="DV2019" s="59"/>
    </row>
    <row r="2020" spans="1:126" x14ac:dyDescent="0.3">
      <c r="A2020" s="5"/>
      <c r="B2020" s="5" t="s">
        <v>512</v>
      </c>
      <c r="C2020" s="5"/>
      <c r="D2020" s="5" t="s">
        <v>14</v>
      </c>
      <c r="E2020" s="15">
        <f>20</f>
        <v>20</v>
      </c>
      <c r="F2020" s="15"/>
      <c r="G2020" s="15"/>
    </row>
    <row r="2021" spans="1:126" x14ac:dyDescent="0.3">
      <c r="A2021" s="5"/>
      <c r="B2021" s="5" t="s">
        <v>513</v>
      </c>
      <c r="C2021" s="5"/>
      <c r="D2021" s="5" t="s">
        <v>14</v>
      </c>
      <c r="E2021" s="15">
        <f>294</f>
        <v>294</v>
      </c>
      <c r="F2021" s="15"/>
      <c r="G2021" s="15"/>
    </row>
    <row r="2022" spans="1:126" x14ac:dyDescent="0.3">
      <c r="A2022" s="5"/>
      <c r="B2022" s="5" t="s">
        <v>514</v>
      </c>
      <c r="C2022" s="5"/>
      <c r="D2022" s="5" t="s">
        <v>14</v>
      </c>
      <c r="E2022" s="15">
        <f>1</f>
        <v>1</v>
      </c>
      <c r="F2022" s="15"/>
      <c r="G2022" s="15"/>
    </row>
    <row r="2023" spans="1:126" x14ac:dyDescent="0.3">
      <c r="A2023" s="5"/>
      <c r="B2023" s="5" t="s">
        <v>515</v>
      </c>
      <c r="C2023" s="5"/>
      <c r="D2023" s="5" t="s">
        <v>14</v>
      </c>
      <c r="E2023" s="15">
        <f>41</f>
        <v>41</v>
      </c>
      <c r="F2023" s="15"/>
      <c r="G2023" s="15"/>
    </row>
    <row r="2024" spans="1:126" x14ac:dyDescent="0.3">
      <c r="A2024" s="5"/>
      <c r="B2024" s="5" t="s">
        <v>510</v>
      </c>
      <c r="C2024" s="5"/>
      <c r="D2024" s="5" t="s">
        <v>74</v>
      </c>
      <c r="E2024" s="15">
        <f>630</f>
        <v>630</v>
      </c>
      <c r="F2024" s="15"/>
      <c r="G2024" s="15"/>
    </row>
    <row r="2025" spans="1:126" x14ac:dyDescent="0.3">
      <c r="A2025" s="5"/>
      <c r="B2025" s="5" t="s">
        <v>67</v>
      </c>
      <c r="C2025" s="5"/>
      <c r="D2025" s="5" t="s">
        <v>10</v>
      </c>
      <c r="E2025" s="15">
        <f>2.42</f>
        <v>2.42</v>
      </c>
      <c r="F2025" s="15"/>
      <c r="G2025" s="15"/>
    </row>
    <row r="2026" spans="1:126" s="7" customFormat="1" x14ac:dyDescent="0.3">
      <c r="A2026" s="6"/>
      <c r="B2026" s="6" t="s">
        <v>516</v>
      </c>
      <c r="C2026" s="6" t="s">
        <v>503</v>
      </c>
      <c r="D2026" s="6"/>
      <c r="E2026" s="13"/>
      <c r="F2026" s="13"/>
      <c r="G2026" s="13"/>
      <c r="H2026" s="59"/>
      <c r="I2026" s="59"/>
      <c r="J2026" s="59"/>
      <c r="K2026" s="59"/>
      <c r="L2026" s="59"/>
      <c r="M2026" s="59"/>
      <c r="N2026" s="59"/>
      <c r="O2026" s="59"/>
      <c r="P2026" s="59"/>
      <c r="Q2026" s="59"/>
      <c r="R2026" s="59"/>
      <c r="S2026" s="59"/>
      <c r="T2026" s="59"/>
      <c r="U2026" s="59"/>
      <c r="V2026" s="59"/>
      <c r="W2026" s="59"/>
      <c r="X2026" s="59"/>
      <c r="Y2026" s="59"/>
      <c r="Z2026" s="59"/>
      <c r="AA2026" s="59"/>
      <c r="AB2026" s="59"/>
      <c r="AC2026" s="59"/>
      <c r="AD2026" s="59"/>
      <c r="AE2026" s="59"/>
      <c r="AF2026" s="59"/>
      <c r="AG2026" s="59"/>
      <c r="AH2026" s="59"/>
      <c r="AI2026" s="59"/>
      <c r="AJ2026" s="59"/>
      <c r="AK2026" s="59"/>
      <c r="AL2026" s="59"/>
      <c r="AM2026" s="59"/>
      <c r="AN2026" s="59"/>
      <c r="AO2026" s="59"/>
      <c r="AP2026" s="59"/>
      <c r="AQ2026" s="59"/>
      <c r="AR2026" s="59"/>
      <c r="AS2026" s="59"/>
      <c r="AT2026" s="59"/>
      <c r="AU2026" s="59"/>
      <c r="AV2026" s="59"/>
      <c r="AW2026" s="59"/>
      <c r="AX2026" s="59"/>
      <c r="AY2026" s="59"/>
      <c r="AZ2026" s="59"/>
      <c r="BA2026" s="59"/>
      <c r="BB2026" s="59"/>
      <c r="BC2026" s="59"/>
      <c r="BD2026" s="59"/>
      <c r="BE2026" s="59"/>
      <c r="BF2026" s="59"/>
      <c r="BG2026" s="59"/>
      <c r="BH2026" s="59"/>
      <c r="BI2026" s="59"/>
      <c r="BJ2026" s="59"/>
      <c r="BK2026" s="59"/>
      <c r="BL2026" s="59"/>
      <c r="BM2026" s="59"/>
      <c r="BN2026" s="59"/>
      <c r="BO2026" s="59"/>
      <c r="BP2026" s="59"/>
      <c r="BQ2026" s="59"/>
      <c r="BR2026" s="59"/>
      <c r="BS2026" s="59"/>
      <c r="BT2026" s="59"/>
      <c r="BU2026" s="59"/>
      <c r="BV2026" s="59"/>
      <c r="BW2026" s="59"/>
      <c r="BX2026" s="59"/>
      <c r="BY2026" s="59"/>
      <c r="BZ2026" s="59"/>
      <c r="CA2026" s="59"/>
      <c r="CB2026" s="59"/>
      <c r="CC2026" s="59"/>
      <c r="CD2026" s="59"/>
      <c r="CE2026" s="59"/>
      <c r="CF2026" s="59"/>
      <c r="CG2026" s="59"/>
      <c r="CH2026" s="59"/>
      <c r="CI2026" s="59"/>
      <c r="CJ2026" s="59"/>
      <c r="CK2026" s="59"/>
      <c r="CL2026" s="59"/>
      <c r="CM2026" s="59"/>
      <c r="CN2026" s="59"/>
      <c r="CO2026" s="59"/>
      <c r="CP2026" s="59"/>
      <c r="CQ2026" s="59"/>
      <c r="CR2026" s="59"/>
      <c r="CS2026" s="59"/>
      <c r="CT2026" s="59"/>
      <c r="CU2026" s="59"/>
      <c r="CV2026" s="59"/>
      <c r="CW2026" s="59"/>
      <c r="CX2026" s="59"/>
      <c r="CY2026" s="59"/>
      <c r="CZ2026" s="59"/>
      <c r="DA2026" s="59"/>
      <c r="DB2026" s="59"/>
      <c r="DC2026" s="59"/>
      <c r="DD2026" s="59"/>
      <c r="DE2026" s="59"/>
      <c r="DF2026" s="59"/>
      <c r="DG2026" s="59"/>
      <c r="DH2026" s="59"/>
      <c r="DI2026" s="59"/>
      <c r="DJ2026" s="59"/>
      <c r="DK2026" s="59"/>
      <c r="DL2026" s="59"/>
      <c r="DM2026" s="59"/>
      <c r="DN2026" s="59"/>
      <c r="DO2026" s="59"/>
      <c r="DP2026" s="59"/>
      <c r="DQ2026" s="59"/>
      <c r="DR2026" s="59"/>
      <c r="DS2026" s="59"/>
      <c r="DT2026" s="59"/>
      <c r="DU2026" s="59"/>
      <c r="DV2026" s="59"/>
    </row>
    <row r="2027" spans="1:126" s="25" customFormat="1" x14ac:dyDescent="0.3">
      <c r="A2027" s="23"/>
      <c r="B2027" s="23" t="s">
        <v>517</v>
      </c>
      <c r="C2027" s="23"/>
      <c r="D2027" s="23"/>
      <c r="E2027" s="24"/>
      <c r="F2027" s="24"/>
      <c r="G2027" s="24"/>
      <c r="H2027" s="59"/>
      <c r="I2027" s="59"/>
      <c r="J2027" s="59"/>
      <c r="K2027" s="59"/>
      <c r="L2027" s="59"/>
      <c r="M2027" s="59"/>
      <c r="N2027" s="59"/>
      <c r="O2027" s="59"/>
      <c r="P2027" s="59"/>
      <c r="Q2027" s="59"/>
      <c r="R2027" s="59"/>
      <c r="S2027" s="59"/>
      <c r="T2027" s="59"/>
      <c r="U2027" s="59"/>
      <c r="V2027" s="59"/>
      <c r="W2027" s="59"/>
      <c r="X2027" s="59"/>
      <c r="Y2027" s="59"/>
      <c r="Z2027" s="59"/>
      <c r="AA2027" s="59"/>
      <c r="AB2027" s="59"/>
      <c r="AC2027" s="59"/>
      <c r="AD2027" s="59"/>
      <c r="AE2027" s="59"/>
      <c r="AF2027" s="59"/>
      <c r="AG2027" s="59"/>
      <c r="AH2027" s="59"/>
      <c r="AI2027" s="59"/>
      <c r="AJ2027" s="59"/>
      <c r="AK2027" s="59"/>
      <c r="AL2027" s="59"/>
      <c r="AM2027" s="59"/>
      <c r="AN2027" s="59"/>
      <c r="AO2027" s="59"/>
      <c r="AP2027" s="59"/>
      <c r="AQ2027" s="59"/>
      <c r="AR2027" s="59"/>
      <c r="AS2027" s="59"/>
      <c r="AT2027" s="59"/>
      <c r="AU2027" s="59"/>
      <c r="AV2027" s="59"/>
      <c r="AW2027" s="59"/>
      <c r="AX2027" s="59"/>
      <c r="AY2027" s="59"/>
      <c r="AZ2027" s="59"/>
      <c r="BA2027" s="59"/>
      <c r="BB2027" s="59"/>
      <c r="BC2027" s="59"/>
      <c r="BD2027" s="59"/>
      <c r="BE2027" s="59"/>
      <c r="BF2027" s="59"/>
      <c r="BG2027" s="59"/>
      <c r="BH2027" s="59"/>
      <c r="BI2027" s="59"/>
      <c r="BJ2027" s="59"/>
      <c r="BK2027" s="59"/>
      <c r="BL2027" s="59"/>
      <c r="BM2027" s="59"/>
      <c r="BN2027" s="59"/>
      <c r="BO2027" s="59"/>
      <c r="BP2027" s="59"/>
      <c r="BQ2027" s="59"/>
      <c r="BR2027" s="59"/>
      <c r="BS2027" s="59"/>
      <c r="BT2027" s="59"/>
      <c r="BU2027" s="59"/>
      <c r="BV2027" s="59"/>
      <c r="BW2027" s="59"/>
      <c r="BX2027" s="59"/>
      <c r="BY2027" s="59"/>
      <c r="BZ2027" s="59"/>
      <c r="CA2027" s="59"/>
      <c r="CB2027" s="59"/>
      <c r="CC2027" s="59"/>
      <c r="CD2027" s="59"/>
      <c r="CE2027" s="59"/>
      <c r="CF2027" s="59"/>
      <c r="CG2027" s="59"/>
      <c r="CH2027" s="59"/>
      <c r="CI2027" s="59"/>
      <c r="CJ2027" s="59"/>
      <c r="CK2027" s="59"/>
      <c r="CL2027" s="59"/>
      <c r="CM2027" s="59"/>
      <c r="CN2027" s="59"/>
      <c r="CO2027" s="59"/>
      <c r="CP2027" s="59"/>
      <c r="CQ2027" s="59"/>
      <c r="CR2027" s="59"/>
      <c r="CS2027" s="59"/>
      <c r="CT2027" s="59"/>
      <c r="CU2027" s="59"/>
      <c r="CV2027" s="59"/>
      <c r="CW2027" s="59"/>
      <c r="CX2027" s="59"/>
      <c r="CY2027" s="59"/>
      <c r="CZ2027" s="59"/>
      <c r="DA2027" s="59"/>
      <c r="DB2027" s="59"/>
      <c r="DC2027" s="59"/>
      <c r="DD2027" s="59"/>
      <c r="DE2027" s="59"/>
      <c r="DF2027" s="59"/>
      <c r="DG2027" s="59"/>
      <c r="DH2027" s="59"/>
      <c r="DI2027" s="59"/>
      <c r="DJ2027" s="59"/>
      <c r="DK2027" s="59"/>
      <c r="DL2027" s="59"/>
      <c r="DM2027" s="59"/>
      <c r="DN2027" s="59"/>
      <c r="DO2027" s="59"/>
      <c r="DP2027" s="59"/>
      <c r="DQ2027" s="59"/>
      <c r="DR2027" s="59"/>
      <c r="DS2027" s="59"/>
      <c r="DT2027" s="59"/>
      <c r="DU2027" s="59"/>
      <c r="DV2027" s="59"/>
    </row>
    <row r="2028" spans="1:126" x14ac:dyDescent="0.3">
      <c r="A2028" s="5"/>
      <c r="B2028" s="5" t="s">
        <v>481</v>
      </c>
      <c r="C2028" s="5"/>
      <c r="D2028" s="5" t="s">
        <v>10</v>
      </c>
      <c r="E2028" s="15">
        <f>123373</f>
        <v>123373</v>
      </c>
      <c r="F2028" s="15"/>
      <c r="G2028" s="15"/>
    </row>
    <row r="2029" spans="1:126" x14ac:dyDescent="0.3">
      <c r="A2029" s="5"/>
      <c r="B2029" s="5" t="s">
        <v>518</v>
      </c>
      <c r="C2029" s="5"/>
      <c r="D2029" s="5" t="s">
        <v>69</v>
      </c>
      <c r="E2029" s="15">
        <f>14722</f>
        <v>14722</v>
      </c>
      <c r="F2029" s="15"/>
      <c r="G2029" s="15"/>
    </row>
    <row r="2030" spans="1:126" x14ac:dyDescent="0.3">
      <c r="A2030" s="5"/>
      <c r="B2030" s="5" t="s">
        <v>490</v>
      </c>
      <c r="C2030" s="5"/>
      <c r="D2030" s="5" t="s">
        <v>8</v>
      </c>
      <c r="E2030" s="15">
        <f>12.4</f>
        <v>12.4</v>
      </c>
      <c r="F2030" s="15"/>
      <c r="G2030" s="15"/>
    </row>
    <row r="2031" spans="1:126" x14ac:dyDescent="0.3">
      <c r="A2031" s="5"/>
      <c r="B2031" s="5" t="s">
        <v>519</v>
      </c>
      <c r="C2031" s="5"/>
      <c r="D2031" s="5" t="s">
        <v>10</v>
      </c>
      <c r="E2031" s="15">
        <f>2954</f>
        <v>2954</v>
      </c>
      <c r="F2031" s="15"/>
      <c r="G2031" s="15"/>
    </row>
    <row r="2032" spans="1:126" s="25" customFormat="1" x14ac:dyDescent="0.3">
      <c r="A2032" s="23"/>
      <c r="B2032" s="23" t="s">
        <v>492</v>
      </c>
      <c r="C2032" s="23"/>
      <c r="D2032" s="23"/>
      <c r="E2032" s="24"/>
      <c r="F2032" s="24"/>
      <c r="G2032" s="24"/>
      <c r="H2032" s="59"/>
      <c r="I2032" s="59"/>
      <c r="J2032" s="59"/>
      <c r="K2032" s="59"/>
      <c r="L2032" s="59"/>
      <c r="M2032" s="59"/>
      <c r="N2032" s="59"/>
      <c r="O2032" s="59"/>
      <c r="P2032" s="59"/>
      <c r="Q2032" s="59"/>
      <c r="R2032" s="59"/>
      <c r="S2032" s="59"/>
      <c r="T2032" s="59"/>
      <c r="U2032" s="59"/>
      <c r="V2032" s="59"/>
      <c r="W2032" s="59"/>
      <c r="X2032" s="59"/>
      <c r="Y2032" s="59"/>
      <c r="Z2032" s="59"/>
      <c r="AA2032" s="59"/>
      <c r="AB2032" s="59"/>
      <c r="AC2032" s="59"/>
      <c r="AD2032" s="59"/>
      <c r="AE2032" s="59"/>
      <c r="AF2032" s="59"/>
      <c r="AG2032" s="59"/>
      <c r="AH2032" s="59"/>
      <c r="AI2032" s="59"/>
      <c r="AJ2032" s="59"/>
      <c r="AK2032" s="59"/>
      <c r="AL2032" s="59"/>
      <c r="AM2032" s="59"/>
      <c r="AN2032" s="59"/>
      <c r="AO2032" s="59"/>
      <c r="AP2032" s="59"/>
      <c r="AQ2032" s="59"/>
      <c r="AR2032" s="59"/>
      <c r="AS2032" s="59"/>
      <c r="AT2032" s="59"/>
      <c r="AU2032" s="59"/>
      <c r="AV2032" s="59"/>
      <c r="AW2032" s="59"/>
      <c r="AX2032" s="59"/>
      <c r="AY2032" s="59"/>
      <c r="AZ2032" s="59"/>
      <c r="BA2032" s="59"/>
      <c r="BB2032" s="59"/>
      <c r="BC2032" s="59"/>
      <c r="BD2032" s="59"/>
      <c r="BE2032" s="59"/>
      <c r="BF2032" s="59"/>
      <c r="BG2032" s="59"/>
      <c r="BH2032" s="59"/>
      <c r="BI2032" s="59"/>
      <c r="BJ2032" s="59"/>
      <c r="BK2032" s="59"/>
      <c r="BL2032" s="59"/>
      <c r="BM2032" s="59"/>
      <c r="BN2032" s="59"/>
      <c r="BO2032" s="59"/>
      <c r="BP2032" s="59"/>
      <c r="BQ2032" s="59"/>
      <c r="BR2032" s="59"/>
      <c r="BS2032" s="59"/>
      <c r="BT2032" s="59"/>
      <c r="BU2032" s="59"/>
      <c r="BV2032" s="59"/>
      <c r="BW2032" s="59"/>
      <c r="BX2032" s="59"/>
      <c r="BY2032" s="59"/>
      <c r="BZ2032" s="59"/>
      <c r="CA2032" s="59"/>
      <c r="CB2032" s="59"/>
      <c r="CC2032" s="59"/>
      <c r="CD2032" s="59"/>
      <c r="CE2032" s="59"/>
      <c r="CF2032" s="59"/>
      <c r="CG2032" s="59"/>
      <c r="CH2032" s="59"/>
      <c r="CI2032" s="59"/>
      <c r="CJ2032" s="59"/>
      <c r="CK2032" s="59"/>
      <c r="CL2032" s="59"/>
      <c r="CM2032" s="59"/>
      <c r="CN2032" s="59"/>
      <c r="CO2032" s="59"/>
      <c r="CP2032" s="59"/>
      <c r="CQ2032" s="59"/>
      <c r="CR2032" s="59"/>
      <c r="CS2032" s="59"/>
      <c r="CT2032" s="59"/>
      <c r="CU2032" s="59"/>
      <c r="CV2032" s="59"/>
      <c r="CW2032" s="59"/>
      <c r="CX2032" s="59"/>
      <c r="CY2032" s="59"/>
      <c r="CZ2032" s="59"/>
      <c r="DA2032" s="59"/>
      <c r="DB2032" s="59"/>
      <c r="DC2032" s="59"/>
      <c r="DD2032" s="59"/>
      <c r="DE2032" s="59"/>
      <c r="DF2032" s="59"/>
      <c r="DG2032" s="59"/>
      <c r="DH2032" s="59"/>
      <c r="DI2032" s="59"/>
      <c r="DJ2032" s="59"/>
      <c r="DK2032" s="59"/>
      <c r="DL2032" s="59"/>
      <c r="DM2032" s="59"/>
      <c r="DN2032" s="59"/>
      <c r="DO2032" s="59"/>
      <c r="DP2032" s="59"/>
      <c r="DQ2032" s="59"/>
      <c r="DR2032" s="59"/>
      <c r="DS2032" s="59"/>
      <c r="DT2032" s="59"/>
      <c r="DU2032" s="59"/>
      <c r="DV2032" s="59"/>
    </row>
    <row r="2033" spans="1:126" s="3" customFormat="1" x14ac:dyDescent="0.3">
      <c r="A2033" s="21"/>
      <c r="B2033" s="21" t="s">
        <v>500</v>
      </c>
      <c r="C2033" s="21"/>
      <c r="D2033" s="21"/>
      <c r="E2033" s="22"/>
      <c r="F2033" s="22"/>
      <c r="G2033" s="22"/>
      <c r="H2033" s="59"/>
      <c r="I2033" s="59"/>
      <c r="J2033" s="59"/>
      <c r="K2033" s="59"/>
      <c r="L2033" s="59"/>
      <c r="M2033" s="59"/>
      <c r="N2033" s="59"/>
      <c r="O2033" s="59"/>
      <c r="P2033" s="59"/>
      <c r="Q2033" s="59"/>
      <c r="R2033" s="59"/>
      <c r="S2033" s="59"/>
      <c r="T2033" s="59"/>
      <c r="U2033" s="59"/>
      <c r="V2033" s="59"/>
      <c r="W2033" s="59"/>
      <c r="X2033" s="59"/>
      <c r="Y2033" s="59"/>
      <c r="Z2033" s="59"/>
      <c r="AA2033" s="59"/>
      <c r="AB2033" s="59"/>
      <c r="AC2033" s="59"/>
      <c r="AD2033" s="59"/>
      <c r="AE2033" s="59"/>
      <c r="AF2033" s="59"/>
      <c r="AG2033" s="59"/>
      <c r="AH2033" s="59"/>
      <c r="AI2033" s="59"/>
      <c r="AJ2033" s="59"/>
      <c r="AK2033" s="59"/>
      <c r="AL2033" s="59"/>
      <c r="AM2033" s="59"/>
      <c r="AN2033" s="59"/>
      <c r="AO2033" s="59"/>
      <c r="AP2033" s="59"/>
      <c r="AQ2033" s="59"/>
      <c r="AR2033" s="59"/>
      <c r="AS2033" s="59"/>
      <c r="AT2033" s="59"/>
      <c r="AU2033" s="59"/>
      <c r="AV2033" s="59"/>
      <c r="AW2033" s="59"/>
      <c r="AX2033" s="59"/>
      <c r="AY2033" s="59"/>
      <c r="AZ2033" s="59"/>
      <c r="BA2033" s="59"/>
      <c r="BB2033" s="59"/>
      <c r="BC2033" s="59"/>
      <c r="BD2033" s="59"/>
      <c r="BE2033" s="59"/>
      <c r="BF2033" s="59"/>
      <c r="BG2033" s="59"/>
      <c r="BH2033" s="59"/>
      <c r="BI2033" s="59"/>
      <c r="BJ2033" s="59"/>
      <c r="BK2033" s="59"/>
      <c r="BL2033" s="59"/>
      <c r="BM2033" s="59"/>
      <c r="BN2033" s="59"/>
      <c r="BO2033" s="59"/>
      <c r="BP2033" s="59"/>
      <c r="BQ2033" s="59"/>
      <c r="BR2033" s="59"/>
      <c r="BS2033" s="59"/>
      <c r="BT2033" s="59"/>
      <c r="BU2033" s="59"/>
      <c r="BV2033" s="59"/>
      <c r="BW2033" s="59"/>
      <c r="BX2033" s="59"/>
      <c r="BY2033" s="59"/>
      <c r="BZ2033" s="59"/>
      <c r="CA2033" s="59"/>
      <c r="CB2033" s="59"/>
      <c r="CC2033" s="59"/>
      <c r="CD2033" s="59"/>
      <c r="CE2033" s="59"/>
      <c r="CF2033" s="59"/>
      <c r="CG2033" s="59"/>
      <c r="CH2033" s="59"/>
      <c r="CI2033" s="59"/>
      <c r="CJ2033" s="59"/>
      <c r="CK2033" s="59"/>
      <c r="CL2033" s="59"/>
      <c r="CM2033" s="59"/>
      <c r="CN2033" s="59"/>
      <c r="CO2033" s="59"/>
      <c r="CP2033" s="59"/>
      <c r="CQ2033" s="59"/>
      <c r="CR2033" s="59"/>
      <c r="CS2033" s="59"/>
      <c r="CT2033" s="59"/>
      <c r="CU2033" s="59"/>
      <c r="CV2033" s="59"/>
      <c r="CW2033" s="59"/>
      <c r="CX2033" s="59"/>
      <c r="CY2033" s="59"/>
      <c r="CZ2033" s="59"/>
      <c r="DA2033" s="59"/>
      <c r="DB2033" s="59"/>
      <c r="DC2033" s="59"/>
      <c r="DD2033" s="59"/>
      <c r="DE2033" s="59"/>
      <c r="DF2033" s="59"/>
      <c r="DG2033" s="59"/>
      <c r="DH2033" s="59"/>
      <c r="DI2033" s="59"/>
      <c r="DJ2033" s="59"/>
      <c r="DK2033" s="59"/>
      <c r="DL2033" s="59"/>
      <c r="DM2033" s="59"/>
      <c r="DN2033" s="59"/>
      <c r="DO2033" s="59"/>
      <c r="DP2033" s="59"/>
      <c r="DQ2033" s="59"/>
      <c r="DR2033" s="59"/>
      <c r="DS2033" s="59"/>
      <c r="DT2033" s="59"/>
      <c r="DU2033" s="59"/>
      <c r="DV2033" s="59"/>
    </row>
    <row r="2034" spans="1:126" x14ac:dyDescent="0.3">
      <c r="A2034" s="5"/>
      <c r="B2034" s="5" t="s">
        <v>493</v>
      </c>
      <c r="C2034" s="5"/>
      <c r="D2034" s="5" t="s">
        <v>8</v>
      </c>
      <c r="E2034" s="15">
        <f>8458</f>
        <v>8458</v>
      </c>
      <c r="F2034" s="15"/>
      <c r="G2034" s="15"/>
    </row>
    <row r="2035" spans="1:126" x14ac:dyDescent="0.3">
      <c r="A2035" s="5"/>
      <c r="B2035" s="5" t="s">
        <v>494</v>
      </c>
      <c r="C2035" s="5"/>
      <c r="D2035" s="5" t="s">
        <v>8</v>
      </c>
      <c r="E2035" s="15">
        <f>21.36</f>
        <v>21.36</v>
      </c>
      <c r="F2035" s="15"/>
      <c r="G2035" s="15"/>
    </row>
    <row r="2036" spans="1:126" x14ac:dyDescent="0.3">
      <c r="A2036" s="5"/>
      <c r="B2036" s="5" t="s">
        <v>495</v>
      </c>
      <c r="C2036" s="5"/>
      <c r="D2036" s="5" t="s">
        <v>8</v>
      </c>
      <c r="E2036" s="15">
        <f>13616</f>
        <v>13616</v>
      </c>
      <c r="F2036" s="15"/>
      <c r="G2036" s="15"/>
    </row>
    <row r="2037" spans="1:126" x14ac:dyDescent="0.3">
      <c r="A2037" s="5"/>
      <c r="B2037" s="5" t="s">
        <v>494</v>
      </c>
      <c r="C2037" s="5"/>
      <c r="D2037" s="5" t="s">
        <v>8</v>
      </c>
      <c r="E2037" s="15">
        <f>21.36</f>
        <v>21.36</v>
      </c>
      <c r="F2037" s="15"/>
      <c r="G2037" s="15"/>
    </row>
    <row r="2038" spans="1:126" x14ac:dyDescent="0.3">
      <c r="A2038" s="5"/>
      <c r="B2038" s="5" t="s">
        <v>496</v>
      </c>
      <c r="C2038" s="5"/>
      <c r="D2038" s="5" t="s">
        <v>8</v>
      </c>
      <c r="E2038" s="15">
        <f>19263</f>
        <v>19263</v>
      </c>
      <c r="F2038" s="15"/>
      <c r="G2038" s="15"/>
    </row>
    <row r="2039" spans="1:126" x14ac:dyDescent="0.3">
      <c r="A2039" s="5"/>
      <c r="B2039" s="5" t="s">
        <v>494</v>
      </c>
      <c r="C2039" s="5"/>
      <c r="D2039" s="5" t="s">
        <v>8</v>
      </c>
      <c r="E2039" s="15">
        <f>42.72</f>
        <v>42.72</v>
      </c>
      <c r="F2039" s="15"/>
      <c r="G2039" s="15"/>
    </row>
    <row r="2040" spans="1:126" s="3" customFormat="1" x14ac:dyDescent="0.3">
      <c r="A2040" s="21"/>
      <c r="B2040" s="21" t="s">
        <v>501</v>
      </c>
      <c r="C2040" s="21"/>
      <c r="D2040" s="21"/>
      <c r="E2040" s="22"/>
      <c r="F2040" s="22"/>
      <c r="G2040" s="22"/>
      <c r="H2040" s="59"/>
      <c r="I2040" s="59"/>
      <c r="J2040" s="59"/>
      <c r="K2040" s="59"/>
      <c r="L2040" s="59"/>
      <c r="M2040" s="59"/>
      <c r="N2040" s="59"/>
      <c r="O2040" s="59"/>
      <c r="P2040" s="59"/>
      <c r="Q2040" s="59"/>
      <c r="R2040" s="59"/>
      <c r="S2040" s="59"/>
      <c r="T2040" s="59"/>
      <c r="U2040" s="59"/>
      <c r="V2040" s="59"/>
      <c r="W2040" s="59"/>
      <c r="X2040" s="59"/>
      <c r="Y2040" s="59"/>
      <c r="Z2040" s="59"/>
      <c r="AA2040" s="59"/>
      <c r="AB2040" s="59"/>
      <c r="AC2040" s="59"/>
      <c r="AD2040" s="59"/>
      <c r="AE2040" s="59"/>
      <c r="AF2040" s="59"/>
      <c r="AG2040" s="59"/>
      <c r="AH2040" s="59"/>
      <c r="AI2040" s="59"/>
      <c r="AJ2040" s="59"/>
      <c r="AK2040" s="59"/>
      <c r="AL2040" s="59"/>
      <c r="AM2040" s="59"/>
      <c r="AN2040" s="59"/>
      <c r="AO2040" s="59"/>
      <c r="AP2040" s="59"/>
      <c r="AQ2040" s="59"/>
      <c r="AR2040" s="59"/>
      <c r="AS2040" s="59"/>
      <c r="AT2040" s="59"/>
      <c r="AU2040" s="59"/>
      <c r="AV2040" s="59"/>
      <c r="AW2040" s="59"/>
      <c r="AX2040" s="59"/>
      <c r="AY2040" s="59"/>
      <c r="AZ2040" s="59"/>
      <c r="BA2040" s="59"/>
      <c r="BB2040" s="59"/>
      <c r="BC2040" s="59"/>
      <c r="BD2040" s="59"/>
      <c r="BE2040" s="59"/>
      <c r="BF2040" s="59"/>
      <c r="BG2040" s="59"/>
      <c r="BH2040" s="59"/>
      <c r="BI2040" s="59"/>
      <c r="BJ2040" s="59"/>
      <c r="BK2040" s="59"/>
      <c r="BL2040" s="59"/>
      <c r="BM2040" s="59"/>
      <c r="BN2040" s="59"/>
      <c r="BO2040" s="59"/>
      <c r="BP2040" s="59"/>
      <c r="BQ2040" s="59"/>
      <c r="BR2040" s="59"/>
      <c r="BS2040" s="59"/>
      <c r="BT2040" s="59"/>
      <c r="BU2040" s="59"/>
      <c r="BV2040" s="59"/>
      <c r="BW2040" s="59"/>
      <c r="BX2040" s="59"/>
      <c r="BY2040" s="59"/>
      <c r="BZ2040" s="59"/>
      <c r="CA2040" s="59"/>
      <c r="CB2040" s="59"/>
      <c r="CC2040" s="59"/>
      <c r="CD2040" s="59"/>
      <c r="CE2040" s="59"/>
      <c r="CF2040" s="59"/>
      <c r="CG2040" s="59"/>
      <c r="CH2040" s="59"/>
      <c r="CI2040" s="59"/>
      <c r="CJ2040" s="59"/>
      <c r="CK2040" s="59"/>
      <c r="CL2040" s="59"/>
      <c r="CM2040" s="59"/>
      <c r="CN2040" s="59"/>
      <c r="CO2040" s="59"/>
      <c r="CP2040" s="59"/>
      <c r="CQ2040" s="59"/>
      <c r="CR2040" s="59"/>
      <c r="CS2040" s="59"/>
      <c r="CT2040" s="59"/>
      <c r="CU2040" s="59"/>
      <c r="CV2040" s="59"/>
      <c r="CW2040" s="59"/>
      <c r="CX2040" s="59"/>
      <c r="CY2040" s="59"/>
      <c r="CZ2040" s="59"/>
      <c r="DA2040" s="59"/>
      <c r="DB2040" s="59"/>
      <c r="DC2040" s="59"/>
      <c r="DD2040" s="59"/>
      <c r="DE2040" s="59"/>
      <c r="DF2040" s="59"/>
      <c r="DG2040" s="59"/>
      <c r="DH2040" s="59"/>
      <c r="DI2040" s="59"/>
      <c r="DJ2040" s="59"/>
      <c r="DK2040" s="59"/>
      <c r="DL2040" s="59"/>
      <c r="DM2040" s="59"/>
      <c r="DN2040" s="59"/>
      <c r="DO2040" s="59"/>
      <c r="DP2040" s="59"/>
      <c r="DQ2040" s="59"/>
      <c r="DR2040" s="59"/>
      <c r="DS2040" s="59"/>
      <c r="DT2040" s="59"/>
      <c r="DU2040" s="59"/>
      <c r="DV2040" s="59"/>
    </row>
    <row r="2041" spans="1:126" x14ac:dyDescent="0.3">
      <c r="A2041" s="5"/>
      <c r="B2041" s="5" t="s">
        <v>497</v>
      </c>
      <c r="C2041" s="5"/>
      <c r="D2041" s="5" t="s">
        <v>10</v>
      </c>
      <c r="E2041" s="15">
        <f>57862*0.28</f>
        <v>16201.360000000002</v>
      </c>
      <c r="F2041" s="15"/>
      <c r="G2041" s="15"/>
    </row>
    <row r="2042" spans="1:126" s="3" customFormat="1" x14ac:dyDescent="0.3">
      <c r="A2042" s="21"/>
      <c r="B2042" s="21" t="s">
        <v>502</v>
      </c>
      <c r="C2042" s="21"/>
      <c r="D2042" s="21"/>
      <c r="E2042" s="22"/>
      <c r="F2042" s="22"/>
      <c r="G2042" s="22"/>
      <c r="H2042" s="59"/>
      <c r="I2042" s="59"/>
      <c r="J2042" s="59"/>
      <c r="K2042" s="59"/>
      <c r="L2042" s="59"/>
      <c r="M2042" s="59"/>
      <c r="N2042" s="59"/>
      <c r="O2042" s="59"/>
      <c r="P2042" s="59"/>
      <c r="Q2042" s="59"/>
      <c r="R2042" s="59"/>
      <c r="S2042" s="59"/>
      <c r="T2042" s="59"/>
      <c r="U2042" s="59"/>
      <c r="V2042" s="59"/>
      <c r="W2042" s="59"/>
      <c r="X2042" s="59"/>
      <c r="Y2042" s="59"/>
      <c r="Z2042" s="59"/>
      <c r="AA2042" s="59"/>
      <c r="AB2042" s="59"/>
      <c r="AC2042" s="59"/>
      <c r="AD2042" s="59"/>
      <c r="AE2042" s="59"/>
      <c r="AF2042" s="59"/>
      <c r="AG2042" s="59"/>
      <c r="AH2042" s="59"/>
      <c r="AI2042" s="59"/>
      <c r="AJ2042" s="59"/>
      <c r="AK2042" s="59"/>
      <c r="AL2042" s="59"/>
      <c r="AM2042" s="59"/>
      <c r="AN2042" s="59"/>
      <c r="AO2042" s="59"/>
      <c r="AP2042" s="59"/>
      <c r="AQ2042" s="59"/>
      <c r="AR2042" s="59"/>
      <c r="AS2042" s="59"/>
      <c r="AT2042" s="59"/>
      <c r="AU2042" s="59"/>
      <c r="AV2042" s="59"/>
      <c r="AW2042" s="59"/>
      <c r="AX2042" s="59"/>
      <c r="AY2042" s="59"/>
      <c r="AZ2042" s="59"/>
      <c r="BA2042" s="59"/>
      <c r="BB2042" s="59"/>
      <c r="BC2042" s="59"/>
      <c r="BD2042" s="59"/>
      <c r="BE2042" s="59"/>
      <c r="BF2042" s="59"/>
      <c r="BG2042" s="59"/>
      <c r="BH2042" s="59"/>
      <c r="BI2042" s="59"/>
      <c r="BJ2042" s="59"/>
      <c r="BK2042" s="59"/>
      <c r="BL2042" s="59"/>
      <c r="BM2042" s="59"/>
      <c r="BN2042" s="59"/>
      <c r="BO2042" s="59"/>
      <c r="BP2042" s="59"/>
      <c r="BQ2042" s="59"/>
      <c r="BR2042" s="59"/>
      <c r="BS2042" s="59"/>
      <c r="BT2042" s="59"/>
      <c r="BU2042" s="59"/>
      <c r="BV2042" s="59"/>
      <c r="BW2042" s="59"/>
      <c r="BX2042" s="59"/>
      <c r="BY2042" s="59"/>
      <c r="BZ2042" s="59"/>
      <c r="CA2042" s="59"/>
      <c r="CB2042" s="59"/>
      <c r="CC2042" s="59"/>
      <c r="CD2042" s="59"/>
      <c r="CE2042" s="59"/>
      <c r="CF2042" s="59"/>
      <c r="CG2042" s="59"/>
      <c r="CH2042" s="59"/>
      <c r="CI2042" s="59"/>
      <c r="CJ2042" s="59"/>
      <c r="CK2042" s="59"/>
      <c r="CL2042" s="59"/>
      <c r="CM2042" s="59"/>
      <c r="CN2042" s="59"/>
      <c r="CO2042" s="59"/>
      <c r="CP2042" s="59"/>
      <c r="CQ2042" s="59"/>
      <c r="CR2042" s="59"/>
      <c r="CS2042" s="59"/>
      <c r="CT2042" s="59"/>
      <c r="CU2042" s="59"/>
      <c r="CV2042" s="59"/>
      <c r="CW2042" s="59"/>
      <c r="CX2042" s="59"/>
      <c r="CY2042" s="59"/>
      <c r="CZ2042" s="59"/>
      <c r="DA2042" s="59"/>
      <c r="DB2042" s="59"/>
      <c r="DC2042" s="59"/>
      <c r="DD2042" s="59"/>
      <c r="DE2042" s="59"/>
      <c r="DF2042" s="59"/>
      <c r="DG2042" s="59"/>
      <c r="DH2042" s="59"/>
      <c r="DI2042" s="59"/>
      <c r="DJ2042" s="59"/>
      <c r="DK2042" s="59"/>
      <c r="DL2042" s="59"/>
      <c r="DM2042" s="59"/>
      <c r="DN2042" s="59"/>
      <c r="DO2042" s="59"/>
      <c r="DP2042" s="59"/>
      <c r="DQ2042" s="59"/>
      <c r="DR2042" s="59"/>
      <c r="DS2042" s="59"/>
      <c r="DT2042" s="59"/>
      <c r="DU2042" s="59"/>
      <c r="DV2042" s="59"/>
    </row>
    <row r="2043" spans="1:126" x14ac:dyDescent="0.3">
      <c r="A2043" s="5"/>
      <c r="B2043" s="5" t="s">
        <v>498</v>
      </c>
      <c r="C2043" s="5"/>
      <c r="D2043" s="5" t="s">
        <v>10</v>
      </c>
      <c r="E2043" s="15">
        <f>34009</f>
        <v>34009</v>
      </c>
      <c r="F2043" s="15"/>
      <c r="G2043" s="15"/>
    </row>
    <row r="2044" spans="1:126" s="3" customFormat="1" x14ac:dyDescent="0.3">
      <c r="A2044" s="21"/>
      <c r="B2044" s="21" t="s">
        <v>520</v>
      </c>
      <c r="C2044" s="21"/>
      <c r="D2044" s="21"/>
      <c r="E2044" s="22"/>
      <c r="F2044" s="22"/>
      <c r="G2044" s="22"/>
      <c r="H2044" s="59"/>
      <c r="I2044" s="59"/>
      <c r="J2044" s="59"/>
      <c r="K2044" s="59"/>
      <c r="L2044" s="59"/>
      <c r="M2044" s="59"/>
      <c r="N2044" s="59"/>
      <c r="O2044" s="59"/>
      <c r="P2044" s="59"/>
      <c r="Q2044" s="59"/>
      <c r="R2044" s="59"/>
      <c r="S2044" s="59"/>
      <c r="T2044" s="59"/>
      <c r="U2044" s="59"/>
      <c r="V2044" s="59"/>
      <c r="W2044" s="59"/>
      <c r="X2044" s="59"/>
      <c r="Y2044" s="59"/>
      <c r="Z2044" s="59"/>
      <c r="AA2044" s="59"/>
      <c r="AB2044" s="59"/>
      <c r="AC2044" s="59"/>
      <c r="AD2044" s="59"/>
      <c r="AE2044" s="59"/>
      <c r="AF2044" s="59"/>
      <c r="AG2044" s="59"/>
      <c r="AH2044" s="59"/>
      <c r="AI2044" s="59"/>
      <c r="AJ2044" s="59"/>
      <c r="AK2044" s="59"/>
      <c r="AL2044" s="59"/>
      <c r="AM2044" s="59"/>
      <c r="AN2044" s="59"/>
      <c r="AO2044" s="59"/>
      <c r="AP2044" s="59"/>
      <c r="AQ2044" s="59"/>
      <c r="AR2044" s="59"/>
      <c r="AS2044" s="59"/>
      <c r="AT2044" s="59"/>
      <c r="AU2044" s="59"/>
      <c r="AV2044" s="59"/>
      <c r="AW2044" s="59"/>
      <c r="AX2044" s="59"/>
      <c r="AY2044" s="59"/>
      <c r="AZ2044" s="59"/>
      <c r="BA2044" s="59"/>
      <c r="BB2044" s="59"/>
      <c r="BC2044" s="59"/>
      <c r="BD2044" s="59"/>
      <c r="BE2044" s="59"/>
      <c r="BF2044" s="59"/>
      <c r="BG2044" s="59"/>
      <c r="BH2044" s="59"/>
      <c r="BI2044" s="59"/>
      <c r="BJ2044" s="59"/>
      <c r="BK2044" s="59"/>
      <c r="BL2044" s="59"/>
      <c r="BM2044" s="59"/>
      <c r="BN2044" s="59"/>
      <c r="BO2044" s="59"/>
      <c r="BP2044" s="59"/>
      <c r="BQ2044" s="59"/>
      <c r="BR2044" s="59"/>
      <c r="BS2044" s="59"/>
      <c r="BT2044" s="59"/>
      <c r="BU2044" s="59"/>
      <c r="BV2044" s="59"/>
      <c r="BW2044" s="59"/>
      <c r="BX2044" s="59"/>
      <c r="BY2044" s="59"/>
      <c r="BZ2044" s="59"/>
      <c r="CA2044" s="59"/>
      <c r="CB2044" s="59"/>
      <c r="CC2044" s="59"/>
      <c r="CD2044" s="59"/>
      <c r="CE2044" s="59"/>
      <c r="CF2044" s="59"/>
      <c r="CG2044" s="59"/>
      <c r="CH2044" s="59"/>
      <c r="CI2044" s="59"/>
      <c r="CJ2044" s="59"/>
      <c r="CK2044" s="59"/>
      <c r="CL2044" s="59"/>
      <c r="CM2044" s="59"/>
      <c r="CN2044" s="59"/>
      <c r="CO2044" s="59"/>
      <c r="CP2044" s="59"/>
      <c r="CQ2044" s="59"/>
      <c r="CR2044" s="59"/>
      <c r="CS2044" s="59"/>
      <c r="CT2044" s="59"/>
      <c r="CU2044" s="59"/>
      <c r="CV2044" s="59"/>
      <c r="CW2044" s="59"/>
      <c r="CX2044" s="59"/>
      <c r="CY2044" s="59"/>
      <c r="CZ2044" s="59"/>
      <c r="DA2044" s="59"/>
      <c r="DB2044" s="59"/>
      <c r="DC2044" s="59"/>
      <c r="DD2044" s="59"/>
      <c r="DE2044" s="59"/>
      <c r="DF2044" s="59"/>
      <c r="DG2044" s="59"/>
      <c r="DH2044" s="59"/>
      <c r="DI2044" s="59"/>
      <c r="DJ2044" s="59"/>
      <c r="DK2044" s="59"/>
      <c r="DL2044" s="59"/>
      <c r="DM2044" s="59"/>
      <c r="DN2044" s="59"/>
      <c r="DO2044" s="59"/>
      <c r="DP2044" s="59"/>
      <c r="DQ2044" s="59"/>
      <c r="DR2044" s="59"/>
      <c r="DS2044" s="59"/>
      <c r="DT2044" s="59"/>
      <c r="DU2044" s="59"/>
      <c r="DV2044" s="59"/>
    </row>
    <row r="2045" spans="1:126" x14ac:dyDescent="0.3">
      <c r="A2045" s="5"/>
      <c r="B2045" s="5" t="s">
        <v>499</v>
      </c>
      <c r="C2045" s="5"/>
      <c r="D2045" s="5" t="s">
        <v>10</v>
      </c>
      <c r="E2045" s="15">
        <f>32235</f>
        <v>32235</v>
      </c>
      <c r="F2045" s="15"/>
      <c r="G2045" s="15"/>
    </row>
    <row r="2046" spans="1:126" s="3" customFormat="1" ht="31.2" x14ac:dyDescent="0.3">
      <c r="A2046" s="21"/>
      <c r="B2046" s="26" t="s">
        <v>504</v>
      </c>
      <c r="C2046" s="21"/>
      <c r="D2046" s="21"/>
      <c r="E2046" s="22"/>
      <c r="F2046" s="22"/>
      <c r="G2046" s="22"/>
      <c r="H2046" s="59"/>
      <c r="I2046" s="59"/>
      <c r="J2046" s="59"/>
      <c r="K2046" s="59"/>
      <c r="L2046" s="59"/>
      <c r="M2046" s="59"/>
      <c r="N2046" s="59"/>
      <c r="O2046" s="59"/>
      <c r="P2046" s="59"/>
      <c r="Q2046" s="59"/>
      <c r="R2046" s="59"/>
      <c r="S2046" s="59"/>
      <c r="T2046" s="59"/>
      <c r="U2046" s="59"/>
      <c r="V2046" s="59"/>
      <c r="W2046" s="59"/>
      <c r="X2046" s="59"/>
      <c r="Y2046" s="59"/>
      <c r="Z2046" s="59"/>
      <c r="AA2046" s="59"/>
      <c r="AB2046" s="59"/>
      <c r="AC2046" s="59"/>
      <c r="AD2046" s="59"/>
      <c r="AE2046" s="59"/>
      <c r="AF2046" s="59"/>
      <c r="AG2046" s="59"/>
      <c r="AH2046" s="59"/>
      <c r="AI2046" s="59"/>
      <c r="AJ2046" s="59"/>
      <c r="AK2046" s="59"/>
      <c r="AL2046" s="59"/>
      <c r="AM2046" s="59"/>
      <c r="AN2046" s="59"/>
      <c r="AO2046" s="59"/>
      <c r="AP2046" s="59"/>
      <c r="AQ2046" s="59"/>
      <c r="AR2046" s="59"/>
      <c r="AS2046" s="59"/>
      <c r="AT2046" s="59"/>
      <c r="AU2046" s="59"/>
      <c r="AV2046" s="59"/>
      <c r="AW2046" s="59"/>
      <c r="AX2046" s="59"/>
      <c r="AY2046" s="59"/>
      <c r="AZ2046" s="59"/>
      <c r="BA2046" s="59"/>
      <c r="BB2046" s="59"/>
      <c r="BC2046" s="59"/>
      <c r="BD2046" s="59"/>
      <c r="BE2046" s="59"/>
      <c r="BF2046" s="59"/>
      <c r="BG2046" s="59"/>
      <c r="BH2046" s="59"/>
      <c r="BI2046" s="59"/>
      <c r="BJ2046" s="59"/>
      <c r="BK2046" s="59"/>
      <c r="BL2046" s="59"/>
      <c r="BM2046" s="59"/>
      <c r="BN2046" s="59"/>
      <c r="BO2046" s="59"/>
      <c r="BP2046" s="59"/>
      <c r="BQ2046" s="59"/>
      <c r="BR2046" s="59"/>
      <c r="BS2046" s="59"/>
      <c r="BT2046" s="59"/>
      <c r="BU2046" s="59"/>
      <c r="BV2046" s="59"/>
      <c r="BW2046" s="59"/>
      <c r="BX2046" s="59"/>
      <c r="BY2046" s="59"/>
      <c r="BZ2046" s="59"/>
      <c r="CA2046" s="59"/>
      <c r="CB2046" s="59"/>
      <c r="CC2046" s="59"/>
      <c r="CD2046" s="59"/>
      <c r="CE2046" s="59"/>
      <c r="CF2046" s="59"/>
      <c r="CG2046" s="59"/>
      <c r="CH2046" s="59"/>
      <c r="CI2046" s="59"/>
      <c r="CJ2046" s="59"/>
      <c r="CK2046" s="59"/>
      <c r="CL2046" s="59"/>
      <c r="CM2046" s="59"/>
      <c r="CN2046" s="59"/>
      <c r="CO2046" s="59"/>
      <c r="CP2046" s="59"/>
      <c r="CQ2046" s="59"/>
      <c r="CR2046" s="59"/>
      <c r="CS2046" s="59"/>
      <c r="CT2046" s="59"/>
      <c r="CU2046" s="59"/>
      <c r="CV2046" s="59"/>
      <c r="CW2046" s="59"/>
      <c r="CX2046" s="59"/>
      <c r="CY2046" s="59"/>
      <c r="CZ2046" s="59"/>
      <c r="DA2046" s="59"/>
      <c r="DB2046" s="59"/>
      <c r="DC2046" s="59"/>
      <c r="DD2046" s="59"/>
      <c r="DE2046" s="59"/>
      <c r="DF2046" s="59"/>
      <c r="DG2046" s="59"/>
      <c r="DH2046" s="59"/>
      <c r="DI2046" s="59"/>
      <c r="DJ2046" s="59"/>
      <c r="DK2046" s="59"/>
      <c r="DL2046" s="59"/>
      <c r="DM2046" s="59"/>
      <c r="DN2046" s="59"/>
      <c r="DO2046" s="59"/>
      <c r="DP2046" s="59"/>
      <c r="DQ2046" s="59"/>
      <c r="DR2046" s="59"/>
      <c r="DS2046" s="59"/>
      <c r="DT2046" s="59"/>
      <c r="DU2046" s="59"/>
      <c r="DV2046" s="59"/>
    </row>
    <row r="2047" spans="1:126" x14ac:dyDescent="0.3">
      <c r="A2047" s="5"/>
      <c r="B2047" s="5" t="s">
        <v>493</v>
      </c>
      <c r="C2047" s="5"/>
      <c r="D2047" s="5" t="s">
        <v>8</v>
      </c>
      <c r="E2047" s="15">
        <f>2111</f>
        <v>2111</v>
      </c>
      <c r="F2047" s="15"/>
      <c r="G2047" s="15"/>
    </row>
    <row r="2048" spans="1:126" x14ac:dyDescent="0.3">
      <c r="A2048" s="5"/>
      <c r="B2048" s="5" t="s">
        <v>494</v>
      </c>
      <c r="C2048" s="5"/>
      <c r="D2048" s="5" t="s">
        <v>8</v>
      </c>
      <c r="E2048" s="15">
        <f>5.33</f>
        <v>5.33</v>
      </c>
      <c r="F2048" s="15"/>
      <c r="G2048" s="15"/>
    </row>
    <row r="2049" spans="1:126" x14ac:dyDescent="0.3">
      <c r="A2049" s="5"/>
      <c r="B2049" s="5" t="s">
        <v>495</v>
      </c>
      <c r="C2049" s="5"/>
      <c r="D2049" s="5" t="s">
        <v>8</v>
      </c>
      <c r="E2049" s="15">
        <f>2379</f>
        <v>2379</v>
      </c>
      <c r="F2049" s="15"/>
      <c r="G2049" s="15"/>
    </row>
    <row r="2050" spans="1:126" x14ac:dyDescent="0.3">
      <c r="A2050" s="5"/>
      <c r="B2050" s="5" t="s">
        <v>494</v>
      </c>
      <c r="C2050" s="5"/>
      <c r="D2050" s="5" t="s">
        <v>8</v>
      </c>
      <c r="E2050" s="15">
        <f>5.33</f>
        <v>5.33</v>
      </c>
      <c r="F2050" s="15"/>
      <c r="G2050" s="15"/>
    </row>
    <row r="2051" spans="1:126" x14ac:dyDescent="0.3">
      <c r="A2051" s="5"/>
      <c r="B2051" s="5" t="s">
        <v>496</v>
      </c>
      <c r="C2051" s="5"/>
      <c r="D2051" s="5" t="s">
        <v>8</v>
      </c>
      <c r="E2051" s="15">
        <f>4167</f>
        <v>4167</v>
      </c>
      <c r="F2051" s="15"/>
      <c r="G2051" s="15"/>
    </row>
    <row r="2052" spans="1:126" x14ac:dyDescent="0.3">
      <c r="A2052" s="5"/>
      <c r="B2052" s="5" t="s">
        <v>494</v>
      </c>
      <c r="C2052" s="5"/>
      <c r="D2052" s="5" t="s">
        <v>8</v>
      </c>
      <c r="E2052" s="15">
        <f>10.66</f>
        <v>10.66</v>
      </c>
      <c r="F2052" s="15"/>
      <c r="G2052" s="15"/>
    </row>
    <row r="2053" spans="1:126" x14ac:dyDescent="0.3">
      <c r="A2053" s="5"/>
      <c r="B2053" s="5" t="s">
        <v>497</v>
      </c>
      <c r="C2053" s="5"/>
      <c r="D2053" s="5" t="s">
        <v>10</v>
      </c>
      <c r="E2053" s="15">
        <f>13327*0.26</f>
        <v>3465.02</v>
      </c>
      <c r="F2053" s="15"/>
      <c r="G2053" s="15"/>
    </row>
    <row r="2054" spans="1:126" s="3" customFormat="1" ht="31.2" x14ac:dyDescent="0.3">
      <c r="A2054" s="21"/>
      <c r="B2054" s="26" t="s">
        <v>505</v>
      </c>
      <c r="C2054" s="21"/>
      <c r="D2054" s="21"/>
      <c r="E2054" s="22"/>
      <c r="F2054" s="22"/>
      <c r="G2054" s="22"/>
      <c r="H2054" s="59"/>
      <c r="I2054" s="59"/>
      <c r="J2054" s="59"/>
      <c r="K2054" s="59"/>
      <c r="L2054" s="59"/>
      <c r="M2054" s="59"/>
      <c r="N2054" s="59"/>
      <c r="O2054" s="59"/>
      <c r="P2054" s="59"/>
      <c r="Q2054" s="59"/>
      <c r="R2054" s="59"/>
      <c r="S2054" s="59"/>
      <c r="T2054" s="59"/>
      <c r="U2054" s="59"/>
      <c r="V2054" s="59"/>
      <c r="W2054" s="59"/>
      <c r="X2054" s="59"/>
      <c r="Y2054" s="59"/>
      <c r="Z2054" s="59"/>
      <c r="AA2054" s="59"/>
      <c r="AB2054" s="59"/>
      <c r="AC2054" s="59"/>
      <c r="AD2054" s="59"/>
      <c r="AE2054" s="59"/>
      <c r="AF2054" s="59"/>
      <c r="AG2054" s="59"/>
      <c r="AH2054" s="59"/>
      <c r="AI2054" s="59"/>
      <c r="AJ2054" s="59"/>
      <c r="AK2054" s="59"/>
      <c r="AL2054" s="59"/>
      <c r="AM2054" s="59"/>
      <c r="AN2054" s="59"/>
      <c r="AO2054" s="59"/>
      <c r="AP2054" s="59"/>
      <c r="AQ2054" s="59"/>
      <c r="AR2054" s="59"/>
      <c r="AS2054" s="59"/>
      <c r="AT2054" s="59"/>
      <c r="AU2054" s="59"/>
      <c r="AV2054" s="59"/>
      <c r="AW2054" s="59"/>
      <c r="AX2054" s="59"/>
      <c r="AY2054" s="59"/>
      <c r="AZ2054" s="59"/>
      <c r="BA2054" s="59"/>
      <c r="BB2054" s="59"/>
      <c r="BC2054" s="59"/>
      <c r="BD2054" s="59"/>
      <c r="BE2054" s="59"/>
      <c r="BF2054" s="59"/>
      <c r="BG2054" s="59"/>
      <c r="BH2054" s="59"/>
      <c r="BI2054" s="59"/>
      <c r="BJ2054" s="59"/>
      <c r="BK2054" s="59"/>
      <c r="BL2054" s="59"/>
      <c r="BM2054" s="59"/>
      <c r="BN2054" s="59"/>
      <c r="BO2054" s="59"/>
      <c r="BP2054" s="59"/>
      <c r="BQ2054" s="59"/>
      <c r="BR2054" s="59"/>
      <c r="BS2054" s="59"/>
      <c r="BT2054" s="59"/>
      <c r="BU2054" s="59"/>
      <c r="BV2054" s="59"/>
      <c r="BW2054" s="59"/>
      <c r="BX2054" s="59"/>
      <c r="BY2054" s="59"/>
      <c r="BZ2054" s="59"/>
      <c r="CA2054" s="59"/>
      <c r="CB2054" s="59"/>
      <c r="CC2054" s="59"/>
      <c r="CD2054" s="59"/>
      <c r="CE2054" s="59"/>
      <c r="CF2054" s="59"/>
      <c r="CG2054" s="59"/>
      <c r="CH2054" s="59"/>
      <c r="CI2054" s="59"/>
      <c r="CJ2054" s="59"/>
      <c r="CK2054" s="59"/>
      <c r="CL2054" s="59"/>
      <c r="CM2054" s="59"/>
      <c r="CN2054" s="59"/>
      <c r="CO2054" s="59"/>
      <c r="CP2054" s="59"/>
      <c r="CQ2054" s="59"/>
      <c r="CR2054" s="59"/>
      <c r="CS2054" s="59"/>
      <c r="CT2054" s="59"/>
      <c r="CU2054" s="59"/>
      <c r="CV2054" s="59"/>
      <c r="CW2054" s="59"/>
      <c r="CX2054" s="59"/>
      <c r="CY2054" s="59"/>
      <c r="CZ2054" s="59"/>
      <c r="DA2054" s="59"/>
      <c r="DB2054" s="59"/>
      <c r="DC2054" s="59"/>
      <c r="DD2054" s="59"/>
      <c r="DE2054" s="59"/>
      <c r="DF2054" s="59"/>
      <c r="DG2054" s="59"/>
      <c r="DH2054" s="59"/>
      <c r="DI2054" s="59"/>
      <c r="DJ2054" s="59"/>
      <c r="DK2054" s="59"/>
      <c r="DL2054" s="59"/>
      <c r="DM2054" s="59"/>
      <c r="DN2054" s="59"/>
      <c r="DO2054" s="59"/>
      <c r="DP2054" s="59"/>
      <c r="DQ2054" s="59"/>
      <c r="DR2054" s="59"/>
      <c r="DS2054" s="59"/>
      <c r="DT2054" s="59"/>
      <c r="DU2054" s="59"/>
      <c r="DV2054" s="59"/>
    </row>
    <row r="2055" spans="1:126" x14ac:dyDescent="0.3">
      <c r="A2055" s="5"/>
      <c r="B2055" s="5" t="s">
        <v>506</v>
      </c>
      <c r="C2055" s="5"/>
      <c r="D2055" s="5" t="s">
        <v>8</v>
      </c>
      <c r="E2055" s="15">
        <f>1696</f>
        <v>1696</v>
      </c>
      <c r="F2055" s="15"/>
      <c r="G2055" s="15"/>
    </row>
    <row r="2056" spans="1:126" x14ac:dyDescent="0.3">
      <c r="A2056" s="5"/>
      <c r="B2056" s="5" t="s">
        <v>494</v>
      </c>
      <c r="C2056" s="5"/>
      <c r="D2056" s="5" t="s">
        <v>8</v>
      </c>
      <c r="E2056" s="15">
        <f>14.55</f>
        <v>14.55</v>
      </c>
      <c r="F2056" s="15"/>
      <c r="G2056" s="15"/>
    </row>
    <row r="2057" spans="1:126" x14ac:dyDescent="0.3">
      <c r="A2057" s="5"/>
      <c r="B2057" s="5" t="s">
        <v>507</v>
      </c>
      <c r="C2057" s="5"/>
      <c r="D2057" s="5" t="s">
        <v>10</v>
      </c>
      <c r="E2057" s="15">
        <f>18186*0.15</f>
        <v>2727.9</v>
      </c>
      <c r="F2057" s="15"/>
      <c r="G2057" s="15"/>
    </row>
    <row r="2058" spans="1:126" s="3" customFormat="1" x14ac:dyDescent="0.3">
      <c r="A2058" s="21"/>
      <c r="B2058" s="26" t="s">
        <v>508</v>
      </c>
      <c r="C2058" s="21"/>
      <c r="D2058" s="21"/>
      <c r="E2058" s="22"/>
      <c r="F2058" s="22"/>
      <c r="G2058" s="22"/>
      <c r="H2058" s="59"/>
      <c r="I2058" s="59"/>
      <c r="J2058" s="59"/>
      <c r="K2058" s="59"/>
      <c r="L2058" s="59"/>
      <c r="M2058" s="59"/>
      <c r="N2058" s="59"/>
      <c r="O2058" s="59"/>
      <c r="P2058" s="59"/>
      <c r="Q2058" s="59"/>
      <c r="R2058" s="59"/>
      <c r="S2058" s="59"/>
      <c r="T2058" s="59"/>
      <c r="U2058" s="59"/>
      <c r="V2058" s="59"/>
      <c r="W2058" s="59"/>
      <c r="X2058" s="59"/>
      <c r="Y2058" s="59"/>
      <c r="Z2058" s="59"/>
      <c r="AA2058" s="59"/>
      <c r="AB2058" s="59"/>
      <c r="AC2058" s="59"/>
      <c r="AD2058" s="59"/>
      <c r="AE2058" s="59"/>
      <c r="AF2058" s="59"/>
      <c r="AG2058" s="59"/>
      <c r="AH2058" s="59"/>
      <c r="AI2058" s="59"/>
      <c r="AJ2058" s="59"/>
      <c r="AK2058" s="59"/>
      <c r="AL2058" s="59"/>
      <c r="AM2058" s="59"/>
      <c r="AN2058" s="59"/>
      <c r="AO2058" s="59"/>
      <c r="AP2058" s="59"/>
      <c r="AQ2058" s="59"/>
      <c r="AR2058" s="59"/>
      <c r="AS2058" s="59"/>
      <c r="AT2058" s="59"/>
      <c r="AU2058" s="59"/>
      <c r="AV2058" s="59"/>
      <c r="AW2058" s="59"/>
      <c r="AX2058" s="59"/>
      <c r="AY2058" s="59"/>
      <c r="AZ2058" s="59"/>
      <c r="BA2058" s="59"/>
      <c r="BB2058" s="59"/>
      <c r="BC2058" s="59"/>
      <c r="BD2058" s="59"/>
      <c r="BE2058" s="59"/>
      <c r="BF2058" s="59"/>
      <c r="BG2058" s="59"/>
      <c r="BH2058" s="59"/>
      <c r="BI2058" s="59"/>
      <c r="BJ2058" s="59"/>
      <c r="BK2058" s="59"/>
      <c r="BL2058" s="59"/>
      <c r="BM2058" s="59"/>
      <c r="BN2058" s="59"/>
      <c r="BO2058" s="59"/>
      <c r="BP2058" s="59"/>
      <c r="BQ2058" s="59"/>
      <c r="BR2058" s="59"/>
      <c r="BS2058" s="59"/>
      <c r="BT2058" s="59"/>
      <c r="BU2058" s="59"/>
      <c r="BV2058" s="59"/>
      <c r="BW2058" s="59"/>
      <c r="BX2058" s="59"/>
      <c r="BY2058" s="59"/>
      <c r="BZ2058" s="59"/>
      <c r="CA2058" s="59"/>
      <c r="CB2058" s="59"/>
      <c r="CC2058" s="59"/>
      <c r="CD2058" s="59"/>
      <c r="CE2058" s="59"/>
      <c r="CF2058" s="59"/>
      <c r="CG2058" s="59"/>
      <c r="CH2058" s="59"/>
      <c r="CI2058" s="59"/>
      <c r="CJ2058" s="59"/>
      <c r="CK2058" s="59"/>
      <c r="CL2058" s="59"/>
      <c r="CM2058" s="59"/>
      <c r="CN2058" s="59"/>
      <c r="CO2058" s="59"/>
      <c r="CP2058" s="59"/>
      <c r="CQ2058" s="59"/>
      <c r="CR2058" s="59"/>
      <c r="CS2058" s="59"/>
      <c r="CT2058" s="59"/>
      <c r="CU2058" s="59"/>
      <c r="CV2058" s="59"/>
      <c r="CW2058" s="59"/>
      <c r="CX2058" s="59"/>
      <c r="CY2058" s="59"/>
      <c r="CZ2058" s="59"/>
      <c r="DA2058" s="59"/>
      <c r="DB2058" s="59"/>
      <c r="DC2058" s="59"/>
      <c r="DD2058" s="59"/>
      <c r="DE2058" s="59"/>
      <c r="DF2058" s="59"/>
      <c r="DG2058" s="59"/>
      <c r="DH2058" s="59"/>
      <c r="DI2058" s="59"/>
      <c r="DJ2058" s="59"/>
      <c r="DK2058" s="59"/>
      <c r="DL2058" s="59"/>
      <c r="DM2058" s="59"/>
      <c r="DN2058" s="59"/>
      <c r="DO2058" s="59"/>
      <c r="DP2058" s="59"/>
      <c r="DQ2058" s="59"/>
      <c r="DR2058" s="59"/>
      <c r="DS2058" s="59"/>
      <c r="DT2058" s="59"/>
      <c r="DU2058" s="59"/>
      <c r="DV2058" s="59"/>
    </row>
    <row r="2059" spans="1:126" x14ac:dyDescent="0.3">
      <c r="A2059" s="5"/>
      <c r="B2059" s="5" t="s">
        <v>509</v>
      </c>
      <c r="C2059" s="5"/>
      <c r="D2059" s="5" t="s">
        <v>10</v>
      </c>
      <c r="E2059" s="15">
        <f>10582*0.15</f>
        <v>1587.3</v>
      </c>
      <c r="F2059" s="15"/>
      <c r="G2059" s="15"/>
    </row>
    <row r="2060" spans="1:126" x14ac:dyDescent="0.3">
      <c r="A2060" s="5"/>
      <c r="B2060" s="5" t="s">
        <v>510</v>
      </c>
      <c r="C2060" s="5"/>
      <c r="D2060" s="5" t="s">
        <v>74</v>
      </c>
      <c r="E2060" s="15">
        <f>9074</f>
        <v>9074</v>
      </c>
      <c r="F2060" s="15"/>
      <c r="G2060" s="15"/>
    </row>
    <row r="2061" spans="1:126" s="3" customFormat="1" x14ac:dyDescent="0.3">
      <c r="A2061" s="21"/>
      <c r="B2061" s="26" t="s">
        <v>511</v>
      </c>
      <c r="C2061" s="21"/>
      <c r="D2061" s="21"/>
      <c r="E2061" s="22"/>
      <c r="F2061" s="22"/>
      <c r="G2061" s="22"/>
      <c r="H2061" s="59"/>
      <c r="I2061" s="59"/>
      <c r="J2061" s="59"/>
      <c r="K2061" s="59"/>
      <c r="L2061" s="59"/>
      <c r="M2061" s="59"/>
      <c r="N2061" s="59"/>
      <c r="O2061" s="59"/>
      <c r="P2061" s="59"/>
      <c r="Q2061" s="59"/>
      <c r="R2061" s="59"/>
      <c r="S2061" s="59"/>
      <c r="T2061" s="59"/>
      <c r="U2061" s="59"/>
      <c r="V2061" s="59"/>
      <c r="W2061" s="59"/>
      <c r="X2061" s="59"/>
      <c r="Y2061" s="59"/>
      <c r="Z2061" s="59"/>
      <c r="AA2061" s="59"/>
      <c r="AB2061" s="59"/>
      <c r="AC2061" s="59"/>
      <c r="AD2061" s="59"/>
      <c r="AE2061" s="59"/>
      <c r="AF2061" s="59"/>
      <c r="AG2061" s="59"/>
      <c r="AH2061" s="59"/>
      <c r="AI2061" s="59"/>
      <c r="AJ2061" s="59"/>
      <c r="AK2061" s="59"/>
      <c r="AL2061" s="59"/>
      <c r="AM2061" s="59"/>
      <c r="AN2061" s="59"/>
      <c r="AO2061" s="59"/>
      <c r="AP2061" s="59"/>
      <c r="AQ2061" s="59"/>
      <c r="AR2061" s="59"/>
      <c r="AS2061" s="59"/>
      <c r="AT2061" s="59"/>
      <c r="AU2061" s="59"/>
      <c r="AV2061" s="59"/>
      <c r="AW2061" s="59"/>
      <c r="AX2061" s="59"/>
      <c r="AY2061" s="59"/>
      <c r="AZ2061" s="59"/>
      <c r="BA2061" s="59"/>
      <c r="BB2061" s="59"/>
      <c r="BC2061" s="59"/>
      <c r="BD2061" s="59"/>
      <c r="BE2061" s="59"/>
      <c r="BF2061" s="59"/>
      <c r="BG2061" s="59"/>
      <c r="BH2061" s="59"/>
      <c r="BI2061" s="59"/>
      <c r="BJ2061" s="59"/>
      <c r="BK2061" s="59"/>
      <c r="BL2061" s="59"/>
      <c r="BM2061" s="59"/>
      <c r="BN2061" s="59"/>
      <c r="BO2061" s="59"/>
      <c r="BP2061" s="59"/>
      <c r="BQ2061" s="59"/>
      <c r="BR2061" s="59"/>
      <c r="BS2061" s="59"/>
      <c r="BT2061" s="59"/>
      <c r="BU2061" s="59"/>
      <c r="BV2061" s="59"/>
      <c r="BW2061" s="59"/>
      <c r="BX2061" s="59"/>
      <c r="BY2061" s="59"/>
      <c r="BZ2061" s="59"/>
      <c r="CA2061" s="59"/>
      <c r="CB2061" s="59"/>
      <c r="CC2061" s="59"/>
      <c r="CD2061" s="59"/>
      <c r="CE2061" s="59"/>
      <c r="CF2061" s="59"/>
      <c r="CG2061" s="59"/>
      <c r="CH2061" s="59"/>
      <c r="CI2061" s="59"/>
      <c r="CJ2061" s="59"/>
      <c r="CK2061" s="59"/>
      <c r="CL2061" s="59"/>
      <c r="CM2061" s="59"/>
      <c r="CN2061" s="59"/>
      <c r="CO2061" s="59"/>
      <c r="CP2061" s="59"/>
      <c r="CQ2061" s="59"/>
      <c r="CR2061" s="59"/>
      <c r="CS2061" s="59"/>
      <c r="CT2061" s="59"/>
      <c r="CU2061" s="59"/>
      <c r="CV2061" s="59"/>
      <c r="CW2061" s="59"/>
      <c r="CX2061" s="59"/>
      <c r="CY2061" s="59"/>
      <c r="CZ2061" s="59"/>
      <c r="DA2061" s="59"/>
      <c r="DB2061" s="59"/>
      <c r="DC2061" s="59"/>
      <c r="DD2061" s="59"/>
      <c r="DE2061" s="59"/>
      <c r="DF2061" s="59"/>
      <c r="DG2061" s="59"/>
      <c r="DH2061" s="59"/>
      <c r="DI2061" s="59"/>
      <c r="DJ2061" s="59"/>
      <c r="DK2061" s="59"/>
      <c r="DL2061" s="59"/>
      <c r="DM2061" s="59"/>
      <c r="DN2061" s="59"/>
      <c r="DO2061" s="59"/>
      <c r="DP2061" s="59"/>
      <c r="DQ2061" s="59"/>
      <c r="DR2061" s="59"/>
      <c r="DS2061" s="59"/>
      <c r="DT2061" s="59"/>
      <c r="DU2061" s="59"/>
      <c r="DV2061" s="59"/>
    </row>
    <row r="2062" spans="1:126" x14ac:dyDescent="0.3">
      <c r="A2062" s="5"/>
      <c r="B2062" s="5" t="s">
        <v>512</v>
      </c>
      <c r="C2062" s="5"/>
      <c r="D2062" s="5" t="s">
        <v>14</v>
      </c>
      <c r="E2062" s="15">
        <f>20</f>
        <v>20</v>
      </c>
      <c r="F2062" s="15"/>
      <c r="G2062" s="15"/>
    </row>
    <row r="2063" spans="1:126" x14ac:dyDescent="0.3">
      <c r="A2063" s="5"/>
      <c r="B2063" s="5" t="s">
        <v>521</v>
      </c>
      <c r="C2063" s="5"/>
      <c r="D2063" s="5" t="s">
        <v>14</v>
      </c>
      <c r="E2063" s="15">
        <f>20</f>
        <v>20</v>
      </c>
      <c r="F2063" s="15"/>
      <c r="G2063" s="15"/>
    </row>
    <row r="2064" spans="1:126" x14ac:dyDescent="0.3">
      <c r="A2064" s="5"/>
      <c r="B2064" s="5" t="s">
        <v>513</v>
      </c>
      <c r="C2064" s="5"/>
      <c r="D2064" s="5" t="s">
        <v>14</v>
      </c>
      <c r="E2064" s="15">
        <f>1096</f>
        <v>1096</v>
      </c>
      <c r="F2064" s="15"/>
      <c r="G2064" s="15"/>
    </row>
    <row r="2065" spans="1:126" x14ac:dyDescent="0.3">
      <c r="A2065" s="5"/>
      <c r="B2065" s="5" t="s">
        <v>522</v>
      </c>
      <c r="C2065" s="5"/>
      <c r="D2065" s="5" t="s">
        <v>14</v>
      </c>
      <c r="E2065" s="15">
        <f>120</f>
        <v>120</v>
      </c>
      <c r="F2065" s="15"/>
      <c r="G2065" s="15"/>
    </row>
    <row r="2066" spans="1:126" x14ac:dyDescent="0.3">
      <c r="A2066" s="5"/>
      <c r="B2066" s="5" t="s">
        <v>523</v>
      </c>
      <c r="C2066" s="5"/>
      <c r="D2066" s="5" t="s">
        <v>14</v>
      </c>
      <c r="E2066" s="15">
        <f>4</f>
        <v>4</v>
      </c>
      <c r="F2066" s="15"/>
      <c r="G2066" s="15"/>
    </row>
    <row r="2067" spans="1:126" x14ac:dyDescent="0.3">
      <c r="A2067" s="5"/>
      <c r="B2067" s="5" t="s">
        <v>515</v>
      </c>
      <c r="C2067" s="5"/>
      <c r="D2067" s="5" t="s">
        <v>14</v>
      </c>
      <c r="E2067" s="15">
        <f>84</f>
        <v>84</v>
      </c>
      <c r="F2067" s="15"/>
      <c r="G2067" s="15"/>
    </row>
    <row r="2068" spans="1:126" x14ac:dyDescent="0.3">
      <c r="A2068" s="5"/>
      <c r="B2068" s="5" t="s">
        <v>510</v>
      </c>
      <c r="C2068" s="5"/>
      <c r="D2068" s="5" t="s">
        <v>74</v>
      </c>
      <c r="E2068" s="15">
        <f>2520</f>
        <v>2520</v>
      </c>
      <c r="F2068" s="15"/>
      <c r="G2068" s="15"/>
    </row>
    <row r="2069" spans="1:126" x14ac:dyDescent="0.3">
      <c r="A2069" s="5"/>
      <c r="B2069" s="5" t="s">
        <v>67</v>
      </c>
      <c r="C2069" s="5"/>
      <c r="D2069" s="5" t="s">
        <v>10</v>
      </c>
      <c r="E2069" s="15">
        <f>16.54</f>
        <v>16.54</v>
      </c>
      <c r="F2069" s="15"/>
      <c r="G2069" s="15"/>
    </row>
    <row r="2070" spans="1:126" s="25" customFormat="1" x14ac:dyDescent="0.3">
      <c r="A2070" s="23"/>
      <c r="B2070" s="23" t="s">
        <v>524</v>
      </c>
      <c r="C2070" s="23"/>
      <c r="D2070" s="23"/>
      <c r="E2070" s="24"/>
      <c r="F2070" s="24"/>
      <c r="G2070" s="24"/>
      <c r="H2070" s="59"/>
      <c r="I2070" s="59"/>
      <c r="J2070" s="59"/>
      <c r="K2070" s="59"/>
      <c r="L2070" s="59"/>
      <c r="M2070" s="59"/>
      <c r="N2070" s="59"/>
      <c r="O2070" s="59"/>
      <c r="P2070" s="59"/>
      <c r="Q2070" s="59"/>
      <c r="R2070" s="59"/>
      <c r="S2070" s="59"/>
      <c r="T2070" s="59"/>
      <c r="U2070" s="59"/>
      <c r="V2070" s="59"/>
      <c r="W2070" s="59"/>
      <c r="X2070" s="59"/>
      <c r="Y2070" s="59"/>
      <c r="Z2070" s="59"/>
      <c r="AA2070" s="59"/>
      <c r="AB2070" s="59"/>
      <c r="AC2070" s="59"/>
      <c r="AD2070" s="59"/>
      <c r="AE2070" s="59"/>
      <c r="AF2070" s="59"/>
      <c r="AG2070" s="59"/>
      <c r="AH2070" s="59"/>
      <c r="AI2070" s="59"/>
      <c r="AJ2070" s="59"/>
      <c r="AK2070" s="59"/>
      <c r="AL2070" s="59"/>
      <c r="AM2070" s="59"/>
      <c r="AN2070" s="59"/>
      <c r="AO2070" s="59"/>
      <c r="AP2070" s="59"/>
      <c r="AQ2070" s="59"/>
      <c r="AR2070" s="59"/>
      <c r="AS2070" s="59"/>
      <c r="AT2070" s="59"/>
      <c r="AU2070" s="59"/>
      <c r="AV2070" s="59"/>
      <c r="AW2070" s="59"/>
      <c r="AX2070" s="59"/>
      <c r="AY2070" s="59"/>
      <c r="AZ2070" s="59"/>
      <c r="BA2070" s="59"/>
      <c r="BB2070" s="59"/>
      <c r="BC2070" s="59"/>
      <c r="BD2070" s="59"/>
      <c r="BE2070" s="59"/>
      <c r="BF2070" s="59"/>
      <c r="BG2070" s="59"/>
      <c r="BH2070" s="59"/>
      <c r="BI2070" s="59"/>
      <c r="BJ2070" s="59"/>
      <c r="BK2070" s="59"/>
      <c r="BL2070" s="59"/>
      <c r="BM2070" s="59"/>
      <c r="BN2070" s="59"/>
      <c r="BO2070" s="59"/>
      <c r="BP2070" s="59"/>
      <c r="BQ2070" s="59"/>
      <c r="BR2070" s="59"/>
      <c r="BS2070" s="59"/>
      <c r="BT2070" s="59"/>
      <c r="BU2070" s="59"/>
      <c r="BV2070" s="59"/>
      <c r="BW2070" s="59"/>
      <c r="BX2070" s="59"/>
      <c r="BY2070" s="59"/>
      <c r="BZ2070" s="59"/>
      <c r="CA2070" s="59"/>
      <c r="CB2070" s="59"/>
      <c r="CC2070" s="59"/>
      <c r="CD2070" s="59"/>
      <c r="CE2070" s="59"/>
      <c r="CF2070" s="59"/>
      <c r="CG2070" s="59"/>
      <c r="CH2070" s="59"/>
      <c r="CI2070" s="59"/>
      <c r="CJ2070" s="59"/>
      <c r="CK2070" s="59"/>
      <c r="CL2070" s="59"/>
      <c r="CM2070" s="59"/>
      <c r="CN2070" s="59"/>
      <c r="CO2070" s="59"/>
      <c r="CP2070" s="59"/>
      <c r="CQ2070" s="59"/>
      <c r="CR2070" s="59"/>
      <c r="CS2070" s="59"/>
      <c r="CT2070" s="59"/>
      <c r="CU2070" s="59"/>
      <c r="CV2070" s="59"/>
      <c r="CW2070" s="59"/>
      <c r="CX2070" s="59"/>
      <c r="CY2070" s="59"/>
      <c r="CZ2070" s="59"/>
      <c r="DA2070" s="59"/>
      <c r="DB2070" s="59"/>
      <c r="DC2070" s="59"/>
      <c r="DD2070" s="59"/>
      <c r="DE2070" s="59"/>
      <c r="DF2070" s="59"/>
      <c r="DG2070" s="59"/>
      <c r="DH2070" s="59"/>
      <c r="DI2070" s="59"/>
      <c r="DJ2070" s="59"/>
      <c r="DK2070" s="59"/>
      <c r="DL2070" s="59"/>
      <c r="DM2070" s="59"/>
      <c r="DN2070" s="59"/>
      <c r="DO2070" s="59"/>
      <c r="DP2070" s="59"/>
      <c r="DQ2070" s="59"/>
      <c r="DR2070" s="59"/>
      <c r="DS2070" s="59"/>
      <c r="DT2070" s="59"/>
      <c r="DU2070" s="59"/>
      <c r="DV2070" s="59"/>
    </row>
    <row r="2071" spans="1:126" x14ac:dyDescent="0.3">
      <c r="A2071" s="5"/>
      <c r="B2071" s="5" t="s">
        <v>525</v>
      </c>
      <c r="C2071" s="5"/>
      <c r="D2071" s="5" t="s">
        <v>10</v>
      </c>
      <c r="E2071" s="15">
        <f>62</f>
        <v>62</v>
      </c>
      <c r="F2071" s="15"/>
      <c r="G2071" s="15"/>
    </row>
    <row r="2072" spans="1:126" x14ac:dyDescent="0.3">
      <c r="A2072" s="5"/>
      <c r="B2072" s="5" t="s">
        <v>526</v>
      </c>
      <c r="C2072" s="5"/>
      <c r="D2072" s="5" t="s">
        <v>10</v>
      </c>
      <c r="E2072" s="15">
        <f>48</f>
        <v>48</v>
      </c>
      <c r="F2072" s="15"/>
      <c r="G2072" s="15"/>
    </row>
    <row r="2073" spans="1:126" x14ac:dyDescent="0.3">
      <c r="A2073" s="5"/>
      <c r="B2073" s="5" t="s">
        <v>527</v>
      </c>
      <c r="C2073" s="5"/>
      <c r="D2073" s="5" t="s">
        <v>74</v>
      </c>
      <c r="E2073" s="15">
        <f>34</f>
        <v>34</v>
      </c>
      <c r="F2073" s="15"/>
      <c r="G2073" s="15"/>
    </row>
    <row r="2074" spans="1:126" x14ac:dyDescent="0.3">
      <c r="A2074" s="5"/>
      <c r="B2074" s="5" t="s">
        <v>528</v>
      </c>
      <c r="C2074" s="5"/>
      <c r="D2074" s="5" t="s">
        <v>14</v>
      </c>
      <c r="E2074" s="15">
        <f>816</f>
        <v>816</v>
      </c>
      <c r="F2074" s="15"/>
      <c r="G2074" s="15"/>
    </row>
    <row r="2075" spans="1:126" x14ac:dyDescent="0.3">
      <c r="A2075" s="5"/>
      <c r="B2075" s="5" t="s">
        <v>529</v>
      </c>
      <c r="C2075" s="5"/>
      <c r="D2075" s="5" t="s">
        <v>69</v>
      </c>
      <c r="E2075" s="15">
        <f>200</f>
        <v>200</v>
      </c>
      <c r="F2075" s="15"/>
      <c r="G2075" s="15"/>
    </row>
    <row r="2076" spans="1:126" x14ac:dyDescent="0.3">
      <c r="A2076" s="5"/>
      <c r="B2076" s="5" t="s">
        <v>525</v>
      </c>
      <c r="C2076" s="5"/>
      <c r="D2076" s="5" t="s">
        <v>10</v>
      </c>
      <c r="E2076" s="15">
        <f>360</f>
        <v>360</v>
      </c>
      <c r="F2076" s="15"/>
      <c r="G2076" s="15"/>
    </row>
    <row r="2077" spans="1:126" x14ac:dyDescent="0.3">
      <c r="A2077" s="5"/>
      <c r="B2077" s="5" t="s">
        <v>530</v>
      </c>
      <c r="C2077" s="5"/>
      <c r="D2077" s="5" t="s">
        <v>10</v>
      </c>
      <c r="E2077" s="15">
        <f>3</f>
        <v>3</v>
      </c>
      <c r="F2077" s="15"/>
      <c r="G2077" s="15"/>
    </row>
    <row r="2078" spans="1:126" x14ac:dyDescent="0.3">
      <c r="A2078" s="5"/>
      <c r="B2078" s="5" t="s">
        <v>529</v>
      </c>
      <c r="C2078" s="5"/>
      <c r="D2078" s="5" t="s">
        <v>69</v>
      </c>
      <c r="E2078" s="15">
        <f>65</f>
        <v>65</v>
      </c>
      <c r="F2078" s="15"/>
      <c r="G2078" s="15"/>
    </row>
    <row r="2079" spans="1:126" x14ac:dyDescent="0.3">
      <c r="A2079" s="5"/>
      <c r="B2079" s="5" t="s">
        <v>531</v>
      </c>
      <c r="C2079" s="5"/>
      <c r="D2079" s="5" t="s">
        <v>10</v>
      </c>
      <c r="E2079" s="15">
        <f>44</f>
        <v>44</v>
      </c>
      <c r="F2079" s="15"/>
      <c r="G2079" s="15"/>
    </row>
    <row r="2080" spans="1:126" x14ac:dyDescent="0.3">
      <c r="A2080" s="5"/>
      <c r="B2080" s="5" t="s">
        <v>532</v>
      </c>
      <c r="C2080" s="5"/>
      <c r="D2080" s="5" t="s">
        <v>69</v>
      </c>
      <c r="E2080" s="15">
        <f>42</f>
        <v>42</v>
      </c>
      <c r="F2080" s="15"/>
      <c r="G2080" s="15"/>
    </row>
    <row r="2081" spans="1:126" x14ac:dyDescent="0.3">
      <c r="A2081" s="5"/>
      <c r="B2081" s="5" t="s">
        <v>531</v>
      </c>
      <c r="C2081" s="5"/>
      <c r="D2081" s="5" t="s">
        <v>10</v>
      </c>
      <c r="E2081" s="15">
        <f>16</f>
        <v>16</v>
      </c>
      <c r="F2081" s="15"/>
      <c r="G2081" s="15"/>
    </row>
    <row r="2082" spans="1:126" s="25" customFormat="1" x14ac:dyDescent="0.3">
      <c r="A2082" s="23"/>
      <c r="B2082" s="23" t="s">
        <v>533</v>
      </c>
      <c r="C2082" s="23"/>
      <c r="D2082" s="23"/>
      <c r="E2082" s="24"/>
      <c r="F2082" s="24"/>
      <c r="G2082" s="24"/>
      <c r="H2082" s="59"/>
      <c r="I2082" s="59"/>
      <c r="J2082" s="59"/>
      <c r="K2082" s="59"/>
      <c r="L2082" s="59"/>
      <c r="M2082" s="59"/>
      <c r="N2082" s="59"/>
      <c r="O2082" s="59"/>
      <c r="P2082" s="59"/>
      <c r="Q2082" s="59"/>
      <c r="R2082" s="59"/>
      <c r="S2082" s="59"/>
      <c r="T2082" s="59"/>
      <c r="U2082" s="59"/>
      <c r="V2082" s="59"/>
      <c r="W2082" s="59"/>
      <c r="X2082" s="59"/>
      <c r="Y2082" s="59"/>
      <c r="Z2082" s="59"/>
      <c r="AA2082" s="59"/>
      <c r="AB2082" s="59"/>
      <c r="AC2082" s="59"/>
      <c r="AD2082" s="59"/>
      <c r="AE2082" s="59"/>
      <c r="AF2082" s="59"/>
      <c r="AG2082" s="59"/>
      <c r="AH2082" s="59"/>
      <c r="AI2082" s="59"/>
      <c r="AJ2082" s="59"/>
      <c r="AK2082" s="59"/>
      <c r="AL2082" s="59"/>
      <c r="AM2082" s="59"/>
      <c r="AN2082" s="59"/>
      <c r="AO2082" s="59"/>
      <c r="AP2082" s="59"/>
      <c r="AQ2082" s="59"/>
      <c r="AR2082" s="59"/>
      <c r="AS2082" s="59"/>
      <c r="AT2082" s="59"/>
      <c r="AU2082" s="59"/>
      <c r="AV2082" s="59"/>
      <c r="AW2082" s="59"/>
      <c r="AX2082" s="59"/>
      <c r="AY2082" s="59"/>
      <c r="AZ2082" s="59"/>
      <c r="BA2082" s="59"/>
      <c r="BB2082" s="59"/>
      <c r="BC2082" s="59"/>
      <c r="BD2082" s="59"/>
      <c r="BE2082" s="59"/>
      <c r="BF2082" s="59"/>
      <c r="BG2082" s="59"/>
      <c r="BH2082" s="59"/>
      <c r="BI2082" s="59"/>
      <c r="BJ2082" s="59"/>
      <c r="BK2082" s="59"/>
      <c r="BL2082" s="59"/>
      <c r="BM2082" s="59"/>
      <c r="BN2082" s="59"/>
      <c r="BO2082" s="59"/>
      <c r="BP2082" s="59"/>
      <c r="BQ2082" s="59"/>
      <c r="BR2082" s="59"/>
      <c r="BS2082" s="59"/>
      <c r="BT2082" s="59"/>
      <c r="BU2082" s="59"/>
      <c r="BV2082" s="59"/>
      <c r="BW2082" s="59"/>
      <c r="BX2082" s="59"/>
      <c r="BY2082" s="59"/>
      <c r="BZ2082" s="59"/>
      <c r="CA2082" s="59"/>
      <c r="CB2082" s="59"/>
      <c r="CC2082" s="59"/>
      <c r="CD2082" s="59"/>
      <c r="CE2082" s="59"/>
      <c r="CF2082" s="59"/>
      <c r="CG2082" s="59"/>
      <c r="CH2082" s="59"/>
      <c r="CI2082" s="59"/>
      <c r="CJ2082" s="59"/>
      <c r="CK2082" s="59"/>
      <c r="CL2082" s="59"/>
      <c r="CM2082" s="59"/>
      <c r="CN2082" s="59"/>
      <c r="CO2082" s="59"/>
      <c r="CP2082" s="59"/>
      <c r="CQ2082" s="59"/>
      <c r="CR2082" s="59"/>
      <c r="CS2082" s="59"/>
      <c r="CT2082" s="59"/>
      <c r="CU2082" s="59"/>
      <c r="CV2082" s="59"/>
      <c r="CW2082" s="59"/>
      <c r="CX2082" s="59"/>
      <c r="CY2082" s="59"/>
      <c r="CZ2082" s="59"/>
      <c r="DA2082" s="59"/>
      <c r="DB2082" s="59"/>
      <c r="DC2082" s="59"/>
      <c r="DD2082" s="59"/>
      <c r="DE2082" s="59"/>
      <c r="DF2082" s="59"/>
      <c r="DG2082" s="59"/>
      <c r="DH2082" s="59"/>
      <c r="DI2082" s="59"/>
      <c r="DJ2082" s="59"/>
      <c r="DK2082" s="59"/>
      <c r="DL2082" s="59"/>
      <c r="DM2082" s="59"/>
      <c r="DN2082" s="59"/>
      <c r="DO2082" s="59"/>
      <c r="DP2082" s="59"/>
      <c r="DQ2082" s="59"/>
      <c r="DR2082" s="59"/>
      <c r="DS2082" s="59"/>
      <c r="DT2082" s="59"/>
      <c r="DU2082" s="59"/>
      <c r="DV2082" s="59"/>
    </row>
    <row r="2083" spans="1:126" x14ac:dyDescent="0.3">
      <c r="A2083" s="5"/>
      <c r="B2083" s="5" t="s">
        <v>481</v>
      </c>
      <c r="C2083" s="5"/>
      <c r="D2083" s="5" t="s">
        <v>10</v>
      </c>
      <c r="E2083" s="15">
        <f>202530</f>
        <v>202530</v>
      </c>
      <c r="F2083" s="15"/>
      <c r="G2083" s="15"/>
    </row>
    <row r="2084" spans="1:126" x14ac:dyDescent="0.3">
      <c r="A2084" s="5"/>
      <c r="B2084" s="5" t="s">
        <v>481</v>
      </c>
      <c r="C2084" s="5"/>
      <c r="D2084" s="5" t="s">
        <v>10</v>
      </c>
      <c r="E2084" s="15">
        <f>2258212</f>
        <v>2258212</v>
      </c>
      <c r="F2084" s="15"/>
      <c r="G2084" s="15"/>
    </row>
    <row r="2085" spans="1:126" x14ac:dyDescent="0.3">
      <c r="A2085" s="5"/>
      <c r="B2085" s="5" t="s">
        <v>534</v>
      </c>
      <c r="C2085" s="5"/>
      <c r="D2085" s="5" t="s">
        <v>10</v>
      </c>
      <c r="E2085" s="15">
        <f>255397</f>
        <v>255397</v>
      </c>
      <c r="F2085" s="15"/>
      <c r="G2085" s="15"/>
    </row>
    <row r="2086" spans="1:126" x14ac:dyDescent="0.3">
      <c r="A2086" s="5"/>
      <c r="B2086" s="5" t="s">
        <v>482</v>
      </c>
      <c r="C2086" s="5"/>
      <c r="D2086" s="5" t="s">
        <v>69</v>
      </c>
      <c r="E2086" s="15">
        <f>417140</f>
        <v>417140</v>
      </c>
      <c r="F2086" s="15"/>
      <c r="G2086" s="15"/>
    </row>
    <row r="2087" spans="1:126" x14ac:dyDescent="0.3">
      <c r="A2087" s="5"/>
      <c r="B2087" s="5" t="s">
        <v>483</v>
      </c>
      <c r="C2087" s="5"/>
      <c r="D2087" s="5" t="s">
        <v>8</v>
      </c>
      <c r="E2087" s="15">
        <f>0.7</f>
        <v>0.7</v>
      </c>
      <c r="F2087" s="15"/>
      <c r="G2087" s="15"/>
    </row>
    <row r="2088" spans="1:126" s="3" customFormat="1" x14ac:dyDescent="0.3">
      <c r="A2088" s="21"/>
      <c r="B2088" s="21" t="s">
        <v>487</v>
      </c>
      <c r="C2088" s="21"/>
      <c r="D2088" s="21"/>
      <c r="E2088" s="22"/>
      <c r="F2088" s="22"/>
      <c r="G2088" s="22"/>
      <c r="H2088" s="59"/>
      <c r="I2088" s="59"/>
      <c r="J2088" s="59"/>
      <c r="K2088" s="59"/>
      <c r="L2088" s="59"/>
      <c r="M2088" s="59"/>
      <c r="N2088" s="59"/>
      <c r="O2088" s="59"/>
      <c r="P2088" s="59"/>
      <c r="Q2088" s="59"/>
      <c r="R2088" s="59"/>
      <c r="S2088" s="59"/>
      <c r="T2088" s="59"/>
      <c r="U2088" s="59"/>
      <c r="V2088" s="59"/>
      <c r="W2088" s="59"/>
      <c r="X2088" s="59"/>
      <c r="Y2088" s="59"/>
      <c r="Z2088" s="59"/>
      <c r="AA2088" s="59"/>
      <c r="AB2088" s="59"/>
      <c r="AC2088" s="59"/>
      <c r="AD2088" s="59"/>
      <c r="AE2088" s="59"/>
      <c r="AF2088" s="59"/>
      <c r="AG2088" s="59"/>
      <c r="AH2088" s="59"/>
      <c r="AI2088" s="59"/>
      <c r="AJ2088" s="59"/>
      <c r="AK2088" s="59"/>
      <c r="AL2088" s="59"/>
      <c r="AM2088" s="59"/>
      <c r="AN2088" s="59"/>
      <c r="AO2088" s="59"/>
      <c r="AP2088" s="59"/>
      <c r="AQ2088" s="59"/>
      <c r="AR2088" s="59"/>
      <c r="AS2088" s="59"/>
      <c r="AT2088" s="59"/>
      <c r="AU2088" s="59"/>
      <c r="AV2088" s="59"/>
      <c r="AW2088" s="59"/>
      <c r="AX2088" s="59"/>
      <c r="AY2088" s="59"/>
      <c r="AZ2088" s="59"/>
      <c r="BA2088" s="59"/>
      <c r="BB2088" s="59"/>
      <c r="BC2088" s="59"/>
      <c r="BD2088" s="59"/>
      <c r="BE2088" s="59"/>
      <c r="BF2088" s="59"/>
      <c r="BG2088" s="59"/>
      <c r="BH2088" s="59"/>
      <c r="BI2088" s="59"/>
      <c r="BJ2088" s="59"/>
      <c r="BK2088" s="59"/>
      <c r="BL2088" s="59"/>
      <c r="BM2088" s="59"/>
      <c r="BN2088" s="59"/>
      <c r="BO2088" s="59"/>
      <c r="BP2088" s="59"/>
      <c r="BQ2088" s="59"/>
      <c r="BR2088" s="59"/>
      <c r="BS2088" s="59"/>
      <c r="BT2088" s="59"/>
      <c r="BU2088" s="59"/>
      <c r="BV2088" s="59"/>
      <c r="BW2088" s="59"/>
      <c r="BX2088" s="59"/>
      <c r="BY2088" s="59"/>
      <c r="BZ2088" s="59"/>
      <c r="CA2088" s="59"/>
      <c r="CB2088" s="59"/>
      <c r="CC2088" s="59"/>
      <c r="CD2088" s="59"/>
      <c r="CE2088" s="59"/>
      <c r="CF2088" s="59"/>
      <c r="CG2088" s="59"/>
      <c r="CH2088" s="59"/>
      <c r="CI2088" s="59"/>
      <c r="CJ2088" s="59"/>
      <c r="CK2088" s="59"/>
      <c r="CL2088" s="59"/>
      <c r="CM2088" s="59"/>
      <c r="CN2088" s="59"/>
      <c r="CO2088" s="59"/>
      <c r="CP2088" s="59"/>
      <c r="CQ2088" s="59"/>
      <c r="CR2088" s="59"/>
      <c r="CS2088" s="59"/>
      <c r="CT2088" s="59"/>
      <c r="CU2088" s="59"/>
      <c r="CV2088" s="59"/>
      <c r="CW2088" s="59"/>
      <c r="CX2088" s="59"/>
      <c r="CY2088" s="59"/>
      <c r="CZ2088" s="59"/>
      <c r="DA2088" s="59"/>
      <c r="DB2088" s="59"/>
      <c r="DC2088" s="59"/>
      <c r="DD2088" s="59"/>
      <c r="DE2088" s="59"/>
      <c r="DF2088" s="59"/>
      <c r="DG2088" s="59"/>
      <c r="DH2088" s="59"/>
      <c r="DI2088" s="59"/>
      <c r="DJ2088" s="59"/>
      <c r="DK2088" s="59"/>
      <c r="DL2088" s="59"/>
      <c r="DM2088" s="59"/>
      <c r="DN2088" s="59"/>
      <c r="DO2088" s="59"/>
      <c r="DP2088" s="59"/>
      <c r="DQ2088" s="59"/>
      <c r="DR2088" s="59"/>
      <c r="DS2088" s="59"/>
      <c r="DT2088" s="59"/>
      <c r="DU2088" s="59"/>
      <c r="DV2088" s="59"/>
    </row>
    <row r="2089" spans="1:126" x14ac:dyDescent="0.3">
      <c r="A2089" s="5"/>
      <c r="B2089" s="5" t="s">
        <v>484</v>
      </c>
      <c r="C2089" s="5"/>
      <c r="D2089" s="5" t="s">
        <v>69</v>
      </c>
      <c r="E2089" s="15">
        <f>236153</f>
        <v>236153</v>
      </c>
      <c r="F2089" s="15"/>
      <c r="G2089" s="15"/>
    </row>
    <row r="2090" spans="1:126" x14ac:dyDescent="0.3">
      <c r="A2090" s="5"/>
      <c r="B2090" s="5" t="s">
        <v>535</v>
      </c>
      <c r="C2090" s="5"/>
      <c r="D2090" s="5" t="s">
        <v>10</v>
      </c>
      <c r="E2090" s="15">
        <f>45855</f>
        <v>45855</v>
      </c>
      <c r="F2090" s="15"/>
      <c r="G2090" s="15"/>
    </row>
    <row r="2091" spans="1:126" x14ac:dyDescent="0.3">
      <c r="A2091" s="5"/>
      <c r="B2091" s="5" t="s">
        <v>536</v>
      </c>
      <c r="C2091" s="5"/>
      <c r="D2091" s="5" t="s">
        <v>10</v>
      </c>
      <c r="E2091" s="15">
        <f>229275*0.15</f>
        <v>34391.25</v>
      </c>
      <c r="F2091" s="15"/>
      <c r="G2091" s="15"/>
    </row>
    <row r="2092" spans="1:126" x14ac:dyDescent="0.3">
      <c r="A2092" s="5"/>
      <c r="B2092" s="5" t="s">
        <v>537</v>
      </c>
      <c r="C2092" s="5"/>
      <c r="D2092" s="5" t="s">
        <v>14</v>
      </c>
      <c r="E2092" s="15">
        <f>6276</f>
        <v>6276</v>
      </c>
      <c r="F2092" s="15"/>
      <c r="G2092" s="15"/>
    </row>
    <row r="2093" spans="1:126" x14ac:dyDescent="0.3">
      <c r="A2093" s="5"/>
      <c r="B2093" s="5" t="s">
        <v>538</v>
      </c>
      <c r="C2093" s="5"/>
      <c r="D2093" s="5" t="s">
        <v>10</v>
      </c>
      <c r="E2093" s="15">
        <f>823</f>
        <v>823</v>
      </c>
      <c r="F2093" s="15"/>
      <c r="G2093" s="15"/>
    </row>
    <row r="2094" spans="1:126" s="3" customFormat="1" x14ac:dyDescent="0.3">
      <c r="A2094" s="21"/>
      <c r="B2094" s="21" t="s">
        <v>488</v>
      </c>
      <c r="C2094" s="21"/>
      <c r="D2094" s="21"/>
      <c r="E2094" s="22"/>
      <c r="F2094" s="22"/>
      <c r="G2094" s="22"/>
      <c r="H2094" s="59"/>
      <c r="I2094" s="59"/>
      <c r="J2094" s="59"/>
      <c r="K2094" s="59"/>
      <c r="L2094" s="59"/>
      <c r="M2094" s="59"/>
      <c r="N2094" s="59"/>
      <c r="O2094" s="59"/>
      <c r="P2094" s="59"/>
      <c r="Q2094" s="59"/>
      <c r="R2094" s="59"/>
      <c r="S2094" s="59"/>
      <c r="T2094" s="59"/>
      <c r="U2094" s="59"/>
      <c r="V2094" s="59"/>
      <c r="W2094" s="59"/>
      <c r="X2094" s="59"/>
      <c r="Y2094" s="59"/>
      <c r="Z2094" s="59"/>
      <c r="AA2094" s="59"/>
      <c r="AB2094" s="59"/>
      <c r="AC2094" s="59"/>
      <c r="AD2094" s="59"/>
      <c r="AE2094" s="59"/>
      <c r="AF2094" s="59"/>
      <c r="AG2094" s="59"/>
      <c r="AH2094" s="59"/>
      <c r="AI2094" s="59"/>
      <c r="AJ2094" s="59"/>
      <c r="AK2094" s="59"/>
      <c r="AL2094" s="59"/>
      <c r="AM2094" s="59"/>
      <c r="AN2094" s="59"/>
      <c r="AO2094" s="59"/>
      <c r="AP2094" s="59"/>
      <c r="AQ2094" s="59"/>
      <c r="AR2094" s="59"/>
      <c r="AS2094" s="59"/>
      <c r="AT2094" s="59"/>
      <c r="AU2094" s="59"/>
      <c r="AV2094" s="59"/>
      <c r="AW2094" s="59"/>
      <c r="AX2094" s="59"/>
      <c r="AY2094" s="59"/>
      <c r="AZ2094" s="59"/>
      <c r="BA2094" s="59"/>
      <c r="BB2094" s="59"/>
      <c r="BC2094" s="59"/>
      <c r="BD2094" s="59"/>
      <c r="BE2094" s="59"/>
      <c r="BF2094" s="59"/>
      <c r="BG2094" s="59"/>
      <c r="BH2094" s="59"/>
      <c r="BI2094" s="59"/>
      <c r="BJ2094" s="59"/>
      <c r="BK2094" s="59"/>
      <c r="BL2094" s="59"/>
      <c r="BM2094" s="59"/>
      <c r="BN2094" s="59"/>
      <c r="BO2094" s="59"/>
      <c r="BP2094" s="59"/>
      <c r="BQ2094" s="59"/>
      <c r="BR2094" s="59"/>
      <c r="BS2094" s="59"/>
      <c r="BT2094" s="59"/>
      <c r="BU2094" s="59"/>
      <c r="BV2094" s="59"/>
      <c r="BW2094" s="59"/>
      <c r="BX2094" s="59"/>
      <c r="BY2094" s="59"/>
      <c r="BZ2094" s="59"/>
      <c r="CA2094" s="59"/>
      <c r="CB2094" s="59"/>
      <c r="CC2094" s="59"/>
      <c r="CD2094" s="59"/>
      <c r="CE2094" s="59"/>
      <c r="CF2094" s="59"/>
      <c r="CG2094" s="59"/>
      <c r="CH2094" s="59"/>
      <c r="CI2094" s="59"/>
      <c r="CJ2094" s="59"/>
      <c r="CK2094" s="59"/>
      <c r="CL2094" s="59"/>
      <c r="CM2094" s="59"/>
      <c r="CN2094" s="59"/>
      <c r="CO2094" s="59"/>
      <c r="CP2094" s="59"/>
      <c r="CQ2094" s="59"/>
      <c r="CR2094" s="59"/>
      <c r="CS2094" s="59"/>
      <c r="CT2094" s="59"/>
      <c r="CU2094" s="59"/>
      <c r="CV2094" s="59"/>
      <c r="CW2094" s="59"/>
      <c r="CX2094" s="59"/>
      <c r="CY2094" s="59"/>
      <c r="CZ2094" s="59"/>
      <c r="DA2094" s="59"/>
      <c r="DB2094" s="59"/>
      <c r="DC2094" s="59"/>
      <c r="DD2094" s="59"/>
      <c r="DE2094" s="59"/>
      <c r="DF2094" s="59"/>
      <c r="DG2094" s="59"/>
      <c r="DH2094" s="59"/>
      <c r="DI2094" s="59"/>
      <c r="DJ2094" s="59"/>
      <c r="DK2094" s="59"/>
      <c r="DL2094" s="59"/>
      <c r="DM2094" s="59"/>
      <c r="DN2094" s="59"/>
      <c r="DO2094" s="59"/>
      <c r="DP2094" s="59"/>
      <c r="DQ2094" s="59"/>
      <c r="DR2094" s="59"/>
      <c r="DS2094" s="59"/>
      <c r="DT2094" s="59"/>
      <c r="DU2094" s="59"/>
      <c r="DV2094" s="59"/>
    </row>
    <row r="2095" spans="1:126" x14ac:dyDescent="0.3">
      <c r="A2095" s="5"/>
      <c r="B2095" s="5" t="s">
        <v>489</v>
      </c>
      <c r="C2095" s="5"/>
      <c r="D2095" s="5" t="s">
        <v>10</v>
      </c>
      <c r="E2095" s="15">
        <f>4039</f>
        <v>4039</v>
      </c>
      <c r="F2095" s="15"/>
      <c r="G2095" s="15"/>
    </row>
    <row r="2096" spans="1:126" x14ac:dyDescent="0.3">
      <c r="A2096" s="5"/>
      <c r="B2096" s="5" t="s">
        <v>539</v>
      </c>
      <c r="C2096" s="5"/>
      <c r="D2096" s="5" t="s">
        <v>8</v>
      </c>
      <c r="E2096" s="15">
        <f>122</f>
        <v>122</v>
      </c>
      <c r="F2096" s="15"/>
      <c r="G2096" s="15"/>
    </row>
    <row r="2097" spans="1:126" x14ac:dyDescent="0.3">
      <c r="A2097" s="5"/>
      <c r="B2097" s="5" t="s">
        <v>540</v>
      </c>
      <c r="C2097" s="5"/>
      <c r="D2097" s="5" t="s">
        <v>10</v>
      </c>
      <c r="E2097" s="15">
        <f>6752</f>
        <v>6752</v>
      </c>
      <c r="F2097" s="15"/>
      <c r="G2097" s="15"/>
    </row>
    <row r="2098" spans="1:126" x14ac:dyDescent="0.3">
      <c r="A2098" s="5"/>
      <c r="B2098" s="5" t="s">
        <v>279</v>
      </c>
      <c r="C2098" s="5"/>
      <c r="D2098" s="5" t="s">
        <v>10</v>
      </c>
      <c r="E2098" s="15">
        <f>210503</f>
        <v>210503</v>
      </c>
      <c r="F2098" s="15"/>
      <c r="G2098" s="15"/>
    </row>
    <row r="2099" spans="1:126" s="7" customFormat="1" x14ac:dyDescent="0.3">
      <c r="A2099" s="6"/>
      <c r="B2099" s="6" t="s">
        <v>541</v>
      </c>
      <c r="C2099" s="6" t="s">
        <v>542</v>
      </c>
      <c r="D2099" s="6"/>
      <c r="E2099" s="13"/>
      <c r="F2099" s="13"/>
      <c r="G2099" s="13"/>
      <c r="H2099" s="59"/>
      <c r="I2099" s="59"/>
      <c r="J2099" s="59"/>
      <c r="K2099" s="59"/>
      <c r="L2099" s="59"/>
      <c r="M2099" s="59"/>
      <c r="N2099" s="59"/>
      <c r="O2099" s="59"/>
      <c r="P2099" s="59"/>
      <c r="Q2099" s="59"/>
      <c r="R2099" s="59"/>
      <c r="S2099" s="59"/>
      <c r="T2099" s="59"/>
      <c r="U2099" s="59"/>
      <c r="V2099" s="59"/>
      <c r="W2099" s="59"/>
      <c r="X2099" s="59"/>
      <c r="Y2099" s="59"/>
      <c r="Z2099" s="59"/>
      <c r="AA2099" s="59"/>
      <c r="AB2099" s="59"/>
      <c r="AC2099" s="59"/>
      <c r="AD2099" s="59"/>
      <c r="AE2099" s="59"/>
      <c r="AF2099" s="59"/>
      <c r="AG2099" s="59"/>
      <c r="AH2099" s="59"/>
      <c r="AI2099" s="59"/>
      <c r="AJ2099" s="59"/>
      <c r="AK2099" s="59"/>
      <c r="AL2099" s="59"/>
      <c r="AM2099" s="59"/>
      <c r="AN2099" s="59"/>
      <c r="AO2099" s="59"/>
      <c r="AP2099" s="59"/>
      <c r="AQ2099" s="59"/>
      <c r="AR2099" s="59"/>
      <c r="AS2099" s="59"/>
      <c r="AT2099" s="59"/>
      <c r="AU2099" s="59"/>
      <c r="AV2099" s="59"/>
      <c r="AW2099" s="59"/>
      <c r="AX2099" s="59"/>
      <c r="AY2099" s="59"/>
      <c r="AZ2099" s="59"/>
      <c r="BA2099" s="59"/>
      <c r="BB2099" s="59"/>
      <c r="BC2099" s="59"/>
      <c r="BD2099" s="59"/>
      <c r="BE2099" s="59"/>
      <c r="BF2099" s="59"/>
      <c r="BG2099" s="59"/>
      <c r="BH2099" s="59"/>
      <c r="BI2099" s="59"/>
      <c r="BJ2099" s="59"/>
      <c r="BK2099" s="59"/>
      <c r="BL2099" s="59"/>
      <c r="BM2099" s="59"/>
      <c r="BN2099" s="59"/>
      <c r="BO2099" s="59"/>
      <c r="BP2099" s="59"/>
      <c r="BQ2099" s="59"/>
      <c r="BR2099" s="59"/>
      <c r="BS2099" s="59"/>
      <c r="BT2099" s="59"/>
      <c r="BU2099" s="59"/>
      <c r="BV2099" s="59"/>
      <c r="BW2099" s="59"/>
      <c r="BX2099" s="59"/>
      <c r="BY2099" s="59"/>
      <c r="BZ2099" s="59"/>
      <c r="CA2099" s="59"/>
      <c r="CB2099" s="59"/>
      <c r="CC2099" s="59"/>
      <c r="CD2099" s="59"/>
      <c r="CE2099" s="59"/>
      <c r="CF2099" s="59"/>
      <c r="CG2099" s="59"/>
      <c r="CH2099" s="59"/>
      <c r="CI2099" s="59"/>
      <c r="CJ2099" s="59"/>
      <c r="CK2099" s="59"/>
      <c r="CL2099" s="59"/>
      <c r="CM2099" s="59"/>
      <c r="CN2099" s="59"/>
      <c r="CO2099" s="59"/>
      <c r="CP2099" s="59"/>
      <c r="CQ2099" s="59"/>
      <c r="CR2099" s="59"/>
      <c r="CS2099" s="59"/>
      <c r="CT2099" s="59"/>
      <c r="CU2099" s="59"/>
      <c r="CV2099" s="59"/>
      <c r="CW2099" s="59"/>
      <c r="CX2099" s="59"/>
      <c r="CY2099" s="59"/>
      <c r="CZ2099" s="59"/>
      <c r="DA2099" s="59"/>
      <c r="DB2099" s="59"/>
      <c r="DC2099" s="59"/>
      <c r="DD2099" s="59"/>
      <c r="DE2099" s="59"/>
      <c r="DF2099" s="59"/>
      <c r="DG2099" s="59"/>
      <c r="DH2099" s="59"/>
      <c r="DI2099" s="59"/>
      <c r="DJ2099" s="59"/>
      <c r="DK2099" s="59"/>
      <c r="DL2099" s="59"/>
      <c r="DM2099" s="59"/>
      <c r="DN2099" s="59"/>
      <c r="DO2099" s="59"/>
      <c r="DP2099" s="59"/>
      <c r="DQ2099" s="59"/>
      <c r="DR2099" s="59"/>
      <c r="DS2099" s="59"/>
      <c r="DT2099" s="59"/>
      <c r="DU2099" s="59"/>
      <c r="DV2099" s="59"/>
    </row>
    <row r="2100" spans="1:126" s="3" customFormat="1" x14ac:dyDescent="0.3">
      <c r="A2100" s="21"/>
      <c r="B2100" s="21" t="s">
        <v>479</v>
      </c>
      <c r="C2100" s="21"/>
      <c r="D2100" s="21"/>
      <c r="E2100" s="22"/>
      <c r="F2100" s="22"/>
      <c r="G2100" s="22"/>
      <c r="H2100" s="59"/>
      <c r="I2100" s="59"/>
      <c r="J2100" s="59"/>
      <c r="K2100" s="59"/>
      <c r="L2100" s="59"/>
      <c r="M2100" s="59"/>
      <c r="N2100" s="59"/>
      <c r="O2100" s="59"/>
      <c r="P2100" s="59"/>
      <c r="Q2100" s="59"/>
      <c r="R2100" s="59"/>
      <c r="S2100" s="59"/>
      <c r="T2100" s="59"/>
      <c r="U2100" s="59"/>
      <c r="V2100" s="59"/>
      <c r="W2100" s="59"/>
      <c r="X2100" s="59"/>
      <c r="Y2100" s="59"/>
      <c r="Z2100" s="59"/>
      <c r="AA2100" s="59"/>
      <c r="AB2100" s="59"/>
      <c r="AC2100" s="59"/>
      <c r="AD2100" s="59"/>
      <c r="AE2100" s="59"/>
      <c r="AF2100" s="59"/>
      <c r="AG2100" s="59"/>
      <c r="AH2100" s="59"/>
      <c r="AI2100" s="59"/>
      <c r="AJ2100" s="59"/>
      <c r="AK2100" s="59"/>
      <c r="AL2100" s="59"/>
      <c r="AM2100" s="59"/>
      <c r="AN2100" s="59"/>
      <c r="AO2100" s="59"/>
      <c r="AP2100" s="59"/>
      <c r="AQ2100" s="59"/>
      <c r="AR2100" s="59"/>
      <c r="AS2100" s="59"/>
      <c r="AT2100" s="59"/>
      <c r="AU2100" s="59"/>
      <c r="AV2100" s="59"/>
      <c r="AW2100" s="59"/>
      <c r="AX2100" s="59"/>
      <c r="AY2100" s="59"/>
      <c r="AZ2100" s="59"/>
      <c r="BA2100" s="59"/>
      <c r="BB2100" s="59"/>
      <c r="BC2100" s="59"/>
      <c r="BD2100" s="59"/>
      <c r="BE2100" s="59"/>
      <c r="BF2100" s="59"/>
      <c r="BG2100" s="59"/>
      <c r="BH2100" s="59"/>
      <c r="BI2100" s="59"/>
      <c r="BJ2100" s="59"/>
      <c r="BK2100" s="59"/>
      <c r="BL2100" s="59"/>
      <c r="BM2100" s="59"/>
      <c r="BN2100" s="59"/>
      <c r="BO2100" s="59"/>
      <c r="BP2100" s="59"/>
      <c r="BQ2100" s="59"/>
      <c r="BR2100" s="59"/>
      <c r="BS2100" s="59"/>
      <c r="BT2100" s="59"/>
      <c r="BU2100" s="59"/>
      <c r="BV2100" s="59"/>
      <c r="BW2100" s="59"/>
      <c r="BX2100" s="59"/>
      <c r="BY2100" s="59"/>
      <c r="BZ2100" s="59"/>
      <c r="CA2100" s="59"/>
      <c r="CB2100" s="59"/>
      <c r="CC2100" s="59"/>
      <c r="CD2100" s="59"/>
      <c r="CE2100" s="59"/>
      <c r="CF2100" s="59"/>
      <c r="CG2100" s="59"/>
      <c r="CH2100" s="59"/>
      <c r="CI2100" s="59"/>
      <c r="CJ2100" s="59"/>
      <c r="CK2100" s="59"/>
      <c r="CL2100" s="59"/>
      <c r="CM2100" s="59"/>
      <c r="CN2100" s="59"/>
      <c r="CO2100" s="59"/>
      <c r="CP2100" s="59"/>
      <c r="CQ2100" s="59"/>
      <c r="CR2100" s="59"/>
      <c r="CS2100" s="59"/>
      <c r="CT2100" s="59"/>
      <c r="CU2100" s="59"/>
      <c r="CV2100" s="59"/>
      <c r="CW2100" s="59"/>
      <c r="CX2100" s="59"/>
      <c r="CY2100" s="59"/>
      <c r="CZ2100" s="59"/>
      <c r="DA2100" s="59"/>
      <c r="DB2100" s="59"/>
      <c r="DC2100" s="59"/>
      <c r="DD2100" s="59"/>
      <c r="DE2100" s="59"/>
      <c r="DF2100" s="59"/>
      <c r="DG2100" s="59"/>
      <c r="DH2100" s="59"/>
      <c r="DI2100" s="59"/>
      <c r="DJ2100" s="59"/>
      <c r="DK2100" s="59"/>
      <c r="DL2100" s="59"/>
      <c r="DM2100" s="59"/>
      <c r="DN2100" s="59"/>
      <c r="DO2100" s="59"/>
      <c r="DP2100" s="59"/>
      <c r="DQ2100" s="59"/>
      <c r="DR2100" s="59"/>
      <c r="DS2100" s="59"/>
      <c r="DT2100" s="59"/>
      <c r="DU2100" s="59"/>
      <c r="DV2100" s="59"/>
    </row>
    <row r="2101" spans="1:126" x14ac:dyDescent="0.3">
      <c r="A2101" s="5"/>
      <c r="B2101" s="5" t="s">
        <v>481</v>
      </c>
      <c r="C2101" s="5"/>
      <c r="D2101" s="5" t="s">
        <v>10</v>
      </c>
      <c r="E2101" s="15">
        <f>13370</f>
        <v>13370</v>
      </c>
      <c r="F2101" s="15"/>
      <c r="G2101" s="15"/>
    </row>
    <row r="2102" spans="1:126" x14ac:dyDescent="0.3">
      <c r="A2102" s="5"/>
      <c r="B2102" s="5" t="s">
        <v>518</v>
      </c>
      <c r="C2102" s="5"/>
      <c r="D2102" s="5" t="s">
        <v>69</v>
      </c>
      <c r="E2102" s="15">
        <f>13474</f>
        <v>13474</v>
      </c>
      <c r="F2102" s="15"/>
      <c r="G2102" s="15"/>
    </row>
    <row r="2103" spans="1:126" x14ac:dyDescent="0.3">
      <c r="A2103" s="5"/>
      <c r="B2103" s="5" t="s">
        <v>490</v>
      </c>
      <c r="C2103" s="5"/>
      <c r="D2103" s="5" t="s">
        <v>8</v>
      </c>
      <c r="E2103" s="15">
        <f>20.5</f>
        <v>20.5</v>
      </c>
      <c r="F2103" s="15"/>
      <c r="G2103" s="15"/>
    </row>
    <row r="2104" spans="1:126" x14ac:dyDescent="0.3">
      <c r="A2104" s="5"/>
      <c r="B2104" s="5" t="s">
        <v>519</v>
      </c>
      <c r="C2104" s="5"/>
      <c r="D2104" s="5" t="s">
        <v>10</v>
      </c>
      <c r="E2104" s="15">
        <f>2450</f>
        <v>2450</v>
      </c>
      <c r="F2104" s="15"/>
      <c r="G2104" s="15"/>
    </row>
    <row r="2105" spans="1:126" s="25" customFormat="1" x14ac:dyDescent="0.3">
      <c r="A2105" s="23"/>
      <c r="B2105" s="23" t="s">
        <v>544</v>
      </c>
      <c r="C2105" s="23"/>
      <c r="D2105" s="23"/>
      <c r="E2105" s="24"/>
      <c r="F2105" s="24"/>
      <c r="G2105" s="24"/>
      <c r="H2105" s="59"/>
      <c r="I2105" s="59"/>
      <c r="J2105" s="59"/>
      <c r="K2105" s="59"/>
      <c r="L2105" s="59"/>
      <c r="M2105" s="59"/>
      <c r="N2105" s="59"/>
      <c r="O2105" s="59"/>
      <c r="P2105" s="59"/>
      <c r="Q2105" s="59"/>
      <c r="R2105" s="59"/>
      <c r="S2105" s="59"/>
      <c r="T2105" s="59"/>
      <c r="U2105" s="59"/>
      <c r="V2105" s="59"/>
      <c r="W2105" s="59"/>
      <c r="X2105" s="59"/>
      <c r="Y2105" s="59"/>
      <c r="Z2105" s="59"/>
      <c r="AA2105" s="59"/>
      <c r="AB2105" s="59"/>
      <c r="AC2105" s="59"/>
      <c r="AD2105" s="59"/>
      <c r="AE2105" s="59"/>
      <c r="AF2105" s="59"/>
      <c r="AG2105" s="59"/>
      <c r="AH2105" s="59"/>
      <c r="AI2105" s="59"/>
      <c r="AJ2105" s="59"/>
      <c r="AK2105" s="59"/>
      <c r="AL2105" s="59"/>
      <c r="AM2105" s="59"/>
      <c r="AN2105" s="59"/>
      <c r="AO2105" s="59"/>
      <c r="AP2105" s="59"/>
      <c r="AQ2105" s="59"/>
      <c r="AR2105" s="59"/>
      <c r="AS2105" s="59"/>
      <c r="AT2105" s="59"/>
      <c r="AU2105" s="59"/>
      <c r="AV2105" s="59"/>
      <c r="AW2105" s="59"/>
      <c r="AX2105" s="59"/>
      <c r="AY2105" s="59"/>
      <c r="AZ2105" s="59"/>
      <c r="BA2105" s="59"/>
      <c r="BB2105" s="59"/>
      <c r="BC2105" s="59"/>
      <c r="BD2105" s="59"/>
      <c r="BE2105" s="59"/>
      <c r="BF2105" s="59"/>
      <c r="BG2105" s="59"/>
      <c r="BH2105" s="59"/>
      <c r="BI2105" s="59"/>
      <c r="BJ2105" s="59"/>
      <c r="BK2105" s="59"/>
      <c r="BL2105" s="59"/>
      <c r="BM2105" s="59"/>
      <c r="BN2105" s="59"/>
      <c r="BO2105" s="59"/>
      <c r="BP2105" s="59"/>
      <c r="BQ2105" s="59"/>
      <c r="BR2105" s="59"/>
      <c r="BS2105" s="59"/>
      <c r="BT2105" s="59"/>
      <c r="BU2105" s="59"/>
      <c r="BV2105" s="59"/>
      <c r="BW2105" s="59"/>
      <c r="BX2105" s="59"/>
      <c r="BY2105" s="59"/>
      <c r="BZ2105" s="59"/>
      <c r="CA2105" s="59"/>
      <c r="CB2105" s="59"/>
      <c r="CC2105" s="59"/>
      <c r="CD2105" s="59"/>
      <c r="CE2105" s="59"/>
      <c r="CF2105" s="59"/>
      <c r="CG2105" s="59"/>
      <c r="CH2105" s="59"/>
      <c r="CI2105" s="59"/>
      <c r="CJ2105" s="59"/>
      <c r="CK2105" s="59"/>
      <c r="CL2105" s="59"/>
      <c r="CM2105" s="59"/>
      <c r="CN2105" s="59"/>
      <c r="CO2105" s="59"/>
      <c r="CP2105" s="59"/>
      <c r="CQ2105" s="59"/>
      <c r="CR2105" s="59"/>
      <c r="CS2105" s="59"/>
      <c r="CT2105" s="59"/>
      <c r="CU2105" s="59"/>
      <c r="CV2105" s="59"/>
      <c r="CW2105" s="59"/>
      <c r="CX2105" s="59"/>
      <c r="CY2105" s="59"/>
      <c r="CZ2105" s="59"/>
      <c r="DA2105" s="59"/>
      <c r="DB2105" s="59"/>
      <c r="DC2105" s="59"/>
      <c r="DD2105" s="59"/>
      <c r="DE2105" s="59"/>
      <c r="DF2105" s="59"/>
      <c r="DG2105" s="59"/>
      <c r="DH2105" s="59"/>
      <c r="DI2105" s="59"/>
      <c r="DJ2105" s="59"/>
      <c r="DK2105" s="59"/>
      <c r="DL2105" s="59"/>
      <c r="DM2105" s="59"/>
      <c r="DN2105" s="59"/>
      <c r="DO2105" s="59"/>
      <c r="DP2105" s="59"/>
      <c r="DQ2105" s="59"/>
      <c r="DR2105" s="59"/>
      <c r="DS2105" s="59"/>
      <c r="DT2105" s="59"/>
      <c r="DU2105" s="59"/>
      <c r="DV2105" s="59"/>
    </row>
    <row r="2106" spans="1:126" s="3" customFormat="1" x14ac:dyDescent="0.3">
      <c r="A2106" s="21"/>
      <c r="B2106" s="21" t="s">
        <v>500</v>
      </c>
      <c r="C2106" s="21"/>
      <c r="D2106" s="21"/>
      <c r="E2106" s="22"/>
      <c r="F2106" s="22"/>
      <c r="G2106" s="22"/>
      <c r="H2106" s="59"/>
      <c r="I2106" s="59"/>
      <c r="J2106" s="59"/>
      <c r="K2106" s="59"/>
      <c r="L2106" s="59"/>
      <c r="M2106" s="59"/>
      <c r="N2106" s="59"/>
      <c r="O2106" s="59"/>
      <c r="P2106" s="59"/>
      <c r="Q2106" s="59"/>
      <c r="R2106" s="59"/>
      <c r="S2106" s="59"/>
      <c r="T2106" s="59"/>
      <c r="U2106" s="59"/>
      <c r="V2106" s="59"/>
      <c r="W2106" s="59"/>
      <c r="X2106" s="59"/>
      <c r="Y2106" s="59"/>
      <c r="Z2106" s="59"/>
      <c r="AA2106" s="59"/>
      <c r="AB2106" s="59"/>
      <c r="AC2106" s="59"/>
      <c r="AD2106" s="59"/>
      <c r="AE2106" s="59"/>
      <c r="AF2106" s="59"/>
      <c r="AG2106" s="59"/>
      <c r="AH2106" s="59"/>
      <c r="AI2106" s="59"/>
      <c r="AJ2106" s="59"/>
      <c r="AK2106" s="59"/>
      <c r="AL2106" s="59"/>
      <c r="AM2106" s="59"/>
      <c r="AN2106" s="59"/>
      <c r="AO2106" s="59"/>
      <c r="AP2106" s="59"/>
      <c r="AQ2106" s="59"/>
      <c r="AR2106" s="59"/>
      <c r="AS2106" s="59"/>
      <c r="AT2106" s="59"/>
      <c r="AU2106" s="59"/>
      <c r="AV2106" s="59"/>
      <c r="AW2106" s="59"/>
      <c r="AX2106" s="59"/>
      <c r="AY2106" s="59"/>
      <c r="AZ2106" s="59"/>
      <c r="BA2106" s="59"/>
      <c r="BB2106" s="59"/>
      <c r="BC2106" s="59"/>
      <c r="BD2106" s="59"/>
      <c r="BE2106" s="59"/>
      <c r="BF2106" s="59"/>
      <c r="BG2106" s="59"/>
      <c r="BH2106" s="59"/>
      <c r="BI2106" s="59"/>
      <c r="BJ2106" s="59"/>
      <c r="BK2106" s="59"/>
      <c r="BL2106" s="59"/>
      <c r="BM2106" s="59"/>
      <c r="BN2106" s="59"/>
      <c r="BO2106" s="59"/>
      <c r="BP2106" s="59"/>
      <c r="BQ2106" s="59"/>
      <c r="BR2106" s="59"/>
      <c r="BS2106" s="59"/>
      <c r="BT2106" s="59"/>
      <c r="BU2106" s="59"/>
      <c r="BV2106" s="59"/>
      <c r="BW2106" s="59"/>
      <c r="BX2106" s="59"/>
      <c r="BY2106" s="59"/>
      <c r="BZ2106" s="59"/>
      <c r="CA2106" s="59"/>
      <c r="CB2106" s="59"/>
      <c r="CC2106" s="59"/>
      <c r="CD2106" s="59"/>
      <c r="CE2106" s="59"/>
      <c r="CF2106" s="59"/>
      <c r="CG2106" s="59"/>
      <c r="CH2106" s="59"/>
      <c r="CI2106" s="59"/>
      <c r="CJ2106" s="59"/>
      <c r="CK2106" s="59"/>
      <c r="CL2106" s="59"/>
      <c r="CM2106" s="59"/>
      <c r="CN2106" s="59"/>
      <c r="CO2106" s="59"/>
      <c r="CP2106" s="59"/>
      <c r="CQ2106" s="59"/>
      <c r="CR2106" s="59"/>
      <c r="CS2106" s="59"/>
      <c r="CT2106" s="59"/>
      <c r="CU2106" s="59"/>
      <c r="CV2106" s="59"/>
      <c r="CW2106" s="59"/>
      <c r="CX2106" s="59"/>
      <c r="CY2106" s="59"/>
      <c r="CZ2106" s="59"/>
      <c r="DA2106" s="59"/>
      <c r="DB2106" s="59"/>
      <c r="DC2106" s="59"/>
      <c r="DD2106" s="59"/>
      <c r="DE2106" s="59"/>
      <c r="DF2106" s="59"/>
      <c r="DG2106" s="59"/>
      <c r="DH2106" s="59"/>
      <c r="DI2106" s="59"/>
      <c r="DJ2106" s="59"/>
      <c r="DK2106" s="59"/>
      <c r="DL2106" s="59"/>
      <c r="DM2106" s="59"/>
      <c r="DN2106" s="59"/>
      <c r="DO2106" s="59"/>
      <c r="DP2106" s="59"/>
      <c r="DQ2106" s="59"/>
      <c r="DR2106" s="59"/>
      <c r="DS2106" s="59"/>
      <c r="DT2106" s="59"/>
      <c r="DU2106" s="59"/>
      <c r="DV2106" s="59"/>
    </row>
    <row r="2107" spans="1:126" x14ac:dyDescent="0.3">
      <c r="A2107" s="5"/>
      <c r="B2107" s="5" t="s">
        <v>493</v>
      </c>
      <c r="C2107" s="5"/>
      <c r="D2107" s="5" t="s">
        <v>8</v>
      </c>
      <c r="E2107" s="15">
        <f>789</f>
        <v>789</v>
      </c>
      <c r="F2107" s="15"/>
      <c r="G2107" s="15"/>
    </row>
    <row r="2108" spans="1:126" x14ac:dyDescent="0.3">
      <c r="A2108" s="5"/>
      <c r="B2108" s="5" t="s">
        <v>494</v>
      </c>
      <c r="C2108" s="5"/>
      <c r="D2108" s="5" t="s">
        <v>8</v>
      </c>
      <c r="E2108" s="15">
        <f>1.99</f>
        <v>1.99</v>
      </c>
      <c r="F2108" s="15"/>
      <c r="G2108" s="15"/>
    </row>
    <row r="2109" spans="1:126" x14ac:dyDescent="0.3">
      <c r="A2109" s="5"/>
      <c r="B2109" s="5" t="s">
        <v>495</v>
      </c>
      <c r="C2109" s="5"/>
      <c r="D2109" s="5" t="s">
        <v>8</v>
      </c>
      <c r="E2109" s="15">
        <f>1270</f>
        <v>1270</v>
      </c>
      <c r="F2109" s="15"/>
      <c r="G2109" s="15"/>
    </row>
    <row r="2110" spans="1:126" x14ac:dyDescent="0.3">
      <c r="A2110" s="5"/>
      <c r="B2110" s="5" t="s">
        <v>494</v>
      </c>
      <c r="C2110" s="5"/>
      <c r="D2110" s="5" t="s">
        <v>8</v>
      </c>
      <c r="E2110" s="15">
        <f>1.99</f>
        <v>1.99</v>
      </c>
      <c r="F2110" s="15"/>
      <c r="G2110" s="15"/>
    </row>
    <row r="2111" spans="1:126" x14ac:dyDescent="0.3">
      <c r="A2111" s="5"/>
      <c r="B2111" s="5" t="s">
        <v>496</v>
      </c>
      <c r="C2111" s="5"/>
      <c r="D2111" s="5" t="s">
        <v>8</v>
      </c>
      <c r="E2111" s="15">
        <f>1796</f>
        <v>1796</v>
      </c>
      <c r="F2111" s="15"/>
      <c r="G2111" s="15"/>
    </row>
    <row r="2112" spans="1:126" x14ac:dyDescent="0.3">
      <c r="A2112" s="5"/>
      <c r="B2112" s="5" t="s">
        <v>494</v>
      </c>
      <c r="C2112" s="5"/>
      <c r="D2112" s="5" t="s">
        <v>8</v>
      </c>
      <c r="E2112" s="15">
        <f>3.98</f>
        <v>3.98</v>
      </c>
      <c r="F2112" s="15"/>
      <c r="G2112" s="15"/>
    </row>
    <row r="2113" spans="1:126" s="3" customFormat="1" x14ac:dyDescent="0.3">
      <c r="A2113" s="21"/>
      <c r="B2113" s="21" t="s">
        <v>501</v>
      </c>
      <c r="C2113" s="21"/>
      <c r="D2113" s="21"/>
      <c r="E2113" s="22"/>
      <c r="F2113" s="22"/>
      <c r="G2113" s="22"/>
      <c r="H2113" s="59"/>
      <c r="I2113" s="59"/>
      <c r="J2113" s="59"/>
      <c r="K2113" s="59"/>
      <c r="L2113" s="59"/>
      <c r="M2113" s="59"/>
      <c r="N2113" s="59"/>
      <c r="O2113" s="59"/>
      <c r="P2113" s="59"/>
      <c r="Q2113" s="59"/>
      <c r="R2113" s="59"/>
      <c r="S2113" s="59"/>
      <c r="T2113" s="59"/>
      <c r="U2113" s="59"/>
      <c r="V2113" s="59"/>
      <c r="W2113" s="59"/>
      <c r="X2113" s="59"/>
      <c r="Y2113" s="59"/>
      <c r="Z2113" s="59"/>
      <c r="AA2113" s="59"/>
      <c r="AB2113" s="59"/>
      <c r="AC2113" s="59"/>
      <c r="AD2113" s="59"/>
      <c r="AE2113" s="59"/>
      <c r="AF2113" s="59"/>
      <c r="AG2113" s="59"/>
      <c r="AH2113" s="59"/>
      <c r="AI2113" s="59"/>
      <c r="AJ2113" s="59"/>
      <c r="AK2113" s="59"/>
      <c r="AL2113" s="59"/>
      <c r="AM2113" s="59"/>
      <c r="AN2113" s="59"/>
      <c r="AO2113" s="59"/>
      <c r="AP2113" s="59"/>
      <c r="AQ2113" s="59"/>
      <c r="AR2113" s="59"/>
      <c r="AS2113" s="59"/>
      <c r="AT2113" s="59"/>
      <c r="AU2113" s="59"/>
      <c r="AV2113" s="59"/>
      <c r="AW2113" s="59"/>
      <c r="AX2113" s="59"/>
      <c r="AY2113" s="59"/>
      <c r="AZ2113" s="59"/>
      <c r="BA2113" s="59"/>
      <c r="BB2113" s="59"/>
      <c r="BC2113" s="59"/>
      <c r="BD2113" s="59"/>
      <c r="BE2113" s="59"/>
      <c r="BF2113" s="59"/>
      <c r="BG2113" s="59"/>
      <c r="BH2113" s="59"/>
      <c r="BI2113" s="59"/>
      <c r="BJ2113" s="59"/>
      <c r="BK2113" s="59"/>
      <c r="BL2113" s="59"/>
      <c r="BM2113" s="59"/>
      <c r="BN2113" s="59"/>
      <c r="BO2113" s="59"/>
      <c r="BP2113" s="59"/>
      <c r="BQ2113" s="59"/>
      <c r="BR2113" s="59"/>
      <c r="BS2113" s="59"/>
      <c r="BT2113" s="59"/>
      <c r="BU2113" s="59"/>
      <c r="BV2113" s="59"/>
      <c r="BW2113" s="59"/>
      <c r="BX2113" s="59"/>
      <c r="BY2113" s="59"/>
      <c r="BZ2113" s="59"/>
      <c r="CA2113" s="59"/>
      <c r="CB2113" s="59"/>
      <c r="CC2113" s="59"/>
      <c r="CD2113" s="59"/>
      <c r="CE2113" s="59"/>
      <c r="CF2113" s="59"/>
      <c r="CG2113" s="59"/>
      <c r="CH2113" s="59"/>
      <c r="CI2113" s="59"/>
      <c r="CJ2113" s="59"/>
      <c r="CK2113" s="59"/>
      <c r="CL2113" s="59"/>
      <c r="CM2113" s="59"/>
      <c r="CN2113" s="59"/>
      <c r="CO2113" s="59"/>
      <c r="CP2113" s="59"/>
      <c r="CQ2113" s="59"/>
      <c r="CR2113" s="59"/>
      <c r="CS2113" s="59"/>
      <c r="CT2113" s="59"/>
      <c r="CU2113" s="59"/>
      <c r="CV2113" s="59"/>
      <c r="CW2113" s="59"/>
      <c r="CX2113" s="59"/>
      <c r="CY2113" s="59"/>
      <c r="CZ2113" s="59"/>
      <c r="DA2113" s="59"/>
      <c r="DB2113" s="59"/>
      <c r="DC2113" s="59"/>
      <c r="DD2113" s="59"/>
      <c r="DE2113" s="59"/>
      <c r="DF2113" s="59"/>
      <c r="DG2113" s="59"/>
      <c r="DH2113" s="59"/>
      <c r="DI2113" s="59"/>
      <c r="DJ2113" s="59"/>
      <c r="DK2113" s="59"/>
      <c r="DL2113" s="59"/>
      <c r="DM2113" s="59"/>
      <c r="DN2113" s="59"/>
      <c r="DO2113" s="59"/>
      <c r="DP2113" s="59"/>
      <c r="DQ2113" s="59"/>
      <c r="DR2113" s="59"/>
      <c r="DS2113" s="59"/>
      <c r="DT2113" s="59"/>
      <c r="DU2113" s="59"/>
      <c r="DV2113" s="59"/>
    </row>
    <row r="2114" spans="1:126" x14ac:dyDescent="0.3">
      <c r="A2114" s="5"/>
      <c r="B2114" s="5" t="s">
        <v>497</v>
      </c>
      <c r="C2114" s="5"/>
      <c r="D2114" s="5" t="s">
        <v>10</v>
      </c>
      <c r="E2114" s="15">
        <f>5275*0.28</f>
        <v>1477.0000000000002</v>
      </c>
      <c r="F2114" s="15"/>
      <c r="G2114" s="15"/>
    </row>
    <row r="2115" spans="1:126" s="3" customFormat="1" x14ac:dyDescent="0.3">
      <c r="A2115" s="21"/>
      <c r="B2115" s="21" t="s">
        <v>502</v>
      </c>
      <c r="C2115" s="21"/>
      <c r="D2115" s="21"/>
      <c r="E2115" s="22"/>
      <c r="F2115" s="22"/>
      <c r="G2115" s="22"/>
      <c r="H2115" s="59"/>
      <c r="I2115" s="59"/>
      <c r="J2115" s="59"/>
      <c r="K2115" s="59"/>
      <c r="L2115" s="59"/>
      <c r="M2115" s="59"/>
      <c r="N2115" s="59"/>
      <c r="O2115" s="59"/>
      <c r="P2115" s="59"/>
      <c r="Q2115" s="59"/>
      <c r="R2115" s="59"/>
      <c r="S2115" s="59"/>
      <c r="T2115" s="59"/>
      <c r="U2115" s="59"/>
      <c r="V2115" s="59"/>
      <c r="W2115" s="59"/>
      <c r="X2115" s="59"/>
      <c r="Y2115" s="59"/>
      <c r="Z2115" s="59"/>
      <c r="AA2115" s="59"/>
      <c r="AB2115" s="59"/>
      <c r="AC2115" s="59"/>
      <c r="AD2115" s="59"/>
      <c r="AE2115" s="59"/>
      <c r="AF2115" s="59"/>
      <c r="AG2115" s="59"/>
      <c r="AH2115" s="59"/>
      <c r="AI2115" s="59"/>
      <c r="AJ2115" s="59"/>
      <c r="AK2115" s="59"/>
      <c r="AL2115" s="59"/>
      <c r="AM2115" s="59"/>
      <c r="AN2115" s="59"/>
      <c r="AO2115" s="59"/>
      <c r="AP2115" s="59"/>
      <c r="AQ2115" s="59"/>
      <c r="AR2115" s="59"/>
      <c r="AS2115" s="59"/>
      <c r="AT2115" s="59"/>
      <c r="AU2115" s="59"/>
      <c r="AV2115" s="59"/>
      <c r="AW2115" s="59"/>
      <c r="AX2115" s="59"/>
      <c r="AY2115" s="59"/>
      <c r="AZ2115" s="59"/>
      <c r="BA2115" s="59"/>
      <c r="BB2115" s="59"/>
      <c r="BC2115" s="59"/>
      <c r="BD2115" s="59"/>
      <c r="BE2115" s="59"/>
      <c r="BF2115" s="59"/>
      <c r="BG2115" s="59"/>
      <c r="BH2115" s="59"/>
      <c r="BI2115" s="59"/>
      <c r="BJ2115" s="59"/>
      <c r="BK2115" s="59"/>
      <c r="BL2115" s="59"/>
      <c r="BM2115" s="59"/>
      <c r="BN2115" s="59"/>
      <c r="BO2115" s="59"/>
      <c r="BP2115" s="59"/>
      <c r="BQ2115" s="59"/>
      <c r="BR2115" s="59"/>
      <c r="BS2115" s="59"/>
      <c r="BT2115" s="59"/>
      <c r="BU2115" s="59"/>
      <c r="BV2115" s="59"/>
      <c r="BW2115" s="59"/>
      <c r="BX2115" s="59"/>
      <c r="BY2115" s="59"/>
      <c r="BZ2115" s="59"/>
      <c r="CA2115" s="59"/>
      <c r="CB2115" s="59"/>
      <c r="CC2115" s="59"/>
      <c r="CD2115" s="59"/>
      <c r="CE2115" s="59"/>
      <c r="CF2115" s="59"/>
      <c r="CG2115" s="59"/>
      <c r="CH2115" s="59"/>
      <c r="CI2115" s="59"/>
      <c r="CJ2115" s="59"/>
      <c r="CK2115" s="59"/>
      <c r="CL2115" s="59"/>
      <c r="CM2115" s="59"/>
      <c r="CN2115" s="59"/>
      <c r="CO2115" s="59"/>
      <c r="CP2115" s="59"/>
      <c r="CQ2115" s="59"/>
      <c r="CR2115" s="59"/>
      <c r="CS2115" s="59"/>
      <c r="CT2115" s="59"/>
      <c r="CU2115" s="59"/>
      <c r="CV2115" s="59"/>
      <c r="CW2115" s="59"/>
      <c r="CX2115" s="59"/>
      <c r="CY2115" s="59"/>
      <c r="CZ2115" s="59"/>
      <c r="DA2115" s="59"/>
      <c r="DB2115" s="59"/>
      <c r="DC2115" s="59"/>
      <c r="DD2115" s="59"/>
      <c r="DE2115" s="59"/>
      <c r="DF2115" s="59"/>
      <c r="DG2115" s="59"/>
      <c r="DH2115" s="59"/>
      <c r="DI2115" s="59"/>
      <c r="DJ2115" s="59"/>
      <c r="DK2115" s="59"/>
      <c r="DL2115" s="59"/>
      <c r="DM2115" s="59"/>
      <c r="DN2115" s="59"/>
      <c r="DO2115" s="59"/>
      <c r="DP2115" s="59"/>
      <c r="DQ2115" s="59"/>
      <c r="DR2115" s="59"/>
      <c r="DS2115" s="59"/>
      <c r="DT2115" s="59"/>
      <c r="DU2115" s="59"/>
      <c r="DV2115" s="59"/>
    </row>
    <row r="2116" spans="1:126" x14ac:dyDescent="0.3">
      <c r="A2116" s="5"/>
      <c r="B2116" s="5" t="s">
        <v>498</v>
      </c>
      <c r="C2116" s="5"/>
      <c r="D2116" s="5" t="s">
        <v>10</v>
      </c>
      <c r="E2116" s="15">
        <f>3091</f>
        <v>3091</v>
      </c>
      <c r="F2116" s="15"/>
      <c r="G2116" s="15"/>
    </row>
    <row r="2117" spans="1:126" s="3" customFormat="1" x14ac:dyDescent="0.3">
      <c r="A2117" s="21"/>
      <c r="B2117" s="21" t="s">
        <v>520</v>
      </c>
      <c r="C2117" s="21"/>
      <c r="D2117" s="21"/>
      <c r="E2117" s="22"/>
      <c r="F2117" s="22"/>
      <c r="G2117" s="22"/>
      <c r="H2117" s="59"/>
      <c r="I2117" s="59"/>
      <c r="J2117" s="59"/>
      <c r="K2117" s="59"/>
      <c r="L2117" s="59"/>
      <c r="M2117" s="59"/>
      <c r="N2117" s="59"/>
      <c r="O2117" s="59"/>
      <c r="P2117" s="59"/>
      <c r="Q2117" s="59"/>
      <c r="R2117" s="59"/>
      <c r="S2117" s="59"/>
      <c r="T2117" s="59"/>
      <c r="U2117" s="59"/>
      <c r="V2117" s="59"/>
      <c r="W2117" s="59"/>
      <c r="X2117" s="59"/>
      <c r="Y2117" s="59"/>
      <c r="Z2117" s="59"/>
      <c r="AA2117" s="59"/>
      <c r="AB2117" s="59"/>
      <c r="AC2117" s="59"/>
      <c r="AD2117" s="59"/>
      <c r="AE2117" s="59"/>
      <c r="AF2117" s="59"/>
      <c r="AG2117" s="59"/>
      <c r="AH2117" s="59"/>
      <c r="AI2117" s="59"/>
      <c r="AJ2117" s="59"/>
      <c r="AK2117" s="59"/>
      <c r="AL2117" s="59"/>
      <c r="AM2117" s="59"/>
      <c r="AN2117" s="59"/>
      <c r="AO2117" s="59"/>
      <c r="AP2117" s="59"/>
      <c r="AQ2117" s="59"/>
      <c r="AR2117" s="59"/>
      <c r="AS2117" s="59"/>
      <c r="AT2117" s="59"/>
      <c r="AU2117" s="59"/>
      <c r="AV2117" s="59"/>
      <c r="AW2117" s="59"/>
      <c r="AX2117" s="59"/>
      <c r="AY2117" s="59"/>
      <c r="AZ2117" s="59"/>
      <c r="BA2117" s="59"/>
      <c r="BB2117" s="59"/>
      <c r="BC2117" s="59"/>
      <c r="BD2117" s="59"/>
      <c r="BE2117" s="59"/>
      <c r="BF2117" s="59"/>
      <c r="BG2117" s="59"/>
      <c r="BH2117" s="59"/>
      <c r="BI2117" s="59"/>
      <c r="BJ2117" s="59"/>
      <c r="BK2117" s="59"/>
      <c r="BL2117" s="59"/>
      <c r="BM2117" s="59"/>
      <c r="BN2117" s="59"/>
      <c r="BO2117" s="59"/>
      <c r="BP2117" s="59"/>
      <c r="BQ2117" s="59"/>
      <c r="BR2117" s="59"/>
      <c r="BS2117" s="59"/>
      <c r="BT2117" s="59"/>
      <c r="BU2117" s="59"/>
      <c r="BV2117" s="59"/>
      <c r="BW2117" s="59"/>
      <c r="BX2117" s="59"/>
      <c r="BY2117" s="59"/>
      <c r="BZ2117" s="59"/>
      <c r="CA2117" s="59"/>
      <c r="CB2117" s="59"/>
      <c r="CC2117" s="59"/>
      <c r="CD2117" s="59"/>
      <c r="CE2117" s="59"/>
      <c r="CF2117" s="59"/>
      <c r="CG2117" s="59"/>
      <c r="CH2117" s="59"/>
      <c r="CI2117" s="59"/>
      <c r="CJ2117" s="59"/>
      <c r="CK2117" s="59"/>
      <c r="CL2117" s="59"/>
      <c r="CM2117" s="59"/>
      <c r="CN2117" s="59"/>
      <c r="CO2117" s="59"/>
      <c r="CP2117" s="59"/>
      <c r="CQ2117" s="59"/>
      <c r="CR2117" s="59"/>
      <c r="CS2117" s="59"/>
      <c r="CT2117" s="59"/>
      <c r="CU2117" s="59"/>
      <c r="CV2117" s="59"/>
      <c r="CW2117" s="59"/>
      <c r="CX2117" s="59"/>
      <c r="CY2117" s="59"/>
      <c r="CZ2117" s="59"/>
      <c r="DA2117" s="59"/>
      <c r="DB2117" s="59"/>
      <c r="DC2117" s="59"/>
      <c r="DD2117" s="59"/>
      <c r="DE2117" s="59"/>
      <c r="DF2117" s="59"/>
      <c r="DG2117" s="59"/>
      <c r="DH2117" s="59"/>
      <c r="DI2117" s="59"/>
      <c r="DJ2117" s="59"/>
      <c r="DK2117" s="59"/>
      <c r="DL2117" s="59"/>
      <c r="DM2117" s="59"/>
      <c r="DN2117" s="59"/>
      <c r="DO2117" s="59"/>
      <c r="DP2117" s="59"/>
      <c r="DQ2117" s="59"/>
      <c r="DR2117" s="59"/>
      <c r="DS2117" s="59"/>
      <c r="DT2117" s="59"/>
      <c r="DU2117" s="59"/>
      <c r="DV2117" s="59"/>
    </row>
    <row r="2118" spans="1:126" x14ac:dyDescent="0.3">
      <c r="A2118" s="5"/>
      <c r="B2118" s="5" t="s">
        <v>499</v>
      </c>
      <c r="C2118" s="5"/>
      <c r="D2118" s="5" t="s">
        <v>10</v>
      </c>
      <c r="E2118" s="15">
        <f>1440</f>
        <v>1440</v>
      </c>
      <c r="F2118" s="15"/>
      <c r="G2118" s="15"/>
    </row>
    <row r="2119" spans="1:126" s="3" customFormat="1" ht="31.2" x14ac:dyDescent="0.3">
      <c r="A2119" s="21"/>
      <c r="B2119" s="26" t="s">
        <v>504</v>
      </c>
      <c r="C2119" s="21"/>
      <c r="D2119" s="21"/>
      <c r="E2119" s="22"/>
      <c r="F2119" s="22"/>
      <c r="G2119" s="22"/>
      <c r="H2119" s="59"/>
      <c r="I2119" s="59"/>
      <c r="J2119" s="59"/>
      <c r="K2119" s="59"/>
      <c r="L2119" s="59"/>
      <c r="M2119" s="59"/>
      <c r="N2119" s="59"/>
      <c r="O2119" s="59"/>
      <c r="P2119" s="59"/>
      <c r="Q2119" s="59"/>
      <c r="R2119" s="59"/>
      <c r="S2119" s="59"/>
      <c r="T2119" s="59"/>
      <c r="U2119" s="59"/>
      <c r="V2119" s="59"/>
      <c r="W2119" s="59"/>
      <c r="X2119" s="59"/>
      <c r="Y2119" s="59"/>
      <c r="Z2119" s="59"/>
      <c r="AA2119" s="59"/>
      <c r="AB2119" s="59"/>
      <c r="AC2119" s="59"/>
      <c r="AD2119" s="59"/>
      <c r="AE2119" s="59"/>
      <c r="AF2119" s="59"/>
      <c r="AG2119" s="59"/>
      <c r="AH2119" s="59"/>
      <c r="AI2119" s="59"/>
      <c r="AJ2119" s="59"/>
      <c r="AK2119" s="59"/>
      <c r="AL2119" s="59"/>
      <c r="AM2119" s="59"/>
      <c r="AN2119" s="59"/>
      <c r="AO2119" s="59"/>
      <c r="AP2119" s="59"/>
      <c r="AQ2119" s="59"/>
      <c r="AR2119" s="59"/>
      <c r="AS2119" s="59"/>
      <c r="AT2119" s="59"/>
      <c r="AU2119" s="59"/>
      <c r="AV2119" s="59"/>
      <c r="AW2119" s="59"/>
      <c r="AX2119" s="59"/>
      <c r="AY2119" s="59"/>
      <c r="AZ2119" s="59"/>
      <c r="BA2119" s="59"/>
      <c r="BB2119" s="59"/>
      <c r="BC2119" s="59"/>
      <c r="BD2119" s="59"/>
      <c r="BE2119" s="59"/>
      <c r="BF2119" s="59"/>
      <c r="BG2119" s="59"/>
      <c r="BH2119" s="59"/>
      <c r="BI2119" s="59"/>
      <c r="BJ2119" s="59"/>
      <c r="BK2119" s="59"/>
      <c r="BL2119" s="59"/>
      <c r="BM2119" s="59"/>
      <c r="BN2119" s="59"/>
      <c r="BO2119" s="59"/>
      <c r="BP2119" s="59"/>
      <c r="BQ2119" s="59"/>
      <c r="BR2119" s="59"/>
      <c r="BS2119" s="59"/>
      <c r="BT2119" s="59"/>
      <c r="BU2119" s="59"/>
      <c r="BV2119" s="59"/>
      <c r="BW2119" s="59"/>
      <c r="BX2119" s="59"/>
      <c r="BY2119" s="59"/>
      <c r="BZ2119" s="59"/>
      <c r="CA2119" s="59"/>
      <c r="CB2119" s="59"/>
      <c r="CC2119" s="59"/>
      <c r="CD2119" s="59"/>
      <c r="CE2119" s="59"/>
      <c r="CF2119" s="59"/>
      <c r="CG2119" s="59"/>
      <c r="CH2119" s="59"/>
      <c r="CI2119" s="59"/>
      <c r="CJ2119" s="59"/>
      <c r="CK2119" s="59"/>
      <c r="CL2119" s="59"/>
      <c r="CM2119" s="59"/>
      <c r="CN2119" s="59"/>
      <c r="CO2119" s="59"/>
      <c r="CP2119" s="59"/>
      <c r="CQ2119" s="59"/>
      <c r="CR2119" s="59"/>
      <c r="CS2119" s="59"/>
      <c r="CT2119" s="59"/>
      <c r="CU2119" s="59"/>
      <c r="CV2119" s="59"/>
      <c r="CW2119" s="59"/>
      <c r="CX2119" s="59"/>
      <c r="CY2119" s="59"/>
      <c r="CZ2119" s="59"/>
      <c r="DA2119" s="59"/>
      <c r="DB2119" s="59"/>
      <c r="DC2119" s="59"/>
      <c r="DD2119" s="59"/>
      <c r="DE2119" s="59"/>
      <c r="DF2119" s="59"/>
      <c r="DG2119" s="59"/>
      <c r="DH2119" s="59"/>
      <c r="DI2119" s="59"/>
      <c r="DJ2119" s="59"/>
      <c r="DK2119" s="59"/>
      <c r="DL2119" s="59"/>
      <c r="DM2119" s="59"/>
      <c r="DN2119" s="59"/>
      <c r="DO2119" s="59"/>
      <c r="DP2119" s="59"/>
      <c r="DQ2119" s="59"/>
      <c r="DR2119" s="59"/>
      <c r="DS2119" s="59"/>
      <c r="DT2119" s="59"/>
      <c r="DU2119" s="59"/>
      <c r="DV2119" s="59"/>
    </row>
    <row r="2120" spans="1:126" x14ac:dyDescent="0.3">
      <c r="A2120" s="5"/>
      <c r="B2120" s="5" t="s">
        <v>493</v>
      </c>
      <c r="C2120" s="5"/>
      <c r="D2120" s="5" t="s">
        <v>8</v>
      </c>
      <c r="E2120" s="15">
        <f>155</f>
        <v>155</v>
      </c>
      <c r="F2120" s="15"/>
      <c r="G2120" s="15"/>
    </row>
    <row r="2121" spans="1:126" x14ac:dyDescent="0.3">
      <c r="A2121" s="5"/>
      <c r="B2121" s="5" t="s">
        <v>494</v>
      </c>
      <c r="C2121" s="5"/>
      <c r="D2121" s="5" t="s">
        <v>8</v>
      </c>
      <c r="E2121" s="15">
        <f>0.39</f>
        <v>0.39</v>
      </c>
      <c r="F2121" s="15"/>
      <c r="G2121" s="15"/>
    </row>
    <row r="2122" spans="1:126" x14ac:dyDescent="0.3">
      <c r="A2122" s="5"/>
      <c r="B2122" s="5" t="s">
        <v>495</v>
      </c>
      <c r="C2122" s="5"/>
      <c r="D2122" s="5" t="s">
        <v>8</v>
      </c>
      <c r="E2122" s="15">
        <f>175</f>
        <v>175</v>
      </c>
      <c r="F2122" s="15"/>
      <c r="G2122" s="15"/>
    </row>
    <row r="2123" spans="1:126" x14ac:dyDescent="0.3">
      <c r="A2123" s="5"/>
      <c r="B2123" s="5" t="s">
        <v>494</v>
      </c>
      <c r="C2123" s="5"/>
      <c r="D2123" s="5" t="s">
        <v>8</v>
      </c>
      <c r="E2123" s="15">
        <f>0.39</f>
        <v>0.39</v>
      </c>
      <c r="F2123" s="15"/>
      <c r="G2123" s="15"/>
    </row>
    <row r="2124" spans="1:126" x14ac:dyDescent="0.3">
      <c r="A2124" s="5"/>
      <c r="B2124" s="5" t="s">
        <v>496</v>
      </c>
      <c r="C2124" s="5"/>
      <c r="D2124" s="5" t="s">
        <v>8</v>
      </c>
      <c r="E2124" s="15">
        <f>306</f>
        <v>306</v>
      </c>
      <c r="F2124" s="15"/>
      <c r="G2124" s="15"/>
    </row>
    <row r="2125" spans="1:126" x14ac:dyDescent="0.3">
      <c r="A2125" s="5"/>
      <c r="B2125" s="5" t="s">
        <v>494</v>
      </c>
      <c r="C2125" s="5"/>
      <c r="D2125" s="5" t="s">
        <v>8</v>
      </c>
      <c r="E2125" s="15">
        <f>0.78</f>
        <v>0.78</v>
      </c>
      <c r="F2125" s="15"/>
      <c r="G2125" s="15"/>
    </row>
    <row r="2126" spans="1:126" x14ac:dyDescent="0.3">
      <c r="A2126" s="5"/>
      <c r="B2126" s="5" t="s">
        <v>497</v>
      </c>
      <c r="C2126" s="5"/>
      <c r="D2126" s="5" t="s">
        <v>10</v>
      </c>
      <c r="E2126" s="15">
        <f>980*0.26</f>
        <v>254.8</v>
      </c>
      <c r="F2126" s="15"/>
      <c r="G2126" s="15"/>
    </row>
    <row r="2127" spans="1:126" s="3" customFormat="1" x14ac:dyDescent="0.3">
      <c r="A2127" s="21"/>
      <c r="B2127" s="26" t="s">
        <v>508</v>
      </c>
      <c r="C2127" s="21"/>
      <c r="D2127" s="21"/>
      <c r="E2127" s="22"/>
      <c r="F2127" s="22"/>
      <c r="G2127" s="22"/>
      <c r="H2127" s="59"/>
      <c r="I2127" s="59"/>
      <c r="J2127" s="59"/>
      <c r="K2127" s="59"/>
      <c r="L2127" s="59"/>
      <c r="M2127" s="59"/>
      <c r="N2127" s="59"/>
      <c r="O2127" s="59"/>
      <c r="P2127" s="59"/>
      <c r="Q2127" s="59"/>
      <c r="R2127" s="59"/>
      <c r="S2127" s="59"/>
      <c r="T2127" s="59"/>
      <c r="U2127" s="59"/>
      <c r="V2127" s="59"/>
      <c r="W2127" s="59"/>
      <c r="X2127" s="59"/>
      <c r="Y2127" s="59"/>
      <c r="Z2127" s="59"/>
      <c r="AA2127" s="59"/>
      <c r="AB2127" s="59"/>
      <c r="AC2127" s="59"/>
      <c r="AD2127" s="59"/>
      <c r="AE2127" s="59"/>
      <c r="AF2127" s="59"/>
      <c r="AG2127" s="59"/>
      <c r="AH2127" s="59"/>
      <c r="AI2127" s="59"/>
      <c r="AJ2127" s="59"/>
      <c r="AK2127" s="59"/>
      <c r="AL2127" s="59"/>
      <c r="AM2127" s="59"/>
      <c r="AN2127" s="59"/>
      <c r="AO2127" s="59"/>
      <c r="AP2127" s="59"/>
      <c r="AQ2127" s="59"/>
      <c r="AR2127" s="59"/>
      <c r="AS2127" s="59"/>
      <c r="AT2127" s="59"/>
      <c r="AU2127" s="59"/>
      <c r="AV2127" s="59"/>
      <c r="AW2127" s="59"/>
      <c r="AX2127" s="59"/>
      <c r="AY2127" s="59"/>
      <c r="AZ2127" s="59"/>
      <c r="BA2127" s="59"/>
      <c r="BB2127" s="59"/>
      <c r="BC2127" s="59"/>
      <c r="BD2127" s="59"/>
      <c r="BE2127" s="59"/>
      <c r="BF2127" s="59"/>
      <c r="BG2127" s="59"/>
      <c r="BH2127" s="59"/>
      <c r="BI2127" s="59"/>
      <c r="BJ2127" s="59"/>
      <c r="BK2127" s="59"/>
      <c r="BL2127" s="59"/>
      <c r="BM2127" s="59"/>
      <c r="BN2127" s="59"/>
      <c r="BO2127" s="59"/>
      <c r="BP2127" s="59"/>
      <c r="BQ2127" s="59"/>
      <c r="BR2127" s="59"/>
      <c r="BS2127" s="59"/>
      <c r="BT2127" s="59"/>
      <c r="BU2127" s="59"/>
      <c r="BV2127" s="59"/>
      <c r="BW2127" s="59"/>
      <c r="BX2127" s="59"/>
      <c r="BY2127" s="59"/>
      <c r="BZ2127" s="59"/>
      <c r="CA2127" s="59"/>
      <c r="CB2127" s="59"/>
      <c r="CC2127" s="59"/>
      <c r="CD2127" s="59"/>
      <c r="CE2127" s="59"/>
      <c r="CF2127" s="59"/>
      <c r="CG2127" s="59"/>
      <c r="CH2127" s="59"/>
      <c r="CI2127" s="59"/>
      <c r="CJ2127" s="59"/>
      <c r="CK2127" s="59"/>
      <c r="CL2127" s="59"/>
      <c r="CM2127" s="59"/>
      <c r="CN2127" s="59"/>
      <c r="CO2127" s="59"/>
      <c r="CP2127" s="59"/>
      <c r="CQ2127" s="59"/>
      <c r="CR2127" s="59"/>
      <c r="CS2127" s="59"/>
      <c r="CT2127" s="59"/>
      <c r="CU2127" s="59"/>
      <c r="CV2127" s="59"/>
      <c r="CW2127" s="59"/>
      <c r="CX2127" s="59"/>
      <c r="CY2127" s="59"/>
      <c r="CZ2127" s="59"/>
      <c r="DA2127" s="59"/>
      <c r="DB2127" s="59"/>
      <c r="DC2127" s="59"/>
      <c r="DD2127" s="59"/>
      <c r="DE2127" s="59"/>
      <c r="DF2127" s="59"/>
      <c r="DG2127" s="59"/>
      <c r="DH2127" s="59"/>
      <c r="DI2127" s="59"/>
      <c r="DJ2127" s="59"/>
      <c r="DK2127" s="59"/>
      <c r="DL2127" s="59"/>
      <c r="DM2127" s="59"/>
      <c r="DN2127" s="59"/>
      <c r="DO2127" s="59"/>
      <c r="DP2127" s="59"/>
      <c r="DQ2127" s="59"/>
      <c r="DR2127" s="59"/>
      <c r="DS2127" s="59"/>
      <c r="DT2127" s="59"/>
      <c r="DU2127" s="59"/>
      <c r="DV2127" s="59"/>
    </row>
    <row r="2128" spans="1:126" x14ac:dyDescent="0.3">
      <c r="A2128" s="5"/>
      <c r="B2128" s="5" t="s">
        <v>543</v>
      </c>
      <c r="C2128" s="5"/>
      <c r="D2128" s="5" t="s">
        <v>10</v>
      </c>
      <c r="E2128" s="15">
        <f>1072*0.15</f>
        <v>160.79999999999998</v>
      </c>
      <c r="F2128" s="15"/>
      <c r="G2128" s="15"/>
    </row>
    <row r="2129" spans="1:126" s="25" customFormat="1" x14ac:dyDescent="0.3">
      <c r="A2129" s="23"/>
      <c r="B2129" s="23" t="s">
        <v>544</v>
      </c>
      <c r="C2129" s="23"/>
      <c r="D2129" s="23"/>
      <c r="E2129" s="24"/>
      <c r="F2129" s="24"/>
      <c r="G2129" s="24"/>
      <c r="H2129" s="59"/>
      <c r="I2129" s="59"/>
      <c r="J2129" s="59"/>
      <c r="K2129" s="59"/>
      <c r="L2129" s="59"/>
      <c r="M2129" s="59"/>
      <c r="N2129" s="59"/>
      <c r="O2129" s="59"/>
      <c r="P2129" s="59"/>
      <c r="Q2129" s="59"/>
      <c r="R2129" s="59"/>
      <c r="S2129" s="59"/>
      <c r="T2129" s="59"/>
      <c r="U2129" s="59"/>
      <c r="V2129" s="59"/>
      <c r="W2129" s="59"/>
      <c r="X2129" s="59"/>
      <c r="Y2129" s="59"/>
      <c r="Z2129" s="59"/>
      <c r="AA2129" s="59"/>
      <c r="AB2129" s="59"/>
      <c r="AC2129" s="59"/>
      <c r="AD2129" s="59"/>
      <c r="AE2129" s="59"/>
      <c r="AF2129" s="59"/>
      <c r="AG2129" s="59"/>
      <c r="AH2129" s="59"/>
      <c r="AI2129" s="59"/>
      <c r="AJ2129" s="59"/>
      <c r="AK2129" s="59"/>
      <c r="AL2129" s="59"/>
      <c r="AM2129" s="59"/>
      <c r="AN2129" s="59"/>
      <c r="AO2129" s="59"/>
      <c r="AP2129" s="59"/>
      <c r="AQ2129" s="59"/>
      <c r="AR2129" s="59"/>
      <c r="AS2129" s="59"/>
      <c r="AT2129" s="59"/>
      <c r="AU2129" s="59"/>
      <c r="AV2129" s="59"/>
      <c r="AW2129" s="59"/>
      <c r="AX2129" s="59"/>
      <c r="AY2129" s="59"/>
      <c r="AZ2129" s="59"/>
      <c r="BA2129" s="59"/>
      <c r="BB2129" s="59"/>
      <c r="BC2129" s="59"/>
      <c r="BD2129" s="59"/>
      <c r="BE2129" s="59"/>
      <c r="BF2129" s="59"/>
      <c r="BG2129" s="59"/>
      <c r="BH2129" s="59"/>
      <c r="BI2129" s="59"/>
      <c r="BJ2129" s="59"/>
      <c r="BK2129" s="59"/>
      <c r="BL2129" s="59"/>
      <c r="BM2129" s="59"/>
      <c r="BN2129" s="59"/>
      <c r="BO2129" s="59"/>
      <c r="BP2129" s="59"/>
      <c r="BQ2129" s="59"/>
      <c r="BR2129" s="59"/>
      <c r="BS2129" s="59"/>
      <c r="BT2129" s="59"/>
      <c r="BU2129" s="59"/>
      <c r="BV2129" s="59"/>
      <c r="BW2129" s="59"/>
      <c r="BX2129" s="59"/>
      <c r="BY2129" s="59"/>
      <c r="BZ2129" s="59"/>
      <c r="CA2129" s="59"/>
      <c r="CB2129" s="59"/>
      <c r="CC2129" s="59"/>
      <c r="CD2129" s="59"/>
      <c r="CE2129" s="59"/>
      <c r="CF2129" s="59"/>
      <c r="CG2129" s="59"/>
      <c r="CH2129" s="59"/>
      <c r="CI2129" s="59"/>
      <c r="CJ2129" s="59"/>
      <c r="CK2129" s="59"/>
      <c r="CL2129" s="59"/>
      <c r="CM2129" s="59"/>
      <c r="CN2129" s="59"/>
      <c r="CO2129" s="59"/>
      <c r="CP2129" s="59"/>
      <c r="CQ2129" s="59"/>
      <c r="CR2129" s="59"/>
      <c r="CS2129" s="59"/>
      <c r="CT2129" s="59"/>
      <c r="CU2129" s="59"/>
      <c r="CV2129" s="59"/>
      <c r="CW2129" s="59"/>
      <c r="CX2129" s="59"/>
      <c r="CY2129" s="59"/>
      <c r="CZ2129" s="59"/>
      <c r="DA2129" s="59"/>
      <c r="DB2129" s="59"/>
      <c r="DC2129" s="59"/>
      <c r="DD2129" s="59"/>
      <c r="DE2129" s="59"/>
      <c r="DF2129" s="59"/>
      <c r="DG2129" s="59"/>
      <c r="DH2129" s="59"/>
      <c r="DI2129" s="59"/>
      <c r="DJ2129" s="59"/>
      <c r="DK2129" s="59"/>
      <c r="DL2129" s="59"/>
      <c r="DM2129" s="59"/>
      <c r="DN2129" s="59"/>
      <c r="DO2129" s="59"/>
      <c r="DP2129" s="59"/>
      <c r="DQ2129" s="59"/>
      <c r="DR2129" s="59"/>
      <c r="DS2129" s="59"/>
      <c r="DT2129" s="59"/>
      <c r="DU2129" s="59"/>
      <c r="DV2129" s="59"/>
    </row>
    <row r="2130" spans="1:126" s="3" customFormat="1" x14ac:dyDescent="0.3">
      <c r="A2130" s="21"/>
      <c r="B2130" s="21" t="s">
        <v>500</v>
      </c>
      <c r="C2130" s="21"/>
      <c r="D2130" s="21"/>
      <c r="E2130" s="22"/>
      <c r="F2130" s="22"/>
      <c r="G2130" s="22"/>
      <c r="H2130" s="59"/>
      <c r="I2130" s="59"/>
      <c r="J2130" s="59"/>
      <c r="K2130" s="59"/>
      <c r="L2130" s="59"/>
      <c r="M2130" s="59"/>
      <c r="N2130" s="59"/>
      <c r="O2130" s="59"/>
      <c r="P2130" s="59"/>
      <c r="Q2130" s="59"/>
      <c r="R2130" s="59"/>
      <c r="S2130" s="59"/>
      <c r="T2130" s="59"/>
      <c r="U2130" s="59"/>
      <c r="V2130" s="59"/>
      <c r="W2130" s="59"/>
      <c r="X2130" s="59"/>
      <c r="Y2130" s="59"/>
      <c r="Z2130" s="59"/>
      <c r="AA2130" s="59"/>
      <c r="AB2130" s="59"/>
      <c r="AC2130" s="59"/>
      <c r="AD2130" s="59"/>
      <c r="AE2130" s="59"/>
      <c r="AF2130" s="59"/>
      <c r="AG2130" s="59"/>
      <c r="AH2130" s="59"/>
      <c r="AI2130" s="59"/>
      <c r="AJ2130" s="59"/>
      <c r="AK2130" s="59"/>
      <c r="AL2130" s="59"/>
      <c r="AM2130" s="59"/>
      <c r="AN2130" s="59"/>
      <c r="AO2130" s="59"/>
      <c r="AP2130" s="59"/>
      <c r="AQ2130" s="59"/>
      <c r="AR2130" s="59"/>
      <c r="AS2130" s="59"/>
      <c r="AT2130" s="59"/>
      <c r="AU2130" s="59"/>
      <c r="AV2130" s="59"/>
      <c r="AW2130" s="59"/>
      <c r="AX2130" s="59"/>
      <c r="AY2130" s="59"/>
      <c r="AZ2130" s="59"/>
      <c r="BA2130" s="59"/>
      <c r="BB2130" s="59"/>
      <c r="BC2130" s="59"/>
      <c r="BD2130" s="59"/>
      <c r="BE2130" s="59"/>
      <c r="BF2130" s="59"/>
      <c r="BG2130" s="59"/>
      <c r="BH2130" s="59"/>
      <c r="BI2130" s="59"/>
      <c r="BJ2130" s="59"/>
      <c r="BK2130" s="59"/>
      <c r="BL2130" s="59"/>
      <c r="BM2130" s="59"/>
      <c r="BN2130" s="59"/>
      <c r="BO2130" s="59"/>
      <c r="BP2130" s="59"/>
      <c r="BQ2130" s="59"/>
      <c r="BR2130" s="59"/>
      <c r="BS2130" s="59"/>
      <c r="BT2130" s="59"/>
      <c r="BU2130" s="59"/>
      <c r="BV2130" s="59"/>
      <c r="BW2130" s="59"/>
      <c r="BX2130" s="59"/>
      <c r="BY2130" s="59"/>
      <c r="BZ2130" s="59"/>
      <c r="CA2130" s="59"/>
      <c r="CB2130" s="59"/>
      <c r="CC2130" s="59"/>
      <c r="CD2130" s="59"/>
      <c r="CE2130" s="59"/>
      <c r="CF2130" s="59"/>
      <c r="CG2130" s="59"/>
      <c r="CH2130" s="59"/>
      <c r="CI2130" s="59"/>
      <c r="CJ2130" s="59"/>
      <c r="CK2130" s="59"/>
      <c r="CL2130" s="59"/>
      <c r="CM2130" s="59"/>
      <c r="CN2130" s="59"/>
      <c r="CO2130" s="59"/>
      <c r="CP2130" s="59"/>
      <c r="CQ2130" s="59"/>
      <c r="CR2130" s="59"/>
      <c r="CS2130" s="59"/>
      <c r="CT2130" s="59"/>
      <c r="CU2130" s="59"/>
      <c r="CV2130" s="59"/>
      <c r="CW2130" s="59"/>
      <c r="CX2130" s="59"/>
      <c r="CY2130" s="59"/>
      <c r="CZ2130" s="59"/>
      <c r="DA2130" s="59"/>
      <c r="DB2130" s="59"/>
      <c r="DC2130" s="59"/>
      <c r="DD2130" s="59"/>
      <c r="DE2130" s="59"/>
      <c r="DF2130" s="59"/>
      <c r="DG2130" s="59"/>
      <c r="DH2130" s="59"/>
      <c r="DI2130" s="59"/>
      <c r="DJ2130" s="59"/>
      <c r="DK2130" s="59"/>
      <c r="DL2130" s="59"/>
      <c r="DM2130" s="59"/>
      <c r="DN2130" s="59"/>
      <c r="DO2130" s="59"/>
      <c r="DP2130" s="59"/>
      <c r="DQ2130" s="59"/>
      <c r="DR2130" s="59"/>
      <c r="DS2130" s="59"/>
      <c r="DT2130" s="59"/>
      <c r="DU2130" s="59"/>
      <c r="DV2130" s="59"/>
    </row>
    <row r="2131" spans="1:126" x14ac:dyDescent="0.3">
      <c r="A2131" s="5"/>
      <c r="B2131" s="5" t="s">
        <v>493</v>
      </c>
      <c r="C2131" s="5"/>
      <c r="D2131" s="5" t="s">
        <v>8</v>
      </c>
      <c r="E2131" s="15">
        <f>279</f>
        <v>279</v>
      </c>
      <c r="F2131" s="15"/>
      <c r="G2131" s="15"/>
    </row>
    <row r="2132" spans="1:126" x14ac:dyDescent="0.3">
      <c r="A2132" s="5"/>
      <c r="B2132" s="5" t="s">
        <v>494</v>
      </c>
      <c r="C2132" s="5"/>
      <c r="D2132" s="5" t="s">
        <v>8</v>
      </c>
      <c r="E2132" s="15">
        <f>1.11</f>
        <v>1.1100000000000001</v>
      </c>
      <c r="F2132" s="15"/>
      <c r="G2132" s="15"/>
    </row>
    <row r="2133" spans="1:126" x14ac:dyDescent="0.3">
      <c r="A2133" s="5"/>
      <c r="B2133" s="5" t="s">
        <v>545</v>
      </c>
      <c r="C2133" s="5"/>
      <c r="D2133" s="5" t="s">
        <v>69</v>
      </c>
      <c r="E2133" s="15">
        <f>2032</f>
        <v>2032</v>
      </c>
      <c r="F2133" s="15"/>
      <c r="G2133" s="15"/>
    </row>
    <row r="2134" spans="1:126" x14ac:dyDescent="0.3">
      <c r="A2134" s="5"/>
      <c r="B2134" s="5" t="s">
        <v>494</v>
      </c>
      <c r="C2134" s="5"/>
      <c r="D2134" s="5" t="s">
        <v>8</v>
      </c>
      <c r="E2134" s="15">
        <f>0.81</f>
        <v>0.81</v>
      </c>
      <c r="F2134" s="15"/>
      <c r="G2134" s="15"/>
    </row>
    <row r="2135" spans="1:126" x14ac:dyDescent="0.3">
      <c r="A2135" s="5"/>
      <c r="B2135" s="5" t="s">
        <v>495</v>
      </c>
      <c r="C2135" s="5"/>
      <c r="D2135" s="5" t="s">
        <v>8</v>
      </c>
      <c r="E2135" s="15">
        <f>449</f>
        <v>449</v>
      </c>
      <c r="F2135" s="15"/>
      <c r="G2135" s="15"/>
    </row>
    <row r="2136" spans="1:126" x14ac:dyDescent="0.3">
      <c r="A2136" s="5"/>
      <c r="B2136" s="5" t="s">
        <v>494</v>
      </c>
      <c r="C2136" s="5"/>
      <c r="D2136" s="5" t="s">
        <v>8</v>
      </c>
      <c r="E2136" s="15">
        <f>0.7</f>
        <v>0.7</v>
      </c>
      <c r="F2136" s="15"/>
      <c r="G2136" s="15"/>
    </row>
    <row r="2137" spans="1:126" x14ac:dyDescent="0.3">
      <c r="A2137" s="5"/>
      <c r="B2137" s="5" t="s">
        <v>496</v>
      </c>
      <c r="C2137" s="5"/>
      <c r="D2137" s="5" t="s">
        <v>8</v>
      </c>
      <c r="E2137" s="15">
        <f>636</f>
        <v>636</v>
      </c>
      <c r="F2137" s="15"/>
      <c r="G2137" s="15"/>
    </row>
    <row r="2138" spans="1:126" x14ac:dyDescent="0.3">
      <c r="A2138" s="5"/>
      <c r="B2138" s="5" t="s">
        <v>494</v>
      </c>
      <c r="C2138" s="5"/>
      <c r="D2138" s="5" t="s">
        <v>8</v>
      </c>
      <c r="E2138" s="15">
        <f>1.41</f>
        <v>1.41</v>
      </c>
      <c r="F2138" s="15"/>
      <c r="G2138" s="15"/>
    </row>
    <row r="2139" spans="1:126" s="3" customFormat="1" x14ac:dyDescent="0.3">
      <c r="A2139" s="21"/>
      <c r="B2139" s="21" t="s">
        <v>501</v>
      </c>
      <c r="C2139" s="21"/>
      <c r="D2139" s="21"/>
      <c r="E2139" s="22"/>
      <c r="F2139" s="22"/>
      <c r="G2139" s="22"/>
      <c r="H2139" s="59"/>
      <c r="I2139" s="59"/>
      <c r="J2139" s="59"/>
      <c r="K2139" s="59"/>
      <c r="L2139" s="59"/>
      <c r="M2139" s="59"/>
      <c r="N2139" s="59"/>
      <c r="O2139" s="59"/>
      <c r="P2139" s="59"/>
      <c r="Q2139" s="59"/>
      <c r="R2139" s="59"/>
      <c r="S2139" s="59"/>
      <c r="T2139" s="59"/>
      <c r="U2139" s="59"/>
      <c r="V2139" s="59"/>
      <c r="W2139" s="59"/>
      <c r="X2139" s="59"/>
      <c r="Y2139" s="59"/>
      <c r="Z2139" s="59"/>
      <c r="AA2139" s="59"/>
      <c r="AB2139" s="59"/>
      <c r="AC2139" s="59"/>
      <c r="AD2139" s="59"/>
      <c r="AE2139" s="59"/>
      <c r="AF2139" s="59"/>
      <c r="AG2139" s="59"/>
      <c r="AH2139" s="59"/>
      <c r="AI2139" s="59"/>
      <c r="AJ2139" s="59"/>
      <c r="AK2139" s="59"/>
      <c r="AL2139" s="59"/>
      <c r="AM2139" s="59"/>
      <c r="AN2139" s="59"/>
      <c r="AO2139" s="59"/>
      <c r="AP2139" s="59"/>
      <c r="AQ2139" s="59"/>
      <c r="AR2139" s="59"/>
      <c r="AS2139" s="59"/>
      <c r="AT2139" s="59"/>
      <c r="AU2139" s="59"/>
      <c r="AV2139" s="59"/>
      <c r="AW2139" s="59"/>
      <c r="AX2139" s="59"/>
      <c r="AY2139" s="59"/>
      <c r="AZ2139" s="59"/>
      <c r="BA2139" s="59"/>
      <c r="BB2139" s="59"/>
      <c r="BC2139" s="59"/>
      <c r="BD2139" s="59"/>
      <c r="BE2139" s="59"/>
      <c r="BF2139" s="59"/>
      <c r="BG2139" s="59"/>
      <c r="BH2139" s="59"/>
      <c r="BI2139" s="59"/>
      <c r="BJ2139" s="59"/>
      <c r="BK2139" s="59"/>
      <c r="BL2139" s="59"/>
      <c r="BM2139" s="59"/>
      <c r="BN2139" s="59"/>
      <c r="BO2139" s="59"/>
      <c r="BP2139" s="59"/>
      <c r="BQ2139" s="59"/>
      <c r="BR2139" s="59"/>
      <c r="BS2139" s="59"/>
      <c r="BT2139" s="59"/>
      <c r="BU2139" s="59"/>
      <c r="BV2139" s="59"/>
      <c r="BW2139" s="59"/>
      <c r="BX2139" s="59"/>
      <c r="BY2139" s="59"/>
      <c r="BZ2139" s="59"/>
      <c r="CA2139" s="59"/>
      <c r="CB2139" s="59"/>
      <c r="CC2139" s="59"/>
      <c r="CD2139" s="59"/>
      <c r="CE2139" s="59"/>
      <c r="CF2139" s="59"/>
      <c r="CG2139" s="59"/>
      <c r="CH2139" s="59"/>
      <c r="CI2139" s="59"/>
      <c r="CJ2139" s="59"/>
      <c r="CK2139" s="59"/>
      <c r="CL2139" s="59"/>
      <c r="CM2139" s="59"/>
      <c r="CN2139" s="59"/>
      <c r="CO2139" s="59"/>
      <c r="CP2139" s="59"/>
      <c r="CQ2139" s="59"/>
      <c r="CR2139" s="59"/>
      <c r="CS2139" s="59"/>
      <c r="CT2139" s="59"/>
      <c r="CU2139" s="59"/>
      <c r="CV2139" s="59"/>
      <c r="CW2139" s="59"/>
      <c r="CX2139" s="59"/>
      <c r="CY2139" s="59"/>
      <c r="CZ2139" s="59"/>
      <c r="DA2139" s="59"/>
      <c r="DB2139" s="59"/>
      <c r="DC2139" s="59"/>
      <c r="DD2139" s="59"/>
      <c r="DE2139" s="59"/>
      <c r="DF2139" s="59"/>
      <c r="DG2139" s="59"/>
      <c r="DH2139" s="59"/>
      <c r="DI2139" s="59"/>
      <c r="DJ2139" s="59"/>
      <c r="DK2139" s="59"/>
      <c r="DL2139" s="59"/>
      <c r="DM2139" s="59"/>
      <c r="DN2139" s="59"/>
      <c r="DO2139" s="59"/>
      <c r="DP2139" s="59"/>
      <c r="DQ2139" s="59"/>
      <c r="DR2139" s="59"/>
      <c r="DS2139" s="59"/>
      <c r="DT2139" s="59"/>
      <c r="DU2139" s="59"/>
      <c r="DV2139" s="59"/>
    </row>
    <row r="2140" spans="1:126" x14ac:dyDescent="0.3">
      <c r="A2140" s="5"/>
      <c r="B2140" s="5" t="s">
        <v>497</v>
      </c>
      <c r="C2140" s="5"/>
      <c r="D2140" s="5" t="s">
        <v>10</v>
      </c>
      <c r="E2140" s="15">
        <f>1872*0.28</f>
        <v>524.16000000000008</v>
      </c>
      <c r="F2140" s="15"/>
      <c r="G2140" s="15"/>
    </row>
    <row r="2141" spans="1:126" s="3" customFormat="1" x14ac:dyDescent="0.3">
      <c r="A2141" s="21"/>
      <c r="B2141" s="21" t="s">
        <v>502</v>
      </c>
      <c r="C2141" s="21"/>
      <c r="D2141" s="21"/>
      <c r="E2141" s="22"/>
      <c r="F2141" s="22"/>
      <c r="G2141" s="22"/>
      <c r="H2141" s="59"/>
      <c r="I2141" s="59"/>
      <c r="J2141" s="59"/>
      <c r="K2141" s="59"/>
      <c r="L2141" s="59"/>
      <c r="M2141" s="59"/>
      <c r="N2141" s="59"/>
      <c r="O2141" s="59"/>
      <c r="P2141" s="59"/>
      <c r="Q2141" s="59"/>
      <c r="R2141" s="59"/>
      <c r="S2141" s="59"/>
      <c r="T2141" s="59"/>
      <c r="U2141" s="59"/>
      <c r="V2141" s="59"/>
      <c r="W2141" s="59"/>
      <c r="X2141" s="59"/>
      <c r="Y2141" s="59"/>
      <c r="Z2141" s="59"/>
      <c r="AA2141" s="59"/>
      <c r="AB2141" s="59"/>
      <c r="AC2141" s="59"/>
      <c r="AD2141" s="59"/>
      <c r="AE2141" s="59"/>
      <c r="AF2141" s="59"/>
      <c r="AG2141" s="59"/>
      <c r="AH2141" s="59"/>
      <c r="AI2141" s="59"/>
      <c r="AJ2141" s="59"/>
      <c r="AK2141" s="59"/>
      <c r="AL2141" s="59"/>
      <c r="AM2141" s="59"/>
      <c r="AN2141" s="59"/>
      <c r="AO2141" s="59"/>
      <c r="AP2141" s="59"/>
      <c r="AQ2141" s="59"/>
      <c r="AR2141" s="59"/>
      <c r="AS2141" s="59"/>
      <c r="AT2141" s="59"/>
      <c r="AU2141" s="59"/>
      <c r="AV2141" s="59"/>
      <c r="AW2141" s="59"/>
      <c r="AX2141" s="59"/>
      <c r="AY2141" s="59"/>
      <c r="AZ2141" s="59"/>
      <c r="BA2141" s="59"/>
      <c r="BB2141" s="59"/>
      <c r="BC2141" s="59"/>
      <c r="BD2141" s="59"/>
      <c r="BE2141" s="59"/>
      <c r="BF2141" s="59"/>
      <c r="BG2141" s="59"/>
      <c r="BH2141" s="59"/>
      <c r="BI2141" s="59"/>
      <c r="BJ2141" s="59"/>
      <c r="BK2141" s="59"/>
      <c r="BL2141" s="59"/>
      <c r="BM2141" s="59"/>
      <c r="BN2141" s="59"/>
      <c r="BO2141" s="59"/>
      <c r="BP2141" s="59"/>
      <c r="BQ2141" s="59"/>
      <c r="BR2141" s="59"/>
      <c r="BS2141" s="59"/>
      <c r="BT2141" s="59"/>
      <c r="BU2141" s="59"/>
      <c r="BV2141" s="59"/>
      <c r="BW2141" s="59"/>
      <c r="BX2141" s="59"/>
      <c r="BY2141" s="59"/>
      <c r="BZ2141" s="59"/>
      <c r="CA2141" s="59"/>
      <c r="CB2141" s="59"/>
      <c r="CC2141" s="59"/>
      <c r="CD2141" s="59"/>
      <c r="CE2141" s="59"/>
      <c r="CF2141" s="59"/>
      <c r="CG2141" s="59"/>
      <c r="CH2141" s="59"/>
      <c r="CI2141" s="59"/>
      <c r="CJ2141" s="59"/>
      <c r="CK2141" s="59"/>
      <c r="CL2141" s="59"/>
      <c r="CM2141" s="59"/>
      <c r="CN2141" s="59"/>
      <c r="CO2141" s="59"/>
      <c r="CP2141" s="59"/>
      <c r="CQ2141" s="59"/>
      <c r="CR2141" s="59"/>
      <c r="CS2141" s="59"/>
      <c r="CT2141" s="59"/>
      <c r="CU2141" s="59"/>
      <c r="CV2141" s="59"/>
      <c r="CW2141" s="59"/>
      <c r="CX2141" s="59"/>
      <c r="CY2141" s="59"/>
      <c r="CZ2141" s="59"/>
      <c r="DA2141" s="59"/>
      <c r="DB2141" s="59"/>
      <c r="DC2141" s="59"/>
      <c r="DD2141" s="59"/>
      <c r="DE2141" s="59"/>
      <c r="DF2141" s="59"/>
      <c r="DG2141" s="59"/>
      <c r="DH2141" s="59"/>
      <c r="DI2141" s="59"/>
      <c r="DJ2141" s="59"/>
      <c r="DK2141" s="59"/>
      <c r="DL2141" s="59"/>
      <c r="DM2141" s="59"/>
      <c r="DN2141" s="59"/>
      <c r="DO2141" s="59"/>
      <c r="DP2141" s="59"/>
      <c r="DQ2141" s="59"/>
      <c r="DR2141" s="59"/>
      <c r="DS2141" s="59"/>
      <c r="DT2141" s="59"/>
      <c r="DU2141" s="59"/>
      <c r="DV2141" s="59"/>
    </row>
    <row r="2142" spans="1:126" x14ac:dyDescent="0.3">
      <c r="A2142" s="5"/>
      <c r="B2142" s="5" t="s">
        <v>498</v>
      </c>
      <c r="C2142" s="5"/>
      <c r="D2142" s="5" t="s">
        <v>10</v>
      </c>
      <c r="E2142" s="15">
        <f>709</f>
        <v>709</v>
      </c>
      <c r="F2142" s="15"/>
      <c r="G2142" s="15"/>
    </row>
    <row r="2143" spans="1:126" s="3" customFormat="1" x14ac:dyDescent="0.3">
      <c r="A2143" s="21"/>
      <c r="B2143" s="21" t="s">
        <v>520</v>
      </c>
      <c r="C2143" s="21"/>
      <c r="D2143" s="21"/>
      <c r="E2143" s="22"/>
      <c r="F2143" s="22"/>
      <c r="G2143" s="22"/>
      <c r="H2143" s="59"/>
      <c r="I2143" s="59"/>
      <c r="J2143" s="59"/>
      <c r="K2143" s="59"/>
      <c r="L2143" s="59"/>
      <c r="M2143" s="59"/>
      <c r="N2143" s="59"/>
      <c r="O2143" s="59"/>
      <c r="P2143" s="59"/>
      <c r="Q2143" s="59"/>
      <c r="R2143" s="59"/>
      <c r="S2143" s="59"/>
      <c r="T2143" s="59"/>
      <c r="U2143" s="59"/>
      <c r="V2143" s="59"/>
      <c r="W2143" s="59"/>
      <c r="X2143" s="59"/>
      <c r="Y2143" s="59"/>
      <c r="Z2143" s="59"/>
      <c r="AA2143" s="59"/>
      <c r="AB2143" s="59"/>
      <c r="AC2143" s="59"/>
      <c r="AD2143" s="59"/>
      <c r="AE2143" s="59"/>
      <c r="AF2143" s="59"/>
      <c r="AG2143" s="59"/>
      <c r="AH2143" s="59"/>
      <c r="AI2143" s="59"/>
      <c r="AJ2143" s="59"/>
      <c r="AK2143" s="59"/>
      <c r="AL2143" s="59"/>
      <c r="AM2143" s="59"/>
      <c r="AN2143" s="59"/>
      <c r="AO2143" s="59"/>
      <c r="AP2143" s="59"/>
      <c r="AQ2143" s="59"/>
      <c r="AR2143" s="59"/>
      <c r="AS2143" s="59"/>
      <c r="AT2143" s="59"/>
      <c r="AU2143" s="59"/>
      <c r="AV2143" s="59"/>
      <c r="AW2143" s="59"/>
      <c r="AX2143" s="59"/>
      <c r="AY2143" s="59"/>
      <c r="AZ2143" s="59"/>
      <c r="BA2143" s="59"/>
      <c r="BB2143" s="59"/>
      <c r="BC2143" s="59"/>
      <c r="BD2143" s="59"/>
      <c r="BE2143" s="59"/>
      <c r="BF2143" s="59"/>
      <c r="BG2143" s="59"/>
      <c r="BH2143" s="59"/>
      <c r="BI2143" s="59"/>
      <c r="BJ2143" s="59"/>
      <c r="BK2143" s="59"/>
      <c r="BL2143" s="59"/>
      <c r="BM2143" s="59"/>
      <c r="BN2143" s="59"/>
      <c r="BO2143" s="59"/>
      <c r="BP2143" s="59"/>
      <c r="BQ2143" s="59"/>
      <c r="BR2143" s="59"/>
      <c r="BS2143" s="59"/>
      <c r="BT2143" s="59"/>
      <c r="BU2143" s="59"/>
      <c r="BV2143" s="59"/>
      <c r="BW2143" s="59"/>
      <c r="BX2143" s="59"/>
      <c r="BY2143" s="59"/>
      <c r="BZ2143" s="59"/>
      <c r="CA2143" s="59"/>
      <c r="CB2143" s="59"/>
      <c r="CC2143" s="59"/>
      <c r="CD2143" s="59"/>
      <c r="CE2143" s="59"/>
      <c r="CF2143" s="59"/>
      <c r="CG2143" s="59"/>
      <c r="CH2143" s="59"/>
      <c r="CI2143" s="59"/>
      <c r="CJ2143" s="59"/>
      <c r="CK2143" s="59"/>
      <c r="CL2143" s="59"/>
      <c r="CM2143" s="59"/>
      <c r="CN2143" s="59"/>
      <c r="CO2143" s="59"/>
      <c r="CP2143" s="59"/>
      <c r="CQ2143" s="59"/>
      <c r="CR2143" s="59"/>
      <c r="CS2143" s="59"/>
      <c r="CT2143" s="59"/>
      <c r="CU2143" s="59"/>
      <c r="CV2143" s="59"/>
      <c r="CW2143" s="59"/>
      <c r="CX2143" s="59"/>
      <c r="CY2143" s="59"/>
      <c r="CZ2143" s="59"/>
      <c r="DA2143" s="59"/>
      <c r="DB2143" s="59"/>
      <c r="DC2143" s="59"/>
      <c r="DD2143" s="59"/>
      <c r="DE2143" s="59"/>
      <c r="DF2143" s="59"/>
      <c r="DG2143" s="59"/>
      <c r="DH2143" s="59"/>
      <c r="DI2143" s="59"/>
      <c r="DJ2143" s="59"/>
      <c r="DK2143" s="59"/>
      <c r="DL2143" s="59"/>
      <c r="DM2143" s="59"/>
      <c r="DN2143" s="59"/>
      <c r="DO2143" s="59"/>
      <c r="DP2143" s="59"/>
      <c r="DQ2143" s="59"/>
      <c r="DR2143" s="59"/>
      <c r="DS2143" s="59"/>
      <c r="DT2143" s="59"/>
      <c r="DU2143" s="59"/>
      <c r="DV2143" s="59"/>
    </row>
    <row r="2144" spans="1:126" x14ac:dyDescent="0.3">
      <c r="A2144" s="5"/>
      <c r="B2144" s="5" t="s">
        <v>499</v>
      </c>
      <c r="C2144" s="5"/>
      <c r="D2144" s="5" t="s">
        <v>10</v>
      </c>
      <c r="E2144" s="15">
        <f>1908</f>
        <v>1908</v>
      </c>
      <c r="F2144" s="15"/>
      <c r="G2144" s="15"/>
    </row>
    <row r="2145" spans="1:126" s="3" customFormat="1" x14ac:dyDescent="0.3">
      <c r="A2145" s="21"/>
      <c r="B2145" s="26" t="s">
        <v>508</v>
      </c>
      <c r="C2145" s="21"/>
      <c r="D2145" s="21"/>
      <c r="E2145" s="22"/>
      <c r="F2145" s="22"/>
      <c r="G2145" s="22"/>
      <c r="H2145" s="59"/>
      <c r="I2145" s="59"/>
      <c r="J2145" s="59"/>
      <c r="K2145" s="59"/>
      <c r="L2145" s="59"/>
      <c r="M2145" s="59"/>
      <c r="N2145" s="59"/>
      <c r="O2145" s="59"/>
      <c r="P2145" s="59"/>
      <c r="Q2145" s="59"/>
      <c r="R2145" s="59"/>
      <c r="S2145" s="59"/>
      <c r="T2145" s="59"/>
      <c r="U2145" s="59"/>
      <c r="V2145" s="59"/>
      <c r="W2145" s="59"/>
      <c r="X2145" s="59"/>
      <c r="Y2145" s="59"/>
      <c r="Z2145" s="59"/>
      <c r="AA2145" s="59"/>
      <c r="AB2145" s="59"/>
      <c r="AC2145" s="59"/>
      <c r="AD2145" s="59"/>
      <c r="AE2145" s="59"/>
      <c r="AF2145" s="59"/>
      <c r="AG2145" s="59"/>
      <c r="AH2145" s="59"/>
      <c r="AI2145" s="59"/>
      <c r="AJ2145" s="59"/>
      <c r="AK2145" s="59"/>
      <c r="AL2145" s="59"/>
      <c r="AM2145" s="59"/>
      <c r="AN2145" s="59"/>
      <c r="AO2145" s="59"/>
      <c r="AP2145" s="59"/>
      <c r="AQ2145" s="59"/>
      <c r="AR2145" s="59"/>
      <c r="AS2145" s="59"/>
      <c r="AT2145" s="59"/>
      <c r="AU2145" s="59"/>
      <c r="AV2145" s="59"/>
      <c r="AW2145" s="59"/>
      <c r="AX2145" s="59"/>
      <c r="AY2145" s="59"/>
      <c r="AZ2145" s="59"/>
      <c r="BA2145" s="59"/>
      <c r="BB2145" s="59"/>
      <c r="BC2145" s="59"/>
      <c r="BD2145" s="59"/>
      <c r="BE2145" s="59"/>
      <c r="BF2145" s="59"/>
      <c r="BG2145" s="59"/>
      <c r="BH2145" s="59"/>
      <c r="BI2145" s="59"/>
      <c r="BJ2145" s="59"/>
      <c r="BK2145" s="59"/>
      <c r="BL2145" s="59"/>
      <c r="BM2145" s="59"/>
      <c r="BN2145" s="59"/>
      <c r="BO2145" s="59"/>
      <c r="BP2145" s="59"/>
      <c r="BQ2145" s="59"/>
      <c r="BR2145" s="59"/>
      <c r="BS2145" s="59"/>
      <c r="BT2145" s="59"/>
      <c r="BU2145" s="59"/>
      <c r="BV2145" s="59"/>
      <c r="BW2145" s="59"/>
      <c r="BX2145" s="59"/>
      <c r="BY2145" s="59"/>
      <c r="BZ2145" s="59"/>
      <c r="CA2145" s="59"/>
      <c r="CB2145" s="59"/>
      <c r="CC2145" s="59"/>
      <c r="CD2145" s="59"/>
      <c r="CE2145" s="59"/>
      <c r="CF2145" s="59"/>
      <c r="CG2145" s="59"/>
      <c r="CH2145" s="59"/>
      <c r="CI2145" s="59"/>
      <c r="CJ2145" s="59"/>
      <c r="CK2145" s="59"/>
      <c r="CL2145" s="59"/>
      <c r="CM2145" s="59"/>
      <c r="CN2145" s="59"/>
      <c r="CO2145" s="59"/>
      <c r="CP2145" s="59"/>
      <c r="CQ2145" s="59"/>
      <c r="CR2145" s="59"/>
      <c r="CS2145" s="59"/>
      <c r="CT2145" s="59"/>
      <c r="CU2145" s="59"/>
      <c r="CV2145" s="59"/>
      <c r="CW2145" s="59"/>
      <c r="CX2145" s="59"/>
      <c r="CY2145" s="59"/>
      <c r="CZ2145" s="59"/>
      <c r="DA2145" s="59"/>
      <c r="DB2145" s="59"/>
      <c r="DC2145" s="59"/>
      <c r="DD2145" s="59"/>
      <c r="DE2145" s="59"/>
      <c r="DF2145" s="59"/>
      <c r="DG2145" s="59"/>
      <c r="DH2145" s="59"/>
      <c r="DI2145" s="59"/>
      <c r="DJ2145" s="59"/>
      <c r="DK2145" s="59"/>
      <c r="DL2145" s="59"/>
      <c r="DM2145" s="59"/>
      <c r="DN2145" s="59"/>
      <c r="DO2145" s="59"/>
      <c r="DP2145" s="59"/>
      <c r="DQ2145" s="59"/>
      <c r="DR2145" s="59"/>
      <c r="DS2145" s="59"/>
      <c r="DT2145" s="59"/>
      <c r="DU2145" s="59"/>
      <c r="DV2145" s="59"/>
    </row>
    <row r="2146" spans="1:126" x14ac:dyDescent="0.3">
      <c r="A2146" s="5"/>
      <c r="B2146" s="5" t="s">
        <v>543</v>
      </c>
      <c r="C2146" s="5"/>
      <c r="D2146" s="5" t="s">
        <v>10</v>
      </c>
      <c r="E2146" s="15">
        <f>2432*0.15</f>
        <v>364.8</v>
      </c>
      <c r="F2146" s="15"/>
      <c r="G2146" s="15"/>
    </row>
    <row r="2147" spans="1:126" s="7" customFormat="1" x14ac:dyDescent="0.3">
      <c r="A2147" s="6"/>
      <c r="B2147" s="6" t="s">
        <v>573</v>
      </c>
      <c r="C2147" s="6" t="s">
        <v>572</v>
      </c>
      <c r="D2147" s="6"/>
      <c r="E2147" s="13"/>
      <c r="F2147" s="13"/>
      <c r="G2147" s="13"/>
      <c r="H2147" s="59"/>
      <c r="I2147" s="59"/>
      <c r="J2147" s="59"/>
      <c r="K2147" s="59"/>
      <c r="L2147" s="59"/>
      <c r="M2147" s="59"/>
      <c r="N2147" s="59"/>
      <c r="O2147" s="59"/>
      <c r="P2147" s="59"/>
      <c r="Q2147" s="59"/>
      <c r="R2147" s="59"/>
      <c r="S2147" s="59"/>
      <c r="T2147" s="59"/>
      <c r="U2147" s="59"/>
      <c r="V2147" s="59"/>
      <c r="W2147" s="59"/>
      <c r="X2147" s="59"/>
      <c r="Y2147" s="59"/>
      <c r="Z2147" s="59"/>
      <c r="AA2147" s="59"/>
      <c r="AB2147" s="59"/>
      <c r="AC2147" s="59"/>
      <c r="AD2147" s="59"/>
      <c r="AE2147" s="59"/>
      <c r="AF2147" s="59"/>
      <c r="AG2147" s="59"/>
      <c r="AH2147" s="59"/>
      <c r="AI2147" s="59"/>
      <c r="AJ2147" s="59"/>
      <c r="AK2147" s="59"/>
      <c r="AL2147" s="59"/>
      <c r="AM2147" s="59"/>
      <c r="AN2147" s="59"/>
      <c r="AO2147" s="59"/>
      <c r="AP2147" s="59"/>
      <c r="AQ2147" s="59"/>
      <c r="AR2147" s="59"/>
      <c r="AS2147" s="59"/>
      <c r="AT2147" s="59"/>
      <c r="AU2147" s="59"/>
      <c r="AV2147" s="59"/>
      <c r="AW2147" s="59"/>
      <c r="AX2147" s="59"/>
      <c r="AY2147" s="59"/>
      <c r="AZ2147" s="59"/>
      <c r="BA2147" s="59"/>
      <c r="BB2147" s="59"/>
      <c r="BC2147" s="59"/>
      <c r="BD2147" s="59"/>
      <c r="BE2147" s="59"/>
      <c r="BF2147" s="59"/>
      <c r="BG2147" s="59"/>
      <c r="BH2147" s="59"/>
      <c r="BI2147" s="59"/>
      <c r="BJ2147" s="59"/>
      <c r="BK2147" s="59"/>
      <c r="BL2147" s="59"/>
      <c r="BM2147" s="59"/>
      <c r="BN2147" s="59"/>
      <c r="BO2147" s="59"/>
      <c r="BP2147" s="59"/>
      <c r="BQ2147" s="59"/>
      <c r="BR2147" s="59"/>
      <c r="BS2147" s="59"/>
      <c r="BT2147" s="59"/>
      <c r="BU2147" s="59"/>
      <c r="BV2147" s="59"/>
      <c r="BW2147" s="59"/>
      <c r="BX2147" s="59"/>
      <c r="BY2147" s="59"/>
      <c r="BZ2147" s="59"/>
      <c r="CA2147" s="59"/>
      <c r="CB2147" s="59"/>
      <c r="CC2147" s="59"/>
      <c r="CD2147" s="59"/>
      <c r="CE2147" s="59"/>
      <c r="CF2147" s="59"/>
      <c r="CG2147" s="59"/>
      <c r="CH2147" s="59"/>
      <c r="CI2147" s="59"/>
      <c r="CJ2147" s="59"/>
      <c r="CK2147" s="59"/>
      <c r="CL2147" s="59"/>
      <c r="CM2147" s="59"/>
      <c r="CN2147" s="59"/>
      <c r="CO2147" s="59"/>
      <c r="CP2147" s="59"/>
      <c r="CQ2147" s="59"/>
      <c r="CR2147" s="59"/>
      <c r="CS2147" s="59"/>
      <c r="CT2147" s="59"/>
      <c r="CU2147" s="59"/>
      <c r="CV2147" s="59"/>
      <c r="CW2147" s="59"/>
      <c r="CX2147" s="59"/>
      <c r="CY2147" s="59"/>
      <c r="CZ2147" s="59"/>
      <c r="DA2147" s="59"/>
      <c r="DB2147" s="59"/>
      <c r="DC2147" s="59"/>
      <c r="DD2147" s="59"/>
      <c r="DE2147" s="59"/>
      <c r="DF2147" s="59"/>
      <c r="DG2147" s="59"/>
      <c r="DH2147" s="59"/>
      <c r="DI2147" s="59"/>
      <c r="DJ2147" s="59"/>
      <c r="DK2147" s="59"/>
      <c r="DL2147" s="59"/>
      <c r="DM2147" s="59"/>
      <c r="DN2147" s="59"/>
      <c r="DO2147" s="59"/>
      <c r="DP2147" s="59"/>
      <c r="DQ2147" s="59"/>
      <c r="DR2147" s="59"/>
      <c r="DS2147" s="59"/>
      <c r="DT2147" s="59"/>
      <c r="DU2147" s="59"/>
      <c r="DV2147" s="59"/>
    </row>
    <row r="2148" spans="1:126" s="3" customFormat="1" x14ac:dyDescent="0.3">
      <c r="A2148" s="21"/>
      <c r="B2148" s="26" t="s">
        <v>575</v>
      </c>
      <c r="C2148" s="21"/>
      <c r="D2148" s="21"/>
      <c r="E2148" s="22"/>
      <c r="F2148" s="22"/>
      <c r="G2148" s="22"/>
      <c r="H2148" s="59"/>
      <c r="I2148" s="59"/>
      <c r="J2148" s="59"/>
      <c r="K2148" s="59"/>
      <c r="L2148" s="59"/>
      <c r="M2148" s="59"/>
      <c r="N2148" s="59"/>
      <c r="O2148" s="59"/>
      <c r="P2148" s="59"/>
      <c r="Q2148" s="59"/>
      <c r="R2148" s="59"/>
      <c r="S2148" s="59"/>
      <c r="T2148" s="59"/>
      <c r="U2148" s="59"/>
      <c r="V2148" s="59"/>
      <c r="W2148" s="59"/>
      <c r="X2148" s="59"/>
      <c r="Y2148" s="59"/>
      <c r="Z2148" s="59"/>
      <c r="AA2148" s="59"/>
      <c r="AB2148" s="59"/>
      <c r="AC2148" s="59"/>
      <c r="AD2148" s="59"/>
      <c r="AE2148" s="59"/>
      <c r="AF2148" s="59"/>
      <c r="AG2148" s="59"/>
      <c r="AH2148" s="59"/>
      <c r="AI2148" s="59"/>
      <c r="AJ2148" s="59"/>
      <c r="AK2148" s="59"/>
      <c r="AL2148" s="59"/>
      <c r="AM2148" s="59"/>
      <c r="AN2148" s="59"/>
      <c r="AO2148" s="59"/>
      <c r="AP2148" s="59"/>
      <c r="AQ2148" s="59"/>
      <c r="AR2148" s="59"/>
      <c r="AS2148" s="59"/>
      <c r="AT2148" s="59"/>
      <c r="AU2148" s="59"/>
      <c r="AV2148" s="59"/>
      <c r="AW2148" s="59"/>
      <c r="AX2148" s="59"/>
      <c r="AY2148" s="59"/>
      <c r="AZ2148" s="59"/>
      <c r="BA2148" s="59"/>
      <c r="BB2148" s="59"/>
      <c r="BC2148" s="59"/>
      <c r="BD2148" s="59"/>
      <c r="BE2148" s="59"/>
      <c r="BF2148" s="59"/>
      <c r="BG2148" s="59"/>
      <c r="BH2148" s="59"/>
      <c r="BI2148" s="59"/>
      <c r="BJ2148" s="59"/>
      <c r="BK2148" s="59"/>
      <c r="BL2148" s="59"/>
      <c r="BM2148" s="59"/>
      <c r="BN2148" s="59"/>
      <c r="BO2148" s="59"/>
      <c r="BP2148" s="59"/>
      <c r="BQ2148" s="59"/>
      <c r="BR2148" s="59"/>
      <c r="BS2148" s="59"/>
      <c r="BT2148" s="59"/>
      <c r="BU2148" s="59"/>
      <c r="BV2148" s="59"/>
      <c r="BW2148" s="59"/>
      <c r="BX2148" s="59"/>
      <c r="BY2148" s="59"/>
      <c r="BZ2148" s="59"/>
      <c r="CA2148" s="59"/>
      <c r="CB2148" s="59"/>
      <c r="CC2148" s="59"/>
      <c r="CD2148" s="59"/>
      <c r="CE2148" s="59"/>
      <c r="CF2148" s="59"/>
      <c r="CG2148" s="59"/>
      <c r="CH2148" s="59"/>
      <c r="CI2148" s="59"/>
      <c r="CJ2148" s="59"/>
      <c r="CK2148" s="59"/>
      <c r="CL2148" s="59"/>
      <c r="CM2148" s="59"/>
      <c r="CN2148" s="59"/>
      <c r="CO2148" s="59"/>
      <c r="CP2148" s="59"/>
      <c r="CQ2148" s="59"/>
      <c r="CR2148" s="59"/>
      <c r="CS2148" s="59"/>
      <c r="CT2148" s="59"/>
      <c r="CU2148" s="59"/>
      <c r="CV2148" s="59"/>
      <c r="CW2148" s="59"/>
      <c r="CX2148" s="59"/>
      <c r="CY2148" s="59"/>
      <c r="CZ2148" s="59"/>
      <c r="DA2148" s="59"/>
      <c r="DB2148" s="59"/>
      <c r="DC2148" s="59"/>
      <c r="DD2148" s="59"/>
      <c r="DE2148" s="59"/>
      <c r="DF2148" s="59"/>
      <c r="DG2148" s="59"/>
      <c r="DH2148" s="59"/>
      <c r="DI2148" s="59"/>
      <c r="DJ2148" s="59"/>
      <c r="DK2148" s="59"/>
      <c r="DL2148" s="59"/>
      <c r="DM2148" s="59"/>
      <c r="DN2148" s="59"/>
      <c r="DO2148" s="59"/>
      <c r="DP2148" s="59"/>
      <c r="DQ2148" s="59"/>
      <c r="DR2148" s="59"/>
      <c r="DS2148" s="59"/>
      <c r="DT2148" s="59"/>
      <c r="DU2148" s="59"/>
      <c r="DV2148" s="59"/>
    </row>
    <row r="2149" spans="1:126" x14ac:dyDescent="0.3">
      <c r="A2149" s="5"/>
      <c r="B2149" s="5" t="s">
        <v>576</v>
      </c>
      <c r="C2149" s="5"/>
      <c r="D2149" s="5" t="s">
        <v>10</v>
      </c>
      <c r="E2149" s="15">
        <f>3169</f>
        <v>3169</v>
      </c>
      <c r="F2149" s="15"/>
      <c r="G2149" s="15"/>
    </row>
    <row r="2150" spans="1:126" x14ac:dyDescent="0.3">
      <c r="A2150" s="5"/>
      <c r="B2150" s="5" t="s">
        <v>577</v>
      </c>
      <c r="C2150" s="5"/>
      <c r="D2150" s="5" t="s">
        <v>10</v>
      </c>
      <c r="E2150" s="15">
        <f>4517</f>
        <v>4517</v>
      </c>
      <c r="F2150" s="15"/>
      <c r="G2150" s="15"/>
    </row>
    <row r="2151" spans="1:126" x14ac:dyDescent="0.3">
      <c r="A2151" s="5"/>
      <c r="B2151" s="5" t="s">
        <v>578</v>
      </c>
      <c r="C2151" s="5"/>
      <c r="D2151" s="5" t="s">
        <v>8</v>
      </c>
      <c r="E2151" s="15">
        <f>1063*2.55</f>
        <v>2710.6499999999996</v>
      </c>
      <c r="F2151" s="15"/>
      <c r="G2151" s="15"/>
    </row>
    <row r="2152" spans="1:126" x14ac:dyDescent="0.3">
      <c r="A2152" s="5"/>
      <c r="B2152" s="5" t="s">
        <v>579</v>
      </c>
      <c r="C2152" s="5"/>
      <c r="D2152" s="5" t="s">
        <v>8</v>
      </c>
      <c r="E2152" s="15">
        <f>360.7*2.55</f>
        <v>919.78499999999985</v>
      </c>
      <c r="F2152" s="15"/>
      <c r="G2152" s="15"/>
    </row>
    <row r="2153" spans="1:126" x14ac:dyDescent="0.3">
      <c r="A2153" s="5"/>
      <c r="B2153" s="5" t="s">
        <v>580</v>
      </c>
      <c r="C2153" s="5"/>
      <c r="D2153" s="5" t="s">
        <v>74</v>
      </c>
      <c r="E2153" s="15">
        <f>2095</f>
        <v>2095</v>
      </c>
      <c r="F2153" s="15"/>
      <c r="G2153" s="15"/>
    </row>
    <row r="2154" spans="1:126" s="3" customFormat="1" x14ac:dyDescent="0.3">
      <c r="A2154" s="21"/>
      <c r="B2154" s="26" t="s">
        <v>581</v>
      </c>
      <c r="C2154" s="21"/>
      <c r="D2154" s="21"/>
      <c r="E2154" s="22"/>
      <c r="F2154" s="22"/>
      <c r="G2154" s="22"/>
      <c r="H2154" s="59"/>
      <c r="I2154" s="59"/>
      <c r="J2154" s="59"/>
      <c r="K2154" s="59"/>
      <c r="L2154" s="59"/>
      <c r="M2154" s="59"/>
      <c r="N2154" s="59"/>
      <c r="O2154" s="59"/>
      <c r="P2154" s="59"/>
      <c r="Q2154" s="59"/>
      <c r="R2154" s="59"/>
      <c r="S2154" s="59"/>
      <c r="T2154" s="59"/>
      <c r="U2154" s="59"/>
      <c r="V2154" s="59"/>
      <c r="W2154" s="59"/>
      <c r="X2154" s="59"/>
      <c r="Y2154" s="59"/>
      <c r="Z2154" s="59"/>
      <c r="AA2154" s="59"/>
      <c r="AB2154" s="59"/>
      <c r="AC2154" s="59"/>
      <c r="AD2154" s="59"/>
      <c r="AE2154" s="59"/>
      <c r="AF2154" s="59"/>
      <c r="AG2154" s="59"/>
      <c r="AH2154" s="59"/>
      <c r="AI2154" s="59"/>
      <c r="AJ2154" s="59"/>
      <c r="AK2154" s="59"/>
      <c r="AL2154" s="59"/>
      <c r="AM2154" s="59"/>
      <c r="AN2154" s="59"/>
      <c r="AO2154" s="59"/>
      <c r="AP2154" s="59"/>
      <c r="AQ2154" s="59"/>
      <c r="AR2154" s="59"/>
      <c r="AS2154" s="59"/>
      <c r="AT2154" s="59"/>
      <c r="AU2154" s="59"/>
      <c r="AV2154" s="59"/>
      <c r="AW2154" s="59"/>
      <c r="AX2154" s="59"/>
      <c r="AY2154" s="59"/>
      <c r="AZ2154" s="59"/>
      <c r="BA2154" s="59"/>
      <c r="BB2154" s="59"/>
      <c r="BC2154" s="59"/>
      <c r="BD2154" s="59"/>
      <c r="BE2154" s="59"/>
      <c r="BF2154" s="59"/>
      <c r="BG2154" s="59"/>
      <c r="BH2154" s="59"/>
      <c r="BI2154" s="59"/>
      <c r="BJ2154" s="59"/>
      <c r="BK2154" s="59"/>
      <c r="BL2154" s="59"/>
      <c r="BM2154" s="59"/>
      <c r="BN2154" s="59"/>
      <c r="BO2154" s="59"/>
      <c r="BP2154" s="59"/>
      <c r="BQ2154" s="59"/>
      <c r="BR2154" s="59"/>
      <c r="BS2154" s="59"/>
      <c r="BT2154" s="59"/>
      <c r="BU2154" s="59"/>
      <c r="BV2154" s="59"/>
      <c r="BW2154" s="59"/>
      <c r="BX2154" s="59"/>
      <c r="BY2154" s="59"/>
      <c r="BZ2154" s="59"/>
      <c r="CA2154" s="59"/>
      <c r="CB2154" s="59"/>
      <c r="CC2154" s="59"/>
      <c r="CD2154" s="59"/>
      <c r="CE2154" s="59"/>
      <c r="CF2154" s="59"/>
      <c r="CG2154" s="59"/>
      <c r="CH2154" s="59"/>
      <c r="CI2154" s="59"/>
      <c r="CJ2154" s="59"/>
      <c r="CK2154" s="59"/>
      <c r="CL2154" s="59"/>
      <c r="CM2154" s="59"/>
      <c r="CN2154" s="59"/>
      <c r="CO2154" s="59"/>
      <c r="CP2154" s="59"/>
      <c r="CQ2154" s="59"/>
      <c r="CR2154" s="59"/>
      <c r="CS2154" s="59"/>
      <c r="CT2154" s="59"/>
      <c r="CU2154" s="59"/>
      <c r="CV2154" s="59"/>
      <c r="CW2154" s="59"/>
      <c r="CX2154" s="59"/>
      <c r="CY2154" s="59"/>
      <c r="CZ2154" s="59"/>
      <c r="DA2154" s="59"/>
      <c r="DB2154" s="59"/>
      <c r="DC2154" s="59"/>
      <c r="DD2154" s="59"/>
      <c r="DE2154" s="59"/>
      <c r="DF2154" s="59"/>
      <c r="DG2154" s="59"/>
      <c r="DH2154" s="59"/>
      <c r="DI2154" s="59"/>
      <c r="DJ2154" s="59"/>
      <c r="DK2154" s="59"/>
      <c r="DL2154" s="59"/>
      <c r="DM2154" s="59"/>
      <c r="DN2154" s="59"/>
      <c r="DO2154" s="59"/>
      <c r="DP2154" s="59"/>
      <c r="DQ2154" s="59"/>
      <c r="DR2154" s="59"/>
      <c r="DS2154" s="59"/>
      <c r="DT2154" s="59"/>
      <c r="DU2154" s="59"/>
      <c r="DV2154" s="59"/>
    </row>
    <row r="2155" spans="1:126" x14ac:dyDescent="0.3">
      <c r="A2155" s="5"/>
      <c r="B2155" s="5" t="s">
        <v>530</v>
      </c>
      <c r="C2155" s="5"/>
      <c r="D2155" s="5" t="s">
        <v>10</v>
      </c>
      <c r="E2155" s="15">
        <f>404.3</f>
        <v>404.3</v>
      </c>
      <c r="F2155" s="15"/>
      <c r="G2155" s="15"/>
    </row>
    <row r="2156" spans="1:126" ht="31.2" x14ac:dyDescent="0.3">
      <c r="A2156" s="5"/>
      <c r="B2156" s="11" t="s">
        <v>582</v>
      </c>
      <c r="C2156" s="5"/>
      <c r="D2156" s="5" t="s">
        <v>10</v>
      </c>
      <c r="E2156" s="15">
        <f>87.7*2.44</f>
        <v>213.988</v>
      </c>
      <c r="F2156" s="15"/>
      <c r="G2156" s="15"/>
    </row>
    <row r="2157" spans="1:126" x14ac:dyDescent="0.3">
      <c r="A2157" s="5"/>
      <c r="B2157" s="5" t="s">
        <v>583</v>
      </c>
      <c r="C2157" s="5"/>
      <c r="D2157" s="5" t="s">
        <v>74</v>
      </c>
      <c r="E2157" s="15">
        <f>942</f>
        <v>942</v>
      </c>
      <c r="F2157" s="15"/>
      <c r="G2157" s="15"/>
    </row>
    <row r="2158" spans="1:126" s="3" customFormat="1" x14ac:dyDescent="0.3">
      <c r="A2158" s="21"/>
      <c r="B2158" s="26" t="s">
        <v>584</v>
      </c>
      <c r="C2158" s="21"/>
      <c r="D2158" s="21"/>
      <c r="E2158" s="22"/>
      <c r="F2158" s="22"/>
      <c r="G2158" s="22"/>
      <c r="H2158" s="59"/>
      <c r="I2158" s="59"/>
      <c r="J2158" s="59"/>
      <c r="K2158" s="59"/>
      <c r="L2158" s="59"/>
      <c r="M2158" s="59"/>
      <c r="N2158" s="59"/>
      <c r="O2158" s="59"/>
      <c r="P2158" s="59"/>
      <c r="Q2158" s="59"/>
      <c r="R2158" s="59"/>
      <c r="S2158" s="59"/>
      <c r="T2158" s="59"/>
      <c r="U2158" s="59"/>
      <c r="V2158" s="59"/>
      <c r="W2158" s="59"/>
      <c r="X2158" s="59"/>
      <c r="Y2158" s="59"/>
      <c r="Z2158" s="59"/>
      <c r="AA2158" s="59"/>
      <c r="AB2158" s="59"/>
      <c r="AC2158" s="59"/>
      <c r="AD2158" s="59"/>
      <c r="AE2158" s="59"/>
      <c r="AF2158" s="59"/>
      <c r="AG2158" s="59"/>
      <c r="AH2158" s="59"/>
      <c r="AI2158" s="59"/>
      <c r="AJ2158" s="59"/>
      <c r="AK2158" s="59"/>
      <c r="AL2158" s="59"/>
      <c r="AM2158" s="59"/>
      <c r="AN2158" s="59"/>
      <c r="AO2158" s="59"/>
      <c r="AP2158" s="59"/>
      <c r="AQ2158" s="59"/>
      <c r="AR2158" s="59"/>
      <c r="AS2158" s="59"/>
      <c r="AT2158" s="59"/>
      <c r="AU2158" s="59"/>
      <c r="AV2158" s="59"/>
      <c r="AW2158" s="59"/>
      <c r="AX2158" s="59"/>
      <c r="AY2158" s="59"/>
      <c r="AZ2158" s="59"/>
      <c r="BA2158" s="59"/>
      <c r="BB2158" s="59"/>
      <c r="BC2158" s="59"/>
      <c r="BD2158" s="59"/>
      <c r="BE2158" s="59"/>
      <c r="BF2158" s="59"/>
      <c r="BG2158" s="59"/>
      <c r="BH2158" s="59"/>
      <c r="BI2158" s="59"/>
      <c r="BJ2158" s="59"/>
      <c r="BK2158" s="59"/>
      <c r="BL2158" s="59"/>
      <c r="BM2158" s="59"/>
      <c r="BN2158" s="59"/>
      <c r="BO2158" s="59"/>
      <c r="BP2158" s="59"/>
      <c r="BQ2158" s="59"/>
      <c r="BR2158" s="59"/>
      <c r="BS2158" s="59"/>
      <c r="BT2158" s="59"/>
      <c r="BU2158" s="59"/>
      <c r="BV2158" s="59"/>
      <c r="BW2158" s="59"/>
      <c r="BX2158" s="59"/>
      <c r="BY2158" s="59"/>
      <c r="BZ2158" s="59"/>
      <c r="CA2158" s="59"/>
      <c r="CB2158" s="59"/>
      <c r="CC2158" s="59"/>
      <c r="CD2158" s="59"/>
      <c r="CE2158" s="59"/>
      <c r="CF2158" s="59"/>
      <c r="CG2158" s="59"/>
      <c r="CH2158" s="59"/>
      <c r="CI2158" s="59"/>
      <c r="CJ2158" s="59"/>
      <c r="CK2158" s="59"/>
      <c r="CL2158" s="59"/>
      <c r="CM2158" s="59"/>
      <c r="CN2158" s="59"/>
      <c r="CO2158" s="59"/>
      <c r="CP2158" s="59"/>
      <c r="CQ2158" s="59"/>
      <c r="CR2158" s="59"/>
      <c r="CS2158" s="59"/>
      <c r="CT2158" s="59"/>
      <c r="CU2158" s="59"/>
      <c r="CV2158" s="59"/>
      <c r="CW2158" s="59"/>
      <c r="CX2158" s="59"/>
      <c r="CY2158" s="59"/>
      <c r="CZ2158" s="59"/>
      <c r="DA2158" s="59"/>
      <c r="DB2158" s="59"/>
      <c r="DC2158" s="59"/>
      <c r="DD2158" s="59"/>
      <c r="DE2158" s="59"/>
      <c r="DF2158" s="59"/>
      <c r="DG2158" s="59"/>
      <c r="DH2158" s="59"/>
      <c r="DI2158" s="59"/>
      <c r="DJ2158" s="59"/>
      <c r="DK2158" s="59"/>
      <c r="DL2158" s="59"/>
      <c r="DM2158" s="59"/>
      <c r="DN2158" s="59"/>
      <c r="DO2158" s="59"/>
      <c r="DP2158" s="59"/>
      <c r="DQ2158" s="59"/>
      <c r="DR2158" s="59"/>
      <c r="DS2158" s="59"/>
      <c r="DT2158" s="59"/>
      <c r="DU2158" s="59"/>
      <c r="DV2158" s="59"/>
    </row>
    <row r="2159" spans="1:126" x14ac:dyDescent="0.3">
      <c r="A2159" s="5"/>
      <c r="B2159" s="5" t="s">
        <v>585</v>
      </c>
      <c r="C2159" s="5"/>
      <c r="D2159" s="5" t="s">
        <v>72</v>
      </c>
      <c r="E2159" s="15">
        <f>263+264.5</f>
        <v>527.5</v>
      </c>
      <c r="F2159" s="15"/>
      <c r="G2159" s="15"/>
    </row>
    <row r="2160" spans="1:126" s="3" customFormat="1" x14ac:dyDescent="0.3">
      <c r="A2160" s="21"/>
      <c r="B2160" s="26" t="s">
        <v>586</v>
      </c>
      <c r="C2160" s="21"/>
      <c r="D2160" s="21"/>
      <c r="E2160" s="22"/>
      <c r="F2160" s="22"/>
      <c r="G2160" s="22"/>
      <c r="H2160" s="59"/>
      <c r="I2160" s="59"/>
      <c r="J2160" s="59"/>
      <c r="K2160" s="59"/>
      <c r="L2160" s="59"/>
      <c r="M2160" s="59"/>
      <c r="N2160" s="59"/>
      <c r="O2160" s="59"/>
      <c r="P2160" s="59"/>
      <c r="Q2160" s="59"/>
      <c r="R2160" s="59"/>
      <c r="S2160" s="59"/>
      <c r="T2160" s="59"/>
      <c r="U2160" s="59"/>
      <c r="V2160" s="59"/>
      <c r="W2160" s="59"/>
      <c r="X2160" s="59"/>
      <c r="Y2160" s="59"/>
      <c r="Z2160" s="59"/>
      <c r="AA2160" s="59"/>
      <c r="AB2160" s="59"/>
      <c r="AC2160" s="59"/>
      <c r="AD2160" s="59"/>
      <c r="AE2160" s="59"/>
      <c r="AF2160" s="59"/>
      <c r="AG2160" s="59"/>
      <c r="AH2160" s="59"/>
      <c r="AI2160" s="59"/>
      <c r="AJ2160" s="59"/>
      <c r="AK2160" s="59"/>
      <c r="AL2160" s="59"/>
      <c r="AM2160" s="59"/>
      <c r="AN2160" s="59"/>
      <c r="AO2160" s="59"/>
      <c r="AP2160" s="59"/>
      <c r="AQ2160" s="59"/>
      <c r="AR2160" s="59"/>
      <c r="AS2160" s="59"/>
      <c r="AT2160" s="59"/>
      <c r="AU2160" s="59"/>
      <c r="AV2160" s="59"/>
      <c r="AW2160" s="59"/>
      <c r="AX2160" s="59"/>
      <c r="AY2160" s="59"/>
      <c r="AZ2160" s="59"/>
      <c r="BA2160" s="59"/>
      <c r="BB2160" s="59"/>
      <c r="BC2160" s="59"/>
      <c r="BD2160" s="59"/>
      <c r="BE2160" s="59"/>
      <c r="BF2160" s="59"/>
      <c r="BG2160" s="59"/>
      <c r="BH2160" s="59"/>
      <c r="BI2160" s="59"/>
      <c r="BJ2160" s="59"/>
      <c r="BK2160" s="59"/>
      <c r="BL2160" s="59"/>
      <c r="BM2160" s="59"/>
      <c r="BN2160" s="59"/>
      <c r="BO2160" s="59"/>
      <c r="BP2160" s="59"/>
      <c r="BQ2160" s="59"/>
      <c r="BR2160" s="59"/>
      <c r="BS2160" s="59"/>
      <c r="BT2160" s="59"/>
      <c r="BU2160" s="59"/>
      <c r="BV2160" s="59"/>
      <c r="BW2160" s="59"/>
      <c r="BX2160" s="59"/>
      <c r="BY2160" s="59"/>
      <c r="BZ2160" s="59"/>
      <c r="CA2160" s="59"/>
      <c r="CB2160" s="59"/>
      <c r="CC2160" s="59"/>
      <c r="CD2160" s="59"/>
      <c r="CE2160" s="59"/>
      <c r="CF2160" s="59"/>
      <c r="CG2160" s="59"/>
      <c r="CH2160" s="59"/>
      <c r="CI2160" s="59"/>
      <c r="CJ2160" s="59"/>
      <c r="CK2160" s="59"/>
      <c r="CL2160" s="59"/>
      <c r="CM2160" s="59"/>
      <c r="CN2160" s="59"/>
      <c r="CO2160" s="59"/>
      <c r="CP2160" s="59"/>
      <c r="CQ2160" s="59"/>
      <c r="CR2160" s="59"/>
      <c r="CS2160" s="59"/>
      <c r="CT2160" s="59"/>
      <c r="CU2160" s="59"/>
      <c r="CV2160" s="59"/>
      <c r="CW2160" s="59"/>
      <c r="CX2160" s="59"/>
      <c r="CY2160" s="59"/>
      <c r="CZ2160" s="59"/>
      <c r="DA2160" s="59"/>
      <c r="DB2160" s="59"/>
      <c r="DC2160" s="59"/>
      <c r="DD2160" s="59"/>
      <c r="DE2160" s="59"/>
      <c r="DF2160" s="59"/>
      <c r="DG2160" s="59"/>
      <c r="DH2160" s="59"/>
      <c r="DI2160" s="59"/>
      <c r="DJ2160" s="59"/>
      <c r="DK2160" s="59"/>
      <c r="DL2160" s="59"/>
      <c r="DM2160" s="59"/>
      <c r="DN2160" s="59"/>
      <c r="DO2160" s="59"/>
      <c r="DP2160" s="59"/>
      <c r="DQ2160" s="59"/>
      <c r="DR2160" s="59"/>
      <c r="DS2160" s="59"/>
      <c r="DT2160" s="59"/>
      <c r="DU2160" s="59"/>
      <c r="DV2160" s="59"/>
    </row>
    <row r="2161" spans="1:7" x14ac:dyDescent="0.3">
      <c r="A2161" s="5"/>
      <c r="B2161" s="5" t="s">
        <v>534</v>
      </c>
      <c r="C2161" s="5"/>
      <c r="D2161" s="5" t="s">
        <v>10</v>
      </c>
      <c r="E2161" s="15">
        <f>53</f>
        <v>53</v>
      </c>
      <c r="F2161" s="15"/>
      <c r="G2161" s="15"/>
    </row>
    <row r="2162" spans="1:7" x14ac:dyDescent="0.3">
      <c r="A2162" s="5"/>
      <c r="B2162" s="5" t="s">
        <v>587</v>
      </c>
      <c r="C2162" s="5"/>
      <c r="D2162" s="5" t="s">
        <v>69</v>
      </c>
      <c r="E2162" s="15">
        <f>530</f>
        <v>530</v>
      </c>
      <c r="F2162" s="15"/>
      <c r="G2162" s="15"/>
    </row>
    <row r="2163" spans="1:7" x14ac:dyDescent="0.3">
      <c r="A2163" s="5"/>
      <c r="B2163" s="5" t="s">
        <v>588</v>
      </c>
      <c r="C2163" s="5"/>
      <c r="D2163" s="5" t="s">
        <v>10</v>
      </c>
      <c r="E2163" s="15">
        <f>89.5</f>
        <v>89.5</v>
      </c>
      <c r="F2163" s="15"/>
      <c r="G2163" s="15"/>
    </row>
    <row r="2164" spans="1:7" x14ac:dyDescent="0.3">
      <c r="A2164" s="5"/>
      <c r="B2164" s="5" t="s">
        <v>589</v>
      </c>
      <c r="C2164" s="5"/>
      <c r="D2164" s="5" t="s">
        <v>10</v>
      </c>
      <c r="E2164" s="15">
        <f>3.5</f>
        <v>3.5</v>
      </c>
      <c r="F2164" s="15"/>
      <c r="G2164" s="15"/>
    </row>
    <row r="2165" spans="1:7" x14ac:dyDescent="0.3">
      <c r="A2165" s="5"/>
      <c r="B2165" s="5" t="s">
        <v>590</v>
      </c>
      <c r="C2165" s="5"/>
      <c r="D2165" s="5" t="s">
        <v>14</v>
      </c>
      <c r="E2165" s="15">
        <f>17</f>
        <v>17</v>
      </c>
      <c r="F2165" s="15"/>
      <c r="G2165" s="15"/>
    </row>
    <row r="2166" spans="1:7" x14ac:dyDescent="0.3">
      <c r="A2166" s="5"/>
      <c r="B2166" s="5" t="s">
        <v>591</v>
      </c>
      <c r="C2166" s="5"/>
      <c r="D2166" s="5" t="s">
        <v>14</v>
      </c>
      <c r="E2166" s="15">
        <f>22</f>
        <v>22</v>
      </c>
      <c r="F2166" s="15"/>
      <c r="G2166" s="15"/>
    </row>
    <row r="2167" spans="1:7" x14ac:dyDescent="0.3">
      <c r="A2167" s="5"/>
      <c r="B2167" s="5" t="s">
        <v>590</v>
      </c>
      <c r="C2167" s="5"/>
      <c r="D2167" s="5" t="s">
        <v>14</v>
      </c>
      <c r="E2167" s="15">
        <f>3</f>
        <v>3</v>
      </c>
      <c r="F2167" s="15"/>
      <c r="G2167" s="15"/>
    </row>
    <row r="2168" spans="1:7" x14ac:dyDescent="0.3">
      <c r="A2168" s="5"/>
      <c r="B2168" s="5" t="s">
        <v>590</v>
      </c>
      <c r="C2168" s="5"/>
      <c r="D2168" s="5" t="s">
        <v>14</v>
      </c>
      <c r="E2168" s="15">
        <f>3</f>
        <v>3</v>
      </c>
      <c r="F2168" s="15"/>
      <c r="G2168" s="15"/>
    </row>
    <row r="2169" spans="1:7" x14ac:dyDescent="0.3">
      <c r="A2169" s="5"/>
      <c r="B2169" s="5" t="s">
        <v>591</v>
      </c>
      <c r="C2169" s="5"/>
      <c r="D2169" s="5" t="s">
        <v>14</v>
      </c>
      <c r="E2169" s="15">
        <f>6</f>
        <v>6</v>
      </c>
      <c r="F2169" s="15"/>
      <c r="G2169" s="15"/>
    </row>
    <row r="2170" spans="1:7" x14ac:dyDescent="0.3">
      <c r="A2170" s="5"/>
      <c r="B2170" s="5" t="s">
        <v>592</v>
      </c>
      <c r="C2170" s="5"/>
      <c r="D2170" s="5" t="s">
        <v>14</v>
      </c>
      <c r="E2170" s="15">
        <f>3</f>
        <v>3</v>
      </c>
      <c r="F2170" s="15"/>
      <c r="G2170" s="15"/>
    </row>
    <row r="2171" spans="1:7" x14ac:dyDescent="0.3">
      <c r="A2171" s="5"/>
      <c r="B2171" s="5" t="s">
        <v>593</v>
      </c>
      <c r="C2171" s="5"/>
      <c r="D2171" s="5" t="s">
        <v>14</v>
      </c>
      <c r="E2171" s="15">
        <f>3</f>
        <v>3</v>
      </c>
      <c r="F2171" s="15"/>
      <c r="G2171" s="15"/>
    </row>
    <row r="2172" spans="1:7" x14ac:dyDescent="0.3">
      <c r="A2172" s="5"/>
      <c r="B2172" s="5" t="s">
        <v>594</v>
      </c>
      <c r="C2172" s="5"/>
      <c r="D2172" s="5" t="s">
        <v>14</v>
      </c>
      <c r="E2172" s="15">
        <f>4</f>
        <v>4</v>
      </c>
      <c r="F2172" s="15"/>
      <c r="G2172" s="15"/>
    </row>
    <row r="2173" spans="1:7" x14ac:dyDescent="0.3">
      <c r="A2173" s="5"/>
      <c r="B2173" s="5" t="s">
        <v>595</v>
      </c>
      <c r="C2173" s="5"/>
      <c r="D2173" s="5" t="s">
        <v>14</v>
      </c>
      <c r="E2173" s="15">
        <f>4</f>
        <v>4</v>
      </c>
      <c r="F2173" s="15"/>
      <c r="G2173" s="15"/>
    </row>
    <row r="2174" spans="1:7" x14ac:dyDescent="0.3">
      <c r="A2174" s="5"/>
      <c r="B2174" s="5" t="s">
        <v>590</v>
      </c>
      <c r="C2174" s="5"/>
      <c r="D2174" s="5" t="s">
        <v>14</v>
      </c>
      <c r="E2174" s="15">
        <f>18</f>
        <v>18</v>
      </c>
      <c r="F2174" s="15"/>
      <c r="G2174" s="15"/>
    </row>
    <row r="2175" spans="1:7" x14ac:dyDescent="0.3">
      <c r="A2175" s="5"/>
      <c r="B2175" s="5" t="s">
        <v>591</v>
      </c>
      <c r="C2175" s="5"/>
      <c r="D2175" s="5" t="s">
        <v>14</v>
      </c>
      <c r="E2175" s="15">
        <f>36</f>
        <v>36</v>
      </c>
      <c r="F2175" s="15"/>
      <c r="G2175" s="15"/>
    </row>
    <row r="2176" spans="1:7" x14ac:dyDescent="0.3">
      <c r="A2176" s="5"/>
      <c r="B2176" s="5" t="s">
        <v>595</v>
      </c>
      <c r="C2176" s="5"/>
      <c r="D2176" s="5" t="s">
        <v>14</v>
      </c>
      <c r="E2176" s="15">
        <f>2</f>
        <v>2</v>
      </c>
      <c r="F2176" s="15"/>
      <c r="G2176" s="15"/>
    </row>
    <row r="2177" spans="1:126" x14ac:dyDescent="0.3">
      <c r="A2177" s="5"/>
      <c r="B2177" s="5" t="s">
        <v>590</v>
      </c>
      <c r="C2177" s="5"/>
      <c r="D2177" s="5" t="s">
        <v>14</v>
      </c>
      <c r="E2177" s="15">
        <f>310</f>
        <v>310</v>
      </c>
      <c r="F2177" s="15"/>
      <c r="G2177" s="15"/>
    </row>
    <row r="2178" spans="1:126" x14ac:dyDescent="0.3">
      <c r="A2178" s="5"/>
      <c r="B2178" s="5" t="s">
        <v>591</v>
      </c>
      <c r="C2178" s="5"/>
      <c r="D2178" s="5" t="s">
        <v>14</v>
      </c>
      <c r="E2178" s="15">
        <f>310</f>
        <v>310</v>
      </c>
      <c r="F2178" s="15"/>
      <c r="G2178" s="15"/>
    </row>
    <row r="2179" spans="1:126" x14ac:dyDescent="0.3">
      <c r="A2179" s="5"/>
      <c r="B2179" s="5" t="s">
        <v>590</v>
      </c>
      <c r="C2179" s="5"/>
      <c r="D2179" s="5" t="s">
        <v>14</v>
      </c>
      <c r="E2179" s="15">
        <f>229</f>
        <v>229</v>
      </c>
      <c r="F2179" s="15"/>
      <c r="G2179" s="15"/>
    </row>
    <row r="2180" spans="1:126" x14ac:dyDescent="0.3">
      <c r="A2180" s="5"/>
      <c r="B2180" s="5" t="s">
        <v>591</v>
      </c>
      <c r="C2180" s="5"/>
      <c r="D2180" s="5" t="s">
        <v>14</v>
      </c>
      <c r="E2180" s="15">
        <f>229</f>
        <v>229</v>
      </c>
      <c r="F2180" s="15"/>
      <c r="G2180" s="15"/>
    </row>
    <row r="2181" spans="1:126" x14ac:dyDescent="0.3">
      <c r="A2181" s="5"/>
      <c r="B2181" s="5" t="s">
        <v>271</v>
      </c>
      <c r="C2181" s="5"/>
      <c r="D2181" s="5" t="s">
        <v>8</v>
      </c>
      <c r="E2181" s="15">
        <f>2380*0.2*0.395/1000</f>
        <v>0.18802000000000002</v>
      </c>
      <c r="F2181" s="15"/>
      <c r="G2181" s="15"/>
    </row>
    <row r="2182" spans="1:126" s="3" customFormat="1" x14ac:dyDescent="0.3">
      <c r="A2182" s="21"/>
      <c r="B2182" s="26" t="s">
        <v>596</v>
      </c>
      <c r="C2182" s="21"/>
      <c r="D2182" s="21"/>
      <c r="E2182" s="22"/>
      <c r="F2182" s="22"/>
      <c r="G2182" s="22"/>
      <c r="H2182" s="59"/>
      <c r="I2182" s="59"/>
      <c r="J2182" s="59"/>
      <c r="K2182" s="59"/>
      <c r="L2182" s="59"/>
      <c r="M2182" s="59"/>
      <c r="N2182" s="59"/>
      <c r="O2182" s="59"/>
      <c r="P2182" s="59"/>
      <c r="Q2182" s="59"/>
      <c r="R2182" s="59"/>
      <c r="S2182" s="59"/>
      <c r="T2182" s="59"/>
      <c r="U2182" s="59"/>
      <c r="V2182" s="59"/>
      <c r="W2182" s="59"/>
      <c r="X2182" s="59"/>
      <c r="Y2182" s="59"/>
      <c r="Z2182" s="59"/>
      <c r="AA2182" s="59"/>
      <c r="AB2182" s="59"/>
      <c r="AC2182" s="59"/>
      <c r="AD2182" s="59"/>
      <c r="AE2182" s="59"/>
      <c r="AF2182" s="59"/>
      <c r="AG2182" s="59"/>
      <c r="AH2182" s="59"/>
      <c r="AI2182" s="59"/>
      <c r="AJ2182" s="59"/>
      <c r="AK2182" s="59"/>
      <c r="AL2182" s="59"/>
      <c r="AM2182" s="59"/>
      <c r="AN2182" s="59"/>
      <c r="AO2182" s="59"/>
      <c r="AP2182" s="59"/>
      <c r="AQ2182" s="59"/>
      <c r="AR2182" s="59"/>
      <c r="AS2182" s="59"/>
      <c r="AT2182" s="59"/>
      <c r="AU2182" s="59"/>
      <c r="AV2182" s="59"/>
      <c r="AW2182" s="59"/>
      <c r="AX2182" s="59"/>
      <c r="AY2182" s="59"/>
      <c r="AZ2182" s="59"/>
      <c r="BA2182" s="59"/>
      <c r="BB2182" s="59"/>
      <c r="BC2182" s="59"/>
      <c r="BD2182" s="59"/>
      <c r="BE2182" s="59"/>
      <c r="BF2182" s="59"/>
      <c r="BG2182" s="59"/>
      <c r="BH2182" s="59"/>
      <c r="BI2182" s="59"/>
      <c r="BJ2182" s="59"/>
      <c r="BK2182" s="59"/>
      <c r="BL2182" s="59"/>
      <c r="BM2182" s="59"/>
      <c r="BN2182" s="59"/>
      <c r="BO2182" s="59"/>
      <c r="BP2182" s="59"/>
      <c r="BQ2182" s="59"/>
      <c r="BR2182" s="59"/>
      <c r="BS2182" s="59"/>
      <c r="BT2182" s="59"/>
      <c r="BU2182" s="59"/>
      <c r="BV2182" s="59"/>
      <c r="BW2182" s="59"/>
      <c r="BX2182" s="59"/>
      <c r="BY2182" s="59"/>
      <c r="BZ2182" s="59"/>
      <c r="CA2182" s="59"/>
      <c r="CB2182" s="59"/>
      <c r="CC2182" s="59"/>
      <c r="CD2182" s="59"/>
      <c r="CE2182" s="59"/>
      <c r="CF2182" s="59"/>
      <c r="CG2182" s="59"/>
      <c r="CH2182" s="59"/>
      <c r="CI2182" s="59"/>
      <c r="CJ2182" s="59"/>
      <c r="CK2182" s="59"/>
      <c r="CL2182" s="59"/>
      <c r="CM2182" s="59"/>
      <c r="CN2182" s="59"/>
      <c r="CO2182" s="59"/>
      <c r="CP2182" s="59"/>
      <c r="CQ2182" s="59"/>
      <c r="CR2182" s="59"/>
      <c r="CS2182" s="59"/>
      <c r="CT2182" s="59"/>
      <c r="CU2182" s="59"/>
      <c r="CV2182" s="59"/>
      <c r="CW2182" s="59"/>
      <c r="CX2182" s="59"/>
      <c r="CY2182" s="59"/>
      <c r="CZ2182" s="59"/>
      <c r="DA2182" s="59"/>
      <c r="DB2182" s="59"/>
      <c r="DC2182" s="59"/>
      <c r="DD2182" s="59"/>
      <c r="DE2182" s="59"/>
      <c r="DF2182" s="59"/>
      <c r="DG2182" s="59"/>
      <c r="DH2182" s="59"/>
      <c r="DI2182" s="59"/>
      <c r="DJ2182" s="59"/>
      <c r="DK2182" s="59"/>
      <c r="DL2182" s="59"/>
      <c r="DM2182" s="59"/>
      <c r="DN2182" s="59"/>
      <c r="DO2182" s="59"/>
      <c r="DP2182" s="59"/>
      <c r="DQ2182" s="59"/>
      <c r="DR2182" s="59"/>
      <c r="DS2182" s="59"/>
      <c r="DT2182" s="59"/>
      <c r="DU2182" s="59"/>
      <c r="DV2182" s="59"/>
    </row>
    <row r="2183" spans="1:126" x14ac:dyDescent="0.3">
      <c r="A2183" s="5"/>
      <c r="B2183" s="5" t="s">
        <v>534</v>
      </c>
      <c r="C2183" s="5"/>
      <c r="D2183" s="5" t="s">
        <v>10</v>
      </c>
      <c r="E2183" s="15">
        <f>3.5</f>
        <v>3.5</v>
      </c>
      <c r="F2183" s="15"/>
      <c r="G2183" s="15"/>
    </row>
    <row r="2184" spans="1:126" x14ac:dyDescent="0.3">
      <c r="A2184" s="5"/>
      <c r="B2184" s="5" t="s">
        <v>587</v>
      </c>
      <c r="C2184" s="5"/>
      <c r="D2184" s="5" t="s">
        <v>69</v>
      </c>
      <c r="E2184" s="15">
        <f>33.5</f>
        <v>33.5</v>
      </c>
      <c r="F2184" s="15"/>
      <c r="G2184" s="15"/>
    </row>
    <row r="2185" spans="1:126" x14ac:dyDescent="0.3">
      <c r="A2185" s="5"/>
      <c r="B2185" s="5" t="s">
        <v>588</v>
      </c>
      <c r="C2185" s="5"/>
      <c r="D2185" s="5" t="s">
        <v>10</v>
      </c>
      <c r="E2185" s="15">
        <f>3.6</f>
        <v>3.6</v>
      </c>
      <c r="F2185" s="15"/>
      <c r="G2185" s="15"/>
    </row>
    <row r="2186" spans="1:126" x14ac:dyDescent="0.3">
      <c r="A2186" s="5"/>
      <c r="B2186" s="5" t="s">
        <v>589</v>
      </c>
      <c r="C2186" s="5"/>
      <c r="D2186" s="5" t="s">
        <v>10</v>
      </c>
      <c r="E2186" s="15">
        <f>0.2</f>
        <v>0.2</v>
      </c>
      <c r="F2186" s="15"/>
      <c r="G2186" s="15"/>
    </row>
    <row r="2187" spans="1:126" x14ac:dyDescent="0.3">
      <c r="A2187" s="5"/>
      <c r="B2187" s="5" t="s">
        <v>597</v>
      </c>
      <c r="C2187" s="5"/>
      <c r="D2187" s="5" t="s">
        <v>14</v>
      </c>
      <c r="E2187" s="15">
        <f>22</f>
        <v>22</v>
      </c>
      <c r="F2187" s="15"/>
      <c r="G2187" s="15"/>
    </row>
    <row r="2188" spans="1:126" x14ac:dyDescent="0.3">
      <c r="A2188" s="5"/>
      <c r="B2188" s="5" t="s">
        <v>598</v>
      </c>
      <c r="C2188" s="5"/>
      <c r="D2188" s="5" t="s">
        <v>14</v>
      </c>
      <c r="E2188" s="15">
        <f>12</f>
        <v>12</v>
      </c>
      <c r="F2188" s="15"/>
      <c r="G2188" s="15"/>
    </row>
    <row r="2189" spans="1:126" x14ac:dyDescent="0.3">
      <c r="A2189" s="5"/>
      <c r="B2189" s="5" t="s">
        <v>597</v>
      </c>
      <c r="C2189" s="5"/>
      <c r="D2189" s="5" t="s">
        <v>14</v>
      </c>
      <c r="E2189" s="15">
        <f>2</f>
        <v>2</v>
      </c>
      <c r="F2189" s="15"/>
      <c r="G2189" s="15"/>
    </row>
    <row r="2190" spans="1:126" x14ac:dyDescent="0.3">
      <c r="A2190" s="5"/>
      <c r="B2190" s="5" t="s">
        <v>597</v>
      </c>
      <c r="C2190" s="5"/>
      <c r="D2190" s="5" t="s">
        <v>14</v>
      </c>
      <c r="E2190" s="15">
        <f>22</f>
        <v>22</v>
      </c>
      <c r="F2190" s="15"/>
      <c r="G2190" s="15"/>
    </row>
    <row r="2191" spans="1:126" x14ac:dyDescent="0.3">
      <c r="A2191" s="5"/>
      <c r="B2191" s="5" t="s">
        <v>598</v>
      </c>
      <c r="C2191" s="5"/>
      <c r="D2191" s="5" t="s">
        <v>14</v>
      </c>
      <c r="E2191" s="15">
        <f>12</f>
        <v>12</v>
      </c>
      <c r="F2191" s="15"/>
      <c r="G2191" s="15"/>
    </row>
    <row r="2192" spans="1:126" x14ac:dyDescent="0.3">
      <c r="A2192" s="5"/>
      <c r="B2192" s="5" t="s">
        <v>597</v>
      </c>
      <c r="C2192" s="5"/>
      <c r="D2192" s="5" t="s">
        <v>14</v>
      </c>
      <c r="E2192" s="15">
        <f>2</f>
        <v>2</v>
      </c>
      <c r="F2192" s="15"/>
      <c r="G2192" s="15"/>
    </row>
    <row r="2193" spans="1:126" x14ac:dyDescent="0.3">
      <c r="A2193" s="5"/>
      <c r="B2193" s="5" t="s">
        <v>597</v>
      </c>
      <c r="C2193" s="5"/>
      <c r="D2193" s="5" t="s">
        <v>14</v>
      </c>
      <c r="E2193" s="15">
        <f>22</f>
        <v>22</v>
      </c>
      <c r="F2193" s="15"/>
      <c r="G2193" s="15"/>
    </row>
    <row r="2194" spans="1:126" x14ac:dyDescent="0.3">
      <c r="A2194" s="5"/>
      <c r="B2194" s="5" t="s">
        <v>598</v>
      </c>
      <c r="C2194" s="5"/>
      <c r="D2194" s="5" t="s">
        <v>14</v>
      </c>
      <c r="E2194" s="15">
        <f>13</f>
        <v>13</v>
      </c>
      <c r="F2194" s="15"/>
      <c r="G2194" s="15"/>
    </row>
    <row r="2195" spans="1:126" x14ac:dyDescent="0.3">
      <c r="A2195" s="5"/>
      <c r="B2195" s="5" t="s">
        <v>597</v>
      </c>
      <c r="C2195" s="5"/>
      <c r="D2195" s="5" t="s">
        <v>14</v>
      </c>
      <c r="E2195" s="15">
        <f>5</f>
        <v>5</v>
      </c>
      <c r="F2195" s="15"/>
      <c r="G2195" s="15"/>
    </row>
    <row r="2196" spans="1:126" s="7" customFormat="1" x14ac:dyDescent="0.3">
      <c r="A2196" s="6"/>
      <c r="B2196" s="6" t="s">
        <v>546</v>
      </c>
      <c r="C2196" s="6" t="s">
        <v>547</v>
      </c>
      <c r="D2196" s="6"/>
      <c r="E2196" s="13"/>
      <c r="F2196" s="13"/>
      <c r="G2196" s="13"/>
      <c r="H2196" s="59"/>
      <c r="I2196" s="59"/>
      <c r="J2196" s="59"/>
      <c r="K2196" s="59"/>
      <c r="L2196" s="59"/>
      <c r="M2196" s="59"/>
      <c r="N2196" s="59"/>
      <c r="O2196" s="59"/>
      <c r="P2196" s="59"/>
      <c r="Q2196" s="59"/>
      <c r="R2196" s="59"/>
      <c r="S2196" s="59"/>
      <c r="T2196" s="59"/>
      <c r="U2196" s="59"/>
      <c r="V2196" s="59"/>
      <c r="W2196" s="59"/>
      <c r="X2196" s="59"/>
      <c r="Y2196" s="59"/>
      <c r="Z2196" s="59"/>
      <c r="AA2196" s="59"/>
      <c r="AB2196" s="59"/>
      <c r="AC2196" s="59"/>
      <c r="AD2196" s="59"/>
      <c r="AE2196" s="59"/>
      <c r="AF2196" s="59"/>
      <c r="AG2196" s="59"/>
      <c r="AH2196" s="59"/>
      <c r="AI2196" s="59"/>
      <c r="AJ2196" s="59"/>
      <c r="AK2196" s="59"/>
      <c r="AL2196" s="59"/>
      <c r="AM2196" s="59"/>
      <c r="AN2196" s="59"/>
      <c r="AO2196" s="59"/>
      <c r="AP2196" s="59"/>
      <c r="AQ2196" s="59"/>
      <c r="AR2196" s="59"/>
      <c r="AS2196" s="59"/>
      <c r="AT2196" s="59"/>
      <c r="AU2196" s="59"/>
      <c r="AV2196" s="59"/>
      <c r="AW2196" s="59"/>
      <c r="AX2196" s="59"/>
      <c r="AY2196" s="59"/>
      <c r="AZ2196" s="59"/>
      <c r="BA2196" s="59"/>
      <c r="BB2196" s="59"/>
      <c r="BC2196" s="59"/>
      <c r="BD2196" s="59"/>
      <c r="BE2196" s="59"/>
      <c r="BF2196" s="59"/>
      <c r="BG2196" s="59"/>
      <c r="BH2196" s="59"/>
      <c r="BI2196" s="59"/>
      <c r="BJ2196" s="59"/>
      <c r="BK2196" s="59"/>
      <c r="BL2196" s="59"/>
      <c r="BM2196" s="59"/>
      <c r="BN2196" s="59"/>
      <c r="BO2196" s="59"/>
      <c r="BP2196" s="59"/>
      <c r="BQ2196" s="59"/>
      <c r="BR2196" s="59"/>
      <c r="BS2196" s="59"/>
      <c r="BT2196" s="59"/>
      <c r="BU2196" s="59"/>
      <c r="BV2196" s="59"/>
      <c r="BW2196" s="59"/>
      <c r="BX2196" s="59"/>
      <c r="BY2196" s="59"/>
      <c r="BZ2196" s="59"/>
      <c r="CA2196" s="59"/>
      <c r="CB2196" s="59"/>
      <c r="CC2196" s="59"/>
      <c r="CD2196" s="59"/>
      <c r="CE2196" s="59"/>
      <c r="CF2196" s="59"/>
      <c r="CG2196" s="59"/>
      <c r="CH2196" s="59"/>
      <c r="CI2196" s="59"/>
      <c r="CJ2196" s="59"/>
      <c r="CK2196" s="59"/>
      <c r="CL2196" s="59"/>
      <c r="CM2196" s="59"/>
      <c r="CN2196" s="59"/>
      <c r="CO2196" s="59"/>
      <c r="CP2196" s="59"/>
      <c r="CQ2196" s="59"/>
      <c r="CR2196" s="59"/>
      <c r="CS2196" s="59"/>
      <c r="CT2196" s="59"/>
      <c r="CU2196" s="59"/>
      <c r="CV2196" s="59"/>
      <c r="CW2196" s="59"/>
      <c r="CX2196" s="59"/>
      <c r="CY2196" s="59"/>
      <c r="CZ2196" s="59"/>
      <c r="DA2196" s="59"/>
      <c r="DB2196" s="59"/>
      <c r="DC2196" s="59"/>
      <c r="DD2196" s="59"/>
      <c r="DE2196" s="59"/>
      <c r="DF2196" s="59"/>
      <c r="DG2196" s="59"/>
      <c r="DH2196" s="59"/>
      <c r="DI2196" s="59"/>
      <c r="DJ2196" s="59"/>
      <c r="DK2196" s="59"/>
      <c r="DL2196" s="59"/>
      <c r="DM2196" s="59"/>
      <c r="DN2196" s="59"/>
      <c r="DO2196" s="59"/>
      <c r="DP2196" s="59"/>
      <c r="DQ2196" s="59"/>
      <c r="DR2196" s="59"/>
      <c r="DS2196" s="59"/>
      <c r="DT2196" s="59"/>
      <c r="DU2196" s="59"/>
      <c r="DV2196" s="59"/>
    </row>
    <row r="2197" spans="1:126" x14ac:dyDescent="0.3">
      <c r="A2197" s="5"/>
      <c r="B2197" s="5" t="s">
        <v>549</v>
      </c>
      <c r="C2197" s="5"/>
      <c r="D2197" s="5" t="s">
        <v>8</v>
      </c>
      <c r="E2197" s="15">
        <f>113.32</f>
        <v>113.32</v>
      </c>
      <c r="F2197" s="15"/>
      <c r="G2197" s="15"/>
    </row>
    <row r="2198" spans="1:126" x14ac:dyDescent="0.3">
      <c r="A2198" s="5"/>
      <c r="B2198" s="5" t="s">
        <v>548</v>
      </c>
      <c r="C2198" s="5"/>
      <c r="D2198" s="5" t="s">
        <v>10</v>
      </c>
      <c r="E2198" s="15">
        <f>186</f>
        <v>186</v>
      </c>
      <c r="F2198" s="15"/>
      <c r="G2198" s="15"/>
    </row>
    <row r="2199" spans="1:126" x14ac:dyDescent="0.3">
      <c r="A2199" s="5"/>
      <c r="B2199" s="5" t="s">
        <v>550</v>
      </c>
      <c r="C2199" s="5"/>
      <c r="D2199" s="5" t="s">
        <v>10</v>
      </c>
      <c r="E2199" s="15">
        <f>80</f>
        <v>80</v>
      </c>
      <c r="F2199" s="15"/>
      <c r="G2199" s="15"/>
    </row>
    <row r="2200" spans="1:126" x14ac:dyDescent="0.3">
      <c r="A2200" s="5"/>
      <c r="B2200" s="5" t="s">
        <v>551</v>
      </c>
      <c r="C2200" s="5"/>
      <c r="D2200" s="5" t="s">
        <v>10</v>
      </c>
      <c r="E2200" s="15">
        <f>1.02</f>
        <v>1.02</v>
      </c>
      <c r="F2200" s="15"/>
      <c r="G2200" s="15"/>
    </row>
    <row r="2201" spans="1:126" x14ac:dyDescent="0.3">
      <c r="A2201" s="5"/>
      <c r="B2201" s="5" t="s">
        <v>552</v>
      </c>
      <c r="C2201" s="5"/>
      <c r="D2201" s="5" t="s">
        <v>10</v>
      </c>
      <c r="E2201" s="15">
        <f>470</f>
        <v>470</v>
      </c>
      <c r="F2201" s="15"/>
      <c r="G2201" s="15"/>
    </row>
    <row r="2202" spans="1:126" x14ac:dyDescent="0.3">
      <c r="A2202" s="5"/>
      <c r="B2202" s="5" t="s">
        <v>142</v>
      </c>
      <c r="C2202" s="5"/>
      <c r="D2202" s="5" t="s">
        <v>8</v>
      </c>
      <c r="E2202" s="15">
        <f>8.01</f>
        <v>8.01</v>
      </c>
      <c r="F2202" s="15"/>
      <c r="G2202" s="15"/>
    </row>
    <row r="2203" spans="1:126" x14ac:dyDescent="0.3">
      <c r="A2203" s="5"/>
      <c r="B2203" s="5" t="s">
        <v>136</v>
      </c>
      <c r="C2203" s="5"/>
      <c r="D2203" s="5" t="s">
        <v>8</v>
      </c>
      <c r="E2203" s="15">
        <f>7.68</f>
        <v>7.68</v>
      </c>
      <c r="F2203" s="15"/>
      <c r="G2203" s="15"/>
    </row>
    <row r="2204" spans="1:126" x14ac:dyDescent="0.3">
      <c r="A2204" s="5"/>
      <c r="B2204" s="5" t="s">
        <v>191</v>
      </c>
      <c r="C2204" s="5"/>
      <c r="D2204" s="5" t="s">
        <v>8</v>
      </c>
      <c r="E2204" s="15">
        <f>17.44</f>
        <v>17.440000000000001</v>
      </c>
      <c r="F2204" s="15"/>
      <c r="G2204" s="15"/>
    </row>
    <row r="2205" spans="1:126" ht="31.2" x14ac:dyDescent="0.3">
      <c r="A2205" s="5"/>
      <c r="B2205" s="11" t="s">
        <v>553</v>
      </c>
      <c r="C2205" s="5"/>
      <c r="D2205" s="5" t="s">
        <v>8</v>
      </c>
      <c r="E2205" s="15">
        <f>2.3</f>
        <v>2.2999999999999998</v>
      </c>
      <c r="F2205" s="15"/>
      <c r="G2205" s="15"/>
    </row>
    <row r="2206" spans="1:126" x14ac:dyDescent="0.3">
      <c r="A2206" s="5"/>
      <c r="B2206" s="5" t="s">
        <v>220</v>
      </c>
      <c r="C2206" s="5"/>
      <c r="D2206" s="5" t="s">
        <v>72</v>
      </c>
      <c r="E2206" s="15">
        <f>841*0.45</f>
        <v>378.45</v>
      </c>
      <c r="F2206" s="15"/>
      <c r="G2206" s="15"/>
    </row>
    <row r="2207" spans="1:126" x14ac:dyDescent="0.3">
      <c r="A2207" s="5"/>
      <c r="B2207" s="5" t="s">
        <v>554</v>
      </c>
      <c r="C2207" s="5"/>
      <c r="D2207" s="5" t="s">
        <v>14</v>
      </c>
      <c r="E2207" s="15">
        <f>1080</f>
        <v>1080</v>
      </c>
      <c r="F2207" s="15"/>
      <c r="G2207" s="15"/>
    </row>
    <row r="2208" spans="1:126" x14ac:dyDescent="0.3">
      <c r="A2208" s="5"/>
      <c r="B2208" s="5" t="s">
        <v>555</v>
      </c>
      <c r="C2208" s="5"/>
      <c r="D2208" s="5" t="s">
        <v>71</v>
      </c>
      <c r="E2208" s="15">
        <f>1200</f>
        <v>1200</v>
      </c>
      <c r="F2208" s="15"/>
      <c r="G2208" s="15"/>
    </row>
    <row r="2209" spans="1:126" x14ac:dyDescent="0.3">
      <c r="A2209" s="5"/>
      <c r="B2209" s="5" t="s">
        <v>556</v>
      </c>
      <c r="C2209" s="5"/>
      <c r="D2209" s="5" t="s">
        <v>14</v>
      </c>
      <c r="E2209" s="15">
        <f>1080</f>
        <v>1080</v>
      </c>
      <c r="F2209" s="15"/>
      <c r="G2209" s="15"/>
    </row>
    <row r="2210" spans="1:126" ht="31.2" x14ac:dyDescent="0.3">
      <c r="A2210" s="5"/>
      <c r="B2210" s="11" t="s">
        <v>557</v>
      </c>
      <c r="C2210" s="5"/>
      <c r="D2210" s="5" t="s">
        <v>8</v>
      </c>
      <c r="E2210" s="15">
        <f>41.98</f>
        <v>41.98</v>
      </c>
      <c r="F2210" s="15"/>
      <c r="G2210" s="15"/>
    </row>
    <row r="2211" spans="1:126" x14ac:dyDescent="0.3">
      <c r="A2211" s="5"/>
      <c r="B2211" s="5" t="s">
        <v>224</v>
      </c>
      <c r="C2211" s="5"/>
      <c r="D2211" s="5" t="s">
        <v>10</v>
      </c>
      <c r="E2211" s="15">
        <f>8.77</f>
        <v>8.77</v>
      </c>
      <c r="F2211" s="15"/>
      <c r="G2211" s="15"/>
    </row>
    <row r="2212" spans="1:126" x14ac:dyDescent="0.3">
      <c r="A2212" s="5"/>
      <c r="B2212" s="5" t="s">
        <v>558</v>
      </c>
      <c r="C2212" s="5"/>
      <c r="D2212" s="5" t="s">
        <v>14</v>
      </c>
      <c r="E2212" s="15">
        <f>532</f>
        <v>532</v>
      </c>
      <c r="F2212" s="15"/>
      <c r="G2212" s="15"/>
    </row>
    <row r="2213" spans="1:126" x14ac:dyDescent="0.3">
      <c r="A2213" s="5"/>
      <c r="B2213" s="5" t="s">
        <v>559</v>
      </c>
      <c r="C2213" s="5"/>
      <c r="D2213" s="5" t="s">
        <v>14</v>
      </c>
      <c r="E2213" s="15">
        <f>6</f>
        <v>6</v>
      </c>
      <c r="F2213" s="15"/>
      <c r="G2213" s="15"/>
    </row>
    <row r="2214" spans="1:126" x14ac:dyDescent="0.3">
      <c r="A2214" s="5"/>
      <c r="B2214" s="5" t="s">
        <v>560</v>
      </c>
      <c r="C2214" s="5"/>
      <c r="D2214" s="5" t="s">
        <v>14</v>
      </c>
      <c r="E2214" s="15">
        <f>266</f>
        <v>266</v>
      </c>
      <c r="F2214" s="15"/>
      <c r="G2214" s="15"/>
    </row>
    <row r="2215" spans="1:126" x14ac:dyDescent="0.3">
      <c r="A2215" s="5"/>
      <c r="B2215" s="5" t="s">
        <v>561</v>
      </c>
      <c r="C2215" s="5"/>
      <c r="D2215" s="5" t="s">
        <v>14</v>
      </c>
      <c r="E2215" s="15">
        <f>266</f>
        <v>266</v>
      </c>
      <c r="F2215" s="15"/>
      <c r="G2215" s="15"/>
    </row>
    <row r="2216" spans="1:126" ht="31.2" x14ac:dyDescent="0.3">
      <c r="A2216" s="5"/>
      <c r="B2216" s="11" t="s">
        <v>562</v>
      </c>
      <c r="C2216" s="5"/>
      <c r="D2216" s="5" t="s">
        <v>8</v>
      </c>
      <c r="E2216" s="15">
        <f>0.19</f>
        <v>0.19</v>
      </c>
      <c r="F2216" s="15"/>
      <c r="G2216" s="15"/>
    </row>
    <row r="2217" spans="1:126" x14ac:dyDescent="0.3">
      <c r="A2217" s="5"/>
      <c r="B2217" s="5" t="s">
        <v>563</v>
      </c>
      <c r="C2217" s="5"/>
      <c r="D2217" s="5" t="s">
        <v>72</v>
      </c>
      <c r="E2217" s="15">
        <f>6403*0.4</f>
        <v>2561.2000000000003</v>
      </c>
      <c r="F2217" s="15"/>
      <c r="G2217" s="15"/>
    </row>
    <row r="2218" spans="1:126" ht="31.2" x14ac:dyDescent="0.3">
      <c r="A2218" s="5"/>
      <c r="B2218" s="11" t="s">
        <v>564</v>
      </c>
      <c r="C2218" s="5"/>
      <c r="D2218" s="5" t="s">
        <v>8</v>
      </c>
      <c r="E2218" s="15">
        <f>2.42</f>
        <v>2.42</v>
      </c>
      <c r="F2218" s="15"/>
      <c r="G2218" s="15"/>
    </row>
    <row r="2219" spans="1:126" s="7" customFormat="1" ht="31.2" x14ac:dyDescent="0.3">
      <c r="A2219" s="6"/>
      <c r="B2219" s="27" t="s">
        <v>570</v>
      </c>
      <c r="C2219" s="6" t="s">
        <v>574</v>
      </c>
      <c r="D2219" s="6"/>
      <c r="E2219" s="13"/>
      <c r="F2219" s="13"/>
      <c r="G2219" s="13"/>
      <c r="H2219" s="59"/>
      <c r="I2219" s="59"/>
      <c r="J2219" s="59"/>
      <c r="K2219" s="59"/>
      <c r="L2219" s="59"/>
      <c r="M2219" s="59"/>
      <c r="N2219" s="59"/>
      <c r="O2219" s="59"/>
      <c r="P2219" s="59"/>
      <c r="Q2219" s="59"/>
      <c r="R2219" s="59"/>
      <c r="S2219" s="59"/>
      <c r="T2219" s="59"/>
      <c r="U2219" s="59"/>
      <c r="V2219" s="59"/>
      <c r="W2219" s="59"/>
      <c r="X2219" s="59"/>
      <c r="Y2219" s="59"/>
      <c r="Z2219" s="59"/>
      <c r="AA2219" s="59"/>
      <c r="AB2219" s="59"/>
      <c r="AC2219" s="59"/>
      <c r="AD2219" s="59"/>
      <c r="AE2219" s="59"/>
      <c r="AF2219" s="59"/>
      <c r="AG2219" s="59"/>
      <c r="AH2219" s="59"/>
      <c r="AI2219" s="59"/>
      <c r="AJ2219" s="59"/>
      <c r="AK2219" s="59"/>
      <c r="AL2219" s="59"/>
      <c r="AM2219" s="59"/>
      <c r="AN2219" s="59"/>
      <c r="AO2219" s="59"/>
      <c r="AP2219" s="59"/>
      <c r="AQ2219" s="59"/>
      <c r="AR2219" s="59"/>
      <c r="AS2219" s="59"/>
      <c r="AT2219" s="59"/>
      <c r="AU2219" s="59"/>
      <c r="AV2219" s="59"/>
      <c r="AW2219" s="59"/>
      <c r="AX2219" s="59"/>
      <c r="AY2219" s="59"/>
      <c r="AZ2219" s="59"/>
      <c r="BA2219" s="59"/>
      <c r="BB2219" s="59"/>
      <c r="BC2219" s="59"/>
      <c r="BD2219" s="59"/>
      <c r="BE2219" s="59"/>
      <c r="BF2219" s="59"/>
      <c r="BG2219" s="59"/>
      <c r="BH2219" s="59"/>
      <c r="BI2219" s="59"/>
      <c r="BJ2219" s="59"/>
      <c r="BK2219" s="59"/>
      <c r="BL2219" s="59"/>
      <c r="BM2219" s="59"/>
      <c r="BN2219" s="59"/>
      <c r="BO2219" s="59"/>
      <c r="BP2219" s="59"/>
      <c r="BQ2219" s="59"/>
      <c r="BR2219" s="59"/>
      <c r="BS2219" s="59"/>
      <c r="BT2219" s="59"/>
      <c r="BU2219" s="59"/>
      <c r="BV2219" s="59"/>
      <c r="BW2219" s="59"/>
      <c r="BX2219" s="59"/>
      <c r="BY2219" s="59"/>
      <c r="BZ2219" s="59"/>
      <c r="CA2219" s="59"/>
      <c r="CB2219" s="59"/>
      <c r="CC2219" s="59"/>
      <c r="CD2219" s="59"/>
      <c r="CE2219" s="59"/>
      <c r="CF2219" s="59"/>
      <c r="CG2219" s="59"/>
      <c r="CH2219" s="59"/>
      <c r="CI2219" s="59"/>
      <c r="CJ2219" s="59"/>
      <c r="CK2219" s="59"/>
      <c r="CL2219" s="59"/>
      <c r="CM2219" s="59"/>
      <c r="CN2219" s="59"/>
      <c r="CO2219" s="59"/>
      <c r="CP2219" s="59"/>
      <c r="CQ2219" s="59"/>
      <c r="CR2219" s="59"/>
      <c r="CS2219" s="59"/>
      <c r="CT2219" s="59"/>
      <c r="CU2219" s="59"/>
      <c r="CV2219" s="59"/>
      <c r="CW2219" s="59"/>
      <c r="CX2219" s="59"/>
      <c r="CY2219" s="59"/>
      <c r="CZ2219" s="59"/>
      <c r="DA2219" s="59"/>
      <c r="DB2219" s="59"/>
      <c r="DC2219" s="59"/>
      <c r="DD2219" s="59"/>
      <c r="DE2219" s="59"/>
      <c r="DF2219" s="59"/>
      <c r="DG2219" s="59"/>
      <c r="DH2219" s="59"/>
      <c r="DI2219" s="59"/>
      <c r="DJ2219" s="59"/>
      <c r="DK2219" s="59"/>
      <c r="DL2219" s="59"/>
      <c r="DM2219" s="59"/>
      <c r="DN2219" s="59"/>
      <c r="DO2219" s="59"/>
      <c r="DP2219" s="59"/>
      <c r="DQ2219" s="59"/>
      <c r="DR2219" s="59"/>
      <c r="DS2219" s="59"/>
      <c r="DT2219" s="59"/>
      <c r="DU2219" s="59"/>
      <c r="DV2219" s="59"/>
    </row>
    <row r="2220" spans="1:126" s="3" customFormat="1" x14ac:dyDescent="0.3">
      <c r="A2220" s="21"/>
      <c r="B2220" s="26" t="s">
        <v>479</v>
      </c>
      <c r="C2220" s="21"/>
      <c r="D2220" s="21"/>
      <c r="E2220" s="22"/>
      <c r="F2220" s="22"/>
      <c r="G2220" s="22"/>
      <c r="H2220" s="59"/>
      <c r="I2220" s="59"/>
      <c r="J2220" s="59"/>
      <c r="K2220" s="59"/>
      <c r="L2220" s="59"/>
      <c r="M2220" s="59"/>
      <c r="N2220" s="59"/>
      <c r="O2220" s="59"/>
      <c r="P2220" s="59"/>
      <c r="Q2220" s="59"/>
      <c r="R2220" s="59"/>
      <c r="S2220" s="59"/>
      <c r="T2220" s="59"/>
      <c r="U2220" s="59"/>
      <c r="V2220" s="59"/>
      <c r="W2220" s="59"/>
      <c r="X2220" s="59"/>
      <c r="Y2220" s="59"/>
      <c r="Z2220" s="59"/>
      <c r="AA2220" s="59"/>
      <c r="AB2220" s="59"/>
      <c r="AC2220" s="59"/>
      <c r="AD2220" s="59"/>
      <c r="AE2220" s="59"/>
      <c r="AF2220" s="59"/>
      <c r="AG2220" s="59"/>
      <c r="AH2220" s="59"/>
      <c r="AI2220" s="59"/>
      <c r="AJ2220" s="59"/>
      <c r="AK2220" s="59"/>
      <c r="AL2220" s="59"/>
      <c r="AM2220" s="59"/>
      <c r="AN2220" s="59"/>
      <c r="AO2220" s="59"/>
      <c r="AP2220" s="59"/>
      <c r="AQ2220" s="59"/>
      <c r="AR2220" s="59"/>
      <c r="AS2220" s="59"/>
      <c r="AT2220" s="59"/>
      <c r="AU2220" s="59"/>
      <c r="AV2220" s="59"/>
      <c r="AW2220" s="59"/>
      <c r="AX2220" s="59"/>
      <c r="AY2220" s="59"/>
      <c r="AZ2220" s="59"/>
      <c r="BA2220" s="59"/>
      <c r="BB2220" s="59"/>
      <c r="BC2220" s="59"/>
      <c r="BD2220" s="59"/>
      <c r="BE2220" s="59"/>
      <c r="BF2220" s="59"/>
      <c r="BG2220" s="59"/>
      <c r="BH2220" s="59"/>
      <c r="BI2220" s="59"/>
      <c r="BJ2220" s="59"/>
      <c r="BK2220" s="59"/>
      <c r="BL2220" s="59"/>
      <c r="BM2220" s="59"/>
      <c r="BN2220" s="59"/>
      <c r="BO2220" s="59"/>
      <c r="BP2220" s="59"/>
      <c r="BQ2220" s="59"/>
      <c r="BR2220" s="59"/>
      <c r="BS2220" s="59"/>
      <c r="BT2220" s="59"/>
      <c r="BU2220" s="59"/>
      <c r="BV2220" s="59"/>
      <c r="BW2220" s="59"/>
      <c r="BX2220" s="59"/>
      <c r="BY2220" s="59"/>
      <c r="BZ2220" s="59"/>
      <c r="CA2220" s="59"/>
      <c r="CB2220" s="59"/>
      <c r="CC2220" s="59"/>
      <c r="CD2220" s="59"/>
      <c r="CE2220" s="59"/>
      <c r="CF2220" s="59"/>
      <c r="CG2220" s="59"/>
      <c r="CH2220" s="59"/>
      <c r="CI2220" s="59"/>
      <c r="CJ2220" s="59"/>
      <c r="CK2220" s="59"/>
      <c r="CL2220" s="59"/>
      <c r="CM2220" s="59"/>
      <c r="CN2220" s="59"/>
      <c r="CO2220" s="59"/>
      <c r="CP2220" s="59"/>
      <c r="CQ2220" s="59"/>
      <c r="CR2220" s="59"/>
      <c r="CS2220" s="59"/>
      <c r="CT2220" s="59"/>
      <c r="CU2220" s="59"/>
      <c r="CV2220" s="59"/>
      <c r="CW2220" s="59"/>
      <c r="CX2220" s="59"/>
      <c r="CY2220" s="59"/>
      <c r="CZ2220" s="59"/>
      <c r="DA2220" s="59"/>
      <c r="DB2220" s="59"/>
      <c r="DC2220" s="59"/>
      <c r="DD2220" s="59"/>
      <c r="DE2220" s="59"/>
      <c r="DF2220" s="59"/>
      <c r="DG2220" s="59"/>
      <c r="DH2220" s="59"/>
      <c r="DI2220" s="59"/>
      <c r="DJ2220" s="59"/>
      <c r="DK2220" s="59"/>
      <c r="DL2220" s="59"/>
      <c r="DM2220" s="59"/>
      <c r="DN2220" s="59"/>
      <c r="DO2220" s="59"/>
      <c r="DP2220" s="59"/>
      <c r="DQ2220" s="59"/>
      <c r="DR2220" s="59"/>
      <c r="DS2220" s="59"/>
      <c r="DT2220" s="59"/>
      <c r="DU2220" s="59"/>
      <c r="DV2220" s="59"/>
    </row>
    <row r="2221" spans="1:126" x14ac:dyDescent="0.3">
      <c r="A2221" s="5"/>
      <c r="B2221" s="5" t="s">
        <v>571</v>
      </c>
      <c r="C2221" s="5"/>
      <c r="D2221" s="5" t="s">
        <v>10</v>
      </c>
      <c r="E2221" s="15">
        <f>2945.4</f>
        <v>2945.4</v>
      </c>
      <c r="F2221" s="15"/>
      <c r="G2221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34BB-7F49-40FB-8B36-619589A5E0BF}">
  <dimension ref="C6:F35"/>
  <sheetViews>
    <sheetView tabSelected="1" topLeftCell="A16" zoomScaleNormal="100" workbookViewId="0">
      <selection activeCell="G4" sqref="G4"/>
    </sheetView>
  </sheetViews>
  <sheetFormatPr defaultRowHeight="14.4" x14ac:dyDescent="0.3"/>
  <cols>
    <col min="3" max="3" width="18.33203125" customWidth="1"/>
    <col min="6" max="6" width="15.77734375" customWidth="1"/>
  </cols>
  <sheetData>
    <row r="6" spans="3:6" x14ac:dyDescent="0.3">
      <c r="C6" s="69" t="s">
        <v>1060</v>
      </c>
      <c r="D6" s="69"/>
      <c r="E6" s="69"/>
      <c r="F6" s="69"/>
    </row>
    <row r="8" spans="3:6" x14ac:dyDescent="0.3">
      <c r="C8" s="63" t="s">
        <v>1056</v>
      </c>
      <c r="D8" s="63" t="s">
        <v>1057</v>
      </c>
      <c r="E8" s="63" t="s">
        <v>1058</v>
      </c>
      <c r="F8" s="68" t="s">
        <v>1061</v>
      </c>
    </row>
    <row r="9" spans="3:6" x14ac:dyDescent="0.3">
      <c r="C9" s="63" t="str">
        <f>'Основные материалы'!B148</f>
        <v>БНС D=1,5м L=10м</v>
      </c>
      <c r="D9" s="63" t="s">
        <v>10</v>
      </c>
      <c r="E9" s="64">
        <f>'Основные материалы'!E149</f>
        <v>627.70000000000005</v>
      </c>
      <c r="F9" s="64">
        <f>'Основные материалы'!E148</f>
        <v>32</v>
      </c>
    </row>
    <row r="10" spans="3:6" x14ac:dyDescent="0.3">
      <c r="C10" s="63" t="str">
        <f>'Основные материалы'!B219</f>
        <v>БНС D=1,5м L=37м</v>
      </c>
      <c r="D10" s="63" t="s">
        <v>10</v>
      </c>
      <c r="E10" s="64">
        <f>'Основные материалы'!E220</f>
        <v>2154.5</v>
      </c>
      <c r="F10" s="64">
        <f>'Основные материалы'!E219</f>
        <v>32</v>
      </c>
    </row>
    <row r="11" spans="3:6" x14ac:dyDescent="0.3">
      <c r="C11" s="63" t="str">
        <f>'Основные материалы'!B272</f>
        <v>БНС D=1,5м L=21м</v>
      </c>
      <c r="D11" s="63" t="s">
        <v>10</v>
      </c>
      <c r="E11" s="64">
        <f>'Основные материалы'!E273</f>
        <v>3983.5</v>
      </c>
      <c r="F11" s="64">
        <f>'Основные материалы'!E272</f>
        <v>102</v>
      </c>
    </row>
    <row r="12" spans="3:6" x14ac:dyDescent="0.3">
      <c r="C12" s="63" t="str">
        <f>'Основные материалы'!B349</f>
        <v>БНС D=1,5м L=27м</v>
      </c>
      <c r="D12" s="63" t="s">
        <v>10</v>
      </c>
      <c r="E12" s="64">
        <f>'Основные материалы'!E350</f>
        <v>10400</v>
      </c>
      <c r="F12" s="64">
        <f>'Основные материалы'!E349</f>
        <v>208</v>
      </c>
    </row>
    <row r="13" spans="3:6" x14ac:dyDescent="0.3">
      <c r="C13" s="63" t="str">
        <f>'Основные материалы'!B448</f>
        <v>БНС D=1,5м L=40м</v>
      </c>
      <c r="D13" s="63" t="s">
        <v>10</v>
      </c>
      <c r="E13" s="64">
        <f>'Основные материалы'!E449</f>
        <v>7408.2</v>
      </c>
      <c r="F13" s="64">
        <f>'Основные материалы'!E448</f>
        <v>102</v>
      </c>
    </row>
    <row r="14" spans="3:6" x14ac:dyDescent="0.3">
      <c r="C14" s="63" t="str">
        <f>'Основные материалы'!B525</f>
        <v>БНС D=1,5м L=37м</v>
      </c>
      <c r="D14" s="63" t="s">
        <v>10</v>
      </c>
      <c r="E14" s="64">
        <f>'Основные материалы'!E526</f>
        <v>2154.5</v>
      </c>
      <c r="F14" s="64">
        <f>'Основные материалы'!E525</f>
        <v>32</v>
      </c>
    </row>
    <row r="15" spans="3:6" x14ac:dyDescent="0.3">
      <c r="C15" s="63" t="str">
        <f>'Основные материалы'!B578</f>
        <v>БНС D=1,5м L=26м</v>
      </c>
      <c r="D15" s="63" t="s">
        <v>10</v>
      </c>
      <c r="E15" s="64">
        <f>'Основные материалы'!E579</f>
        <v>1532.5</v>
      </c>
      <c r="F15" s="64">
        <f>'Основные материалы'!E578</f>
        <v>32</v>
      </c>
    </row>
    <row r="16" spans="3:6" x14ac:dyDescent="0.3">
      <c r="C16" s="63" t="str">
        <f>'Основные материалы'!B647</f>
        <v>БНС D=1,5м L=25м</v>
      </c>
      <c r="D16" s="63" t="s">
        <v>10</v>
      </c>
      <c r="E16" s="64">
        <f>'Основные материалы'!E648</f>
        <v>846.04</v>
      </c>
      <c r="F16" s="64">
        <f>'Основные материалы'!E647</f>
        <v>18</v>
      </c>
    </row>
    <row r="17" spans="3:6" x14ac:dyDescent="0.3">
      <c r="C17" s="63" t="str">
        <f>'Основные материалы'!B692</f>
        <v>БНС D=1,5м L=10м</v>
      </c>
      <c r="D17" s="63" t="s">
        <v>10</v>
      </c>
      <c r="E17" s="64">
        <f>'Основные материалы'!E693</f>
        <v>430.44</v>
      </c>
      <c r="F17" s="64">
        <f>'Основные материалы'!E692</f>
        <v>21</v>
      </c>
    </row>
    <row r="18" spans="3:6" x14ac:dyDescent="0.3">
      <c r="C18" s="63" t="str">
        <f>'Основные материалы'!B873</f>
        <v>БНС D=1,5м L=27м</v>
      </c>
      <c r="D18" s="63" t="s">
        <v>10</v>
      </c>
      <c r="E18" s="64">
        <f>'Основные материалы'!E874</f>
        <v>1010.8</v>
      </c>
      <c r="F18" s="64">
        <f>'Основные материалы'!E873</f>
        <v>20</v>
      </c>
    </row>
    <row r="19" spans="3:6" x14ac:dyDescent="0.3">
      <c r="C19" s="63" t="str">
        <f>'Основные материалы'!B913</f>
        <v>БНС D=1,5м L=29м</v>
      </c>
      <c r="D19" s="63" t="s">
        <v>10</v>
      </c>
      <c r="E19" s="64">
        <f>'Основные материалы'!E914</f>
        <v>1081.5</v>
      </c>
      <c r="F19" s="64">
        <f>'Основные материалы'!E913</f>
        <v>20</v>
      </c>
    </row>
    <row r="20" spans="3:6" x14ac:dyDescent="0.3">
      <c r="C20" s="63" t="str">
        <f>'Основные материалы'!B953</f>
        <v>БНС D=1,5м L=23,5м</v>
      </c>
      <c r="D20" s="63" t="s">
        <v>10</v>
      </c>
      <c r="E20" s="64">
        <f>'Основные материалы'!E954</f>
        <v>887.1</v>
      </c>
      <c r="F20" s="64">
        <f>'Основные материалы'!E953</f>
        <v>20</v>
      </c>
    </row>
    <row r="21" spans="3:6" x14ac:dyDescent="0.3">
      <c r="C21" s="63" t="str">
        <f>'Основные материалы'!B993</f>
        <v>БНС D=1,5м L=26м</v>
      </c>
      <c r="D21" s="63" t="s">
        <v>10</v>
      </c>
      <c r="E21" s="64">
        <f>'Основные материалы'!E994</f>
        <v>975.4</v>
      </c>
      <c r="F21" s="64">
        <f>'Основные материалы'!E993</f>
        <v>20</v>
      </c>
    </row>
    <row r="22" spans="3:6" x14ac:dyDescent="0.3">
      <c r="C22" s="63" t="str">
        <f>'Основные материалы'!B1033</f>
        <v>БНС D=1,5м L=29м</v>
      </c>
      <c r="D22" s="63" t="s">
        <v>10</v>
      </c>
      <c r="E22" s="64">
        <f>'Основные материалы'!E1034</f>
        <v>1081.5</v>
      </c>
      <c r="F22" s="64">
        <f>'Основные материалы'!E1033</f>
        <v>20</v>
      </c>
    </row>
    <row r="23" spans="3:6" x14ac:dyDescent="0.3">
      <c r="C23" s="63" t="str">
        <f>'Основные материалы'!B1073</f>
        <v>БНС D=1,5м L=28,5м</v>
      </c>
      <c r="D23" s="63" t="s">
        <v>10</v>
      </c>
      <c r="E23" s="64">
        <f>'Основные материалы'!E1074</f>
        <v>1063.8</v>
      </c>
      <c r="F23" s="64">
        <f>'Основные материалы'!E1073</f>
        <v>20</v>
      </c>
    </row>
    <row r="24" spans="3:6" x14ac:dyDescent="0.3">
      <c r="C24" s="63" t="str">
        <f>'Основные материалы'!B1113</f>
        <v>БНС D=1,5м L=31,5м</v>
      </c>
      <c r="D24" s="63" t="s">
        <v>10</v>
      </c>
      <c r="E24" s="64">
        <f>'Основные материалы'!E1114</f>
        <v>1169.8</v>
      </c>
      <c r="F24" s="64">
        <f>'Основные материалы'!E1113</f>
        <v>20</v>
      </c>
    </row>
    <row r="25" spans="3:6" x14ac:dyDescent="0.3">
      <c r="C25" s="63" t="str">
        <f>'Основные материалы'!B1153</f>
        <v>БНС D=1,5м L=34,5м</v>
      </c>
      <c r="D25" s="63" t="s">
        <v>10</v>
      </c>
      <c r="E25" s="64">
        <f>'Основные материалы'!E1154</f>
        <v>1275.9000000000001</v>
      </c>
      <c r="F25" s="64">
        <f>'Основные материалы'!E1153</f>
        <v>20</v>
      </c>
    </row>
    <row r="26" spans="3:6" x14ac:dyDescent="0.3">
      <c r="C26" s="63" t="str">
        <f>'Основные материалы'!B1193</f>
        <v>БНС D=1,5м L=24,5м</v>
      </c>
      <c r="D26" s="63" t="s">
        <v>10</v>
      </c>
      <c r="E26" s="64">
        <f>'Основные материалы'!E1194</f>
        <v>922.3</v>
      </c>
      <c r="F26" s="64">
        <f>'Основные материалы'!E1193</f>
        <v>20</v>
      </c>
    </row>
    <row r="27" spans="3:6" x14ac:dyDescent="0.3">
      <c r="C27" s="63" t="str">
        <f>'Основные материалы'!B1233</f>
        <v>БНС D=1,5м L=25,5м</v>
      </c>
      <c r="D27" s="63" t="s">
        <v>10</v>
      </c>
      <c r="E27" s="64">
        <f>'Основные материалы'!E1234</f>
        <v>975.8</v>
      </c>
      <c r="F27" s="64">
        <f>'Основные материалы'!E1233</f>
        <v>22</v>
      </c>
    </row>
    <row r="28" spans="3:6" x14ac:dyDescent="0.3">
      <c r="C28" s="63" t="str">
        <f>'Основные материалы'!B1273</f>
        <v>БНС D=1,5м L=27м</v>
      </c>
      <c r="D28" s="63" t="s">
        <v>10</v>
      </c>
      <c r="E28" s="64">
        <f>'Основные материалы'!E1274</f>
        <v>1010.8</v>
      </c>
      <c r="F28" s="64">
        <f>'Основные материалы'!E1273</f>
        <v>20</v>
      </c>
    </row>
    <row r="29" spans="3:6" x14ac:dyDescent="0.3">
      <c r="C29" s="63" t="str">
        <f>'Основные материалы'!B1313</f>
        <v>БНС D=1,5м L=25,5м</v>
      </c>
      <c r="D29" s="63" t="s">
        <v>10</v>
      </c>
      <c r="E29" s="64">
        <f>'Основные материалы'!E1314</f>
        <v>957.8</v>
      </c>
      <c r="F29" s="64">
        <f>'Основные материалы'!E1313</f>
        <v>20</v>
      </c>
    </row>
    <row r="30" spans="3:6" x14ac:dyDescent="0.3">
      <c r="C30" s="63" t="str">
        <f>'Основные материалы'!B1353</f>
        <v>БНС D=1,5м L=27,5м</v>
      </c>
      <c r="D30" s="63" t="s">
        <v>10</v>
      </c>
      <c r="E30" s="64">
        <f>'Основные материалы'!E1354</f>
        <v>1028.5</v>
      </c>
      <c r="F30" s="64">
        <f>'Основные материалы'!E1353</f>
        <v>20</v>
      </c>
    </row>
    <row r="31" spans="3:6" x14ac:dyDescent="0.3">
      <c r="C31" s="63" t="str">
        <f>'Основные материалы'!B1393</f>
        <v>БНС D=1,5м L=29,5м</v>
      </c>
      <c r="D31" s="63" t="s">
        <v>10</v>
      </c>
      <c r="E31" s="64">
        <f>'Основные материалы'!E1394</f>
        <v>1099.0999999999999</v>
      </c>
      <c r="F31" s="64">
        <f>'Основные материалы'!E1393</f>
        <v>20</v>
      </c>
    </row>
    <row r="32" spans="3:6" x14ac:dyDescent="0.3">
      <c r="C32" s="63" t="str">
        <f>'Основные материалы'!B1433</f>
        <v>БНС D=1,5м L=27,5м</v>
      </c>
      <c r="D32" s="63" t="s">
        <v>10</v>
      </c>
      <c r="E32" s="64">
        <f>'Основные материалы'!E1434</f>
        <v>1028.4000000000001</v>
      </c>
      <c r="F32" s="64">
        <f>'Основные материалы'!E1433</f>
        <v>20</v>
      </c>
    </row>
    <row r="33" spans="3:6" x14ac:dyDescent="0.3">
      <c r="C33" s="63" t="str">
        <f>'Основные материалы'!B1473</f>
        <v>БНС D=1,5м L=31м</v>
      </c>
      <c r="D33" s="63" t="s">
        <v>10</v>
      </c>
      <c r="E33" s="64">
        <f>'Основные материалы'!E1474</f>
        <v>1152.0999999999999</v>
      </c>
      <c r="F33" s="64">
        <f>'Основные материалы'!E1473</f>
        <v>20</v>
      </c>
    </row>
    <row r="34" spans="3:6" x14ac:dyDescent="0.3">
      <c r="C34" s="63" t="str">
        <f>'Основные материалы'!B1513</f>
        <v>БНС D=1,5м L=39,5м</v>
      </c>
      <c r="D34" s="63" t="s">
        <v>10</v>
      </c>
      <c r="E34" s="64">
        <f>'Основные материалы'!E1514</f>
        <v>1525.1</v>
      </c>
      <c r="F34" s="64">
        <f>'Основные материалы'!E1513</f>
        <v>21</v>
      </c>
    </row>
    <row r="35" spans="3:6" x14ac:dyDescent="0.3">
      <c r="C35" s="65" t="s">
        <v>1059</v>
      </c>
      <c r="D35" s="67" t="s">
        <v>10</v>
      </c>
      <c r="E35" s="66">
        <f>SUM(E9:E34)</f>
        <v>47783.080000000016</v>
      </c>
      <c r="F35" s="66">
        <f>SUM(F9:F34)</f>
        <v>922</v>
      </c>
    </row>
  </sheetData>
  <mergeCells count="1">
    <mergeCell ref="C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X704"/>
  <sheetViews>
    <sheetView workbookViewId="0">
      <selection activeCell="J8" sqref="J8"/>
    </sheetView>
  </sheetViews>
  <sheetFormatPr defaultColWidth="8.88671875" defaultRowHeight="15.6" x14ac:dyDescent="0.3"/>
  <cols>
    <col min="1" max="1" width="4.88671875" style="33" customWidth="1"/>
    <col min="2" max="2" width="60.109375" style="33" customWidth="1"/>
    <col min="3" max="3" width="25.6640625" style="33" customWidth="1"/>
    <col min="4" max="4" width="7.5546875" style="33" bestFit="1" customWidth="1"/>
    <col min="5" max="5" width="13.88671875" style="47" bestFit="1" customWidth="1"/>
    <col min="6" max="6" width="16.33203125" style="47" customWidth="1"/>
    <col min="7" max="7" width="20.6640625" style="47" customWidth="1"/>
    <col min="8" max="154" width="8.88671875" style="62"/>
    <col min="155" max="16384" width="8.88671875" style="33"/>
  </cols>
  <sheetData>
    <row r="1" spans="1:154" s="36" customFormat="1" ht="31.2" x14ac:dyDescent="0.3">
      <c r="A1" s="34" t="s">
        <v>0</v>
      </c>
      <c r="B1" s="34" t="s">
        <v>1</v>
      </c>
      <c r="C1" s="34" t="s">
        <v>2</v>
      </c>
      <c r="D1" s="34" t="s">
        <v>4</v>
      </c>
      <c r="E1" s="35" t="s">
        <v>3</v>
      </c>
      <c r="F1" s="12" t="s">
        <v>1054</v>
      </c>
      <c r="G1" s="12" t="s">
        <v>1055</v>
      </c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</row>
    <row r="2" spans="1:154" s="39" customFormat="1" x14ac:dyDescent="0.3">
      <c r="A2" s="37"/>
      <c r="B2" s="37" t="s">
        <v>5</v>
      </c>
      <c r="C2" s="37"/>
      <c r="D2" s="37"/>
      <c r="E2" s="38"/>
      <c r="F2" s="38"/>
      <c r="G2" s="38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</row>
    <row r="3" spans="1:154" s="40" customFormat="1" x14ac:dyDescent="0.3">
      <c r="A3" s="28"/>
      <c r="B3" s="29" t="s">
        <v>599</v>
      </c>
      <c r="C3" s="28" t="s">
        <v>600</v>
      </c>
      <c r="D3" s="28"/>
      <c r="E3" s="30"/>
      <c r="F3" s="30"/>
      <c r="G3" s="30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</row>
    <row r="4" spans="1:154" s="43" customFormat="1" x14ac:dyDescent="0.3">
      <c r="A4" s="31"/>
      <c r="B4" s="41" t="s">
        <v>601</v>
      </c>
      <c r="C4" s="31"/>
      <c r="D4" s="42"/>
      <c r="E4" s="42"/>
      <c r="F4" s="42"/>
      <c r="G4" s="4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</row>
    <row r="5" spans="1:154" x14ac:dyDescent="0.3">
      <c r="A5" s="32"/>
      <c r="B5" s="44" t="s">
        <v>684</v>
      </c>
      <c r="C5" s="32"/>
      <c r="D5" s="45" t="s">
        <v>10</v>
      </c>
      <c r="E5" s="45">
        <v>124720</v>
      </c>
      <c r="F5" s="45"/>
      <c r="G5" s="45"/>
    </row>
    <row r="6" spans="1:154" x14ac:dyDescent="0.3">
      <c r="A6" s="32"/>
      <c r="B6" s="44" t="s">
        <v>685</v>
      </c>
      <c r="C6" s="32"/>
      <c r="D6" s="45" t="s">
        <v>14</v>
      </c>
      <c r="E6" s="45">
        <v>993</v>
      </c>
      <c r="F6" s="45"/>
      <c r="G6" s="45"/>
    </row>
    <row r="7" spans="1:154" x14ac:dyDescent="0.3">
      <c r="A7" s="32"/>
      <c r="B7" s="46" t="s">
        <v>602</v>
      </c>
      <c r="C7" s="32"/>
      <c r="D7" s="49" t="s">
        <v>10</v>
      </c>
      <c r="E7" s="49">
        <v>5327</v>
      </c>
      <c r="F7" s="49"/>
      <c r="G7" s="49"/>
    </row>
    <row r="8" spans="1:154" x14ac:dyDescent="0.3">
      <c r="A8" s="32"/>
      <c r="B8" s="46" t="s">
        <v>603</v>
      </c>
      <c r="C8" s="32"/>
      <c r="D8" s="49" t="s">
        <v>10</v>
      </c>
      <c r="E8" s="49">
        <f>4.8*35.5</f>
        <v>170.4</v>
      </c>
      <c r="F8" s="49"/>
      <c r="G8" s="49"/>
    </row>
    <row r="9" spans="1:154" x14ac:dyDescent="0.3">
      <c r="A9" s="32"/>
      <c r="B9" s="46" t="s">
        <v>604</v>
      </c>
      <c r="C9" s="32"/>
      <c r="D9" s="49" t="s">
        <v>10</v>
      </c>
      <c r="E9" s="49">
        <f>7.2*35.5</f>
        <v>255.6</v>
      </c>
      <c r="F9" s="49"/>
      <c r="G9" s="49"/>
    </row>
    <row r="10" spans="1:154" ht="31.2" x14ac:dyDescent="0.3">
      <c r="A10" s="31"/>
      <c r="B10" s="41" t="s">
        <v>605</v>
      </c>
      <c r="C10" s="31"/>
      <c r="D10" s="42"/>
      <c r="E10" s="42"/>
      <c r="F10" s="42"/>
      <c r="G10" s="42"/>
    </row>
    <row r="11" spans="1:154" x14ac:dyDescent="0.3">
      <c r="A11" s="32"/>
      <c r="B11" s="46" t="s">
        <v>606</v>
      </c>
      <c r="C11" s="48"/>
      <c r="D11" s="49" t="s">
        <v>69</v>
      </c>
      <c r="E11" s="49">
        <v>670</v>
      </c>
      <c r="F11" s="49"/>
      <c r="G11" s="49"/>
    </row>
    <row r="12" spans="1:154" x14ac:dyDescent="0.3">
      <c r="A12" s="32"/>
      <c r="B12" s="46" t="s">
        <v>684</v>
      </c>
      <c r="C12" s="48"/>
      <c r="D12" s="49" t="s">
        <v>10</v>
      </c>
      <c r="E12" s="49">
        <v>9.6</v>
      </c>
      <c r="F12" s="49"/>
      <c r="G12" s="49"/>
    </row>
    <row r="13" spans="1:154" x14ac:dyDescent="0.3">
      <c r="A13" s="32"/>
      <c r="B13" s="46" t="s">
        <v>685</v>
      </c>
      <c r="C13" s="48"/>
      <c r="D13" s="49" t="s">
        <v>14</v>
      </c>
      <c r="E13" s="49">
        <v>8</v>
      </c>
      <c r="F13" s="49"/>
      <c r="G13" s="49"/>
    </row>
    <row r="14" spans="1:154" x14ac:dyDescent="0.3">
      <c r="A14" s="32"/>
      <c r="B14" s="46" t="s">
        <v>609</v>
      </c>
      <c r="C14" s="48"/>
      <c r="D14" s="49" t="s">
        <v>14</v>
      </c>
      <c r="E14" s="49">
        <v>31</v>
      </c>
      <c r="F14" s="49"/>
      <c r="G14" s="49"/>
    </row>
    <row r="15" spans="1:154" x14ac:dyDescent="0.3">
      <c r="A15" s="32"/>
      <c r="B15" s="46" t="s">
        <v>606</v>
      </c>
      <c r="C15" s="48"/>
      <c r="D15" s="49" t="s">
        <v>69</v>
      </c>
      <c r="E15" s="49">
        <v>446.6</v>
      </c>
      <c r="F15" s="49"/>
      <c r="G15" s="49"/>
    </row>
    <row r="16" spans="1:154" x14ac:dyDescent="0.3">
      <c r="A16" s="32"/>
      <c r="B16" s="46" t="s">
        <v>610</v>
      </c>
      <c r="C16" s="48"/>
      <c r="D16" s="49" t="s">
        <v>14</v>
      </c>
      <c r="E16" s="49">
        <v>564</v>
      </c>
      <c r="F16" s="49"/>
      <c r="G16" s="49"/>
    </row>
    <row r="17" spans="1:7" x14ac:dyDescent="0.3">
      <c r="A17" s="32"/>
      <c r="B17" s="46" t="s">
        <v>611</v>
      </c>
      <c r="C17" s="48"/>
      <c r="D17" s="49" t="s">
        <v>14</v>
      </c>
      <c r="E17" s="49">
        <v>46</v>
      </c>
      <c r="F17" s="49"/>
      <c r="G17" s="49"/>
    </row>
    <row r="18" spans="1:7" x14ac:dyDescent="0.3">
      <c r="A18" s="32"/>
      <c r="B18" s="46" t="s">
        <v>612</v>
      </c>
      <c r="C18" s="48"/>
      <c r="D18" s="49" t="s">
        <v>14</v>
      </c>
      <c r="E18" s="49">
        <v>11</v>
      </c>
      <c r="F18" s="49"/>
      <c r="G18" s="49"/>
    </row>
    <row r="19" spans="1:7" x14ac:dyDescent="0.3">
      <c r="A19" s="32"/>
      <c r="B19" s="46" t="s">
        <v>613</v>
      </c>
      <c r="C19" s="48"/>
      <c r="D19" s="49" t="s">
        <v>10</v>
      </c>
      <c r="E19" s="49">
        <v>75.92</v>
      </c>
      <c r="F19" s="49"/>
      <c r="G19" s="49"/>
    </row>
    <row r="20" spans="1:7" x14ac:dyDescent="0.3">
      <c r="A20" s="32"/>
      <c r="B20" s="46" t="s">
        <v>614</v>
      </c>
      <c r="C20" s="48"/>
      <c r="D20" s="49" t="s">
        <v>682</v>
      </c>
      <c r="E20" s="49">
        <f>9.78+0.128+0.043</f>
        <v>9.9509999999999987</v>
      </c>
      <c r="F20" s="49"/>
      <c r="G20" s="49"/>
    </row>
    <row r="21" spans="1:7" x14ac:dyDescent="0.3">
      <c r="A21" s="32"/>
      <c r="B21" s="46" t="s">
        <v>615</v>
      </c>
      <c r="C21" s="48"/>
      <c r="D21" s="49" t="s">
        <v>10</v>
      </c>
      <c r="E21" s="49">
        <f>22+0.48+0.16</f>
        <v>22.64</v>
      </c>
      <c r="F21" s="49"/>
      <c r="G21" s="49"/>
    </row>
    <row r="22" spans="1:7" x14ac:dyDescent="0.3">
      <c r="A22" s="32"/>
      <c r="B22" s="46" t="s">
        <v>616</v>
      </c>
      <c r="C22" s="48"/>
      <c r="D22" s="49" t="s">
        <v>10</v>
      </c>
      <c r="E22" s="49">
        <f>4.4+0.1+0.03</f>
        <v>4.53</v>
      </c>
      <c r="F22" s="49"/>
      <c r="G22" s="49"/>
    </row>
    <row r="23" spans="1:7" x14ac:dyDescent="0.3">
      <c r="A23" s="32"/>
      <c r="B23" s="46" t="s">
        <v>617</v>
      </c>
      <c r="C23" s="48"/>
      <c r="D23" s="49" t="s">
        <v>14</v>
      </c>
      <c r="E23" s="49">
        <f>450+4+2</f>
        <v>456</v>
      </c>
      <c r="F23" s="49"/>
      <c r="G23" s="49"/>
    </row>
    <row r="24" spans="1:7" x14ac:dyDescent="0.3">
      <c r="A24" s="32"/>
      <c r="B24" s="46" t="s">
        <v>618</v>
      </c>
      <c r="C24" s="48"/>
      <c r="D24" s="49" t="s">
        <v>682</v>
      </c>
      <c r="E24" s="49">
        <f>12.4+0.332</f>
        <v>12.732000000000001</v>
      </c>
      <c r="F24" s="49"/>
      <c r="G24" s="49"/>
    </row>
    <row r="25" spans="1:7" x14ac:dyDescent="0.3">
      <c r="A25" s="32"/>
      <c r="B25" s="46" t="s">
        <v>619</v>
      </c>
      <c r="C25" s="48"/>
      <c r="D25" s="49" t="s">
        <v>682</v>
      </c>
      <c r="E25" s="49">
        <f>0.088+0.0003+0.005</f>
        <v>9.3299999999999994E-2</v>
      </c>
      <c r="F25" s="49"/>
      <c r="G25" s="49"/>
    </row>
    <row r="26" spans="1:7" x14ac:dyDescent="0.3">
      <c r="A26" s="32"/>
      <c r="B26" s="46" t="s">
        <v>620</v>
      </c>
      <c r="C26" s="48"/>
      <c r="D26" s="49" t="s">
        <v>69</v>
      </c>
      <c r="E26" s="49">
        <f>2250+23.4+7.72</f>
        <v>2281.12</v>
      </c>
      <c r="F26" s="49"/>
      <c r="G26" s="49"/>
    </row>
    <row r="27" spans="1:7" x14ac:dyDescent="0.3">
      <c r="A27" s="32"/>
      <c r="B27" s="46" t="s">
        <v>621</v>
      </c>
      <c r="C27" s="48"/>
      <c r="D27" s="49" t="s">
        <v>14</v>
      </c>
      <c r="E27" s="49">
        <f>20250+190+43</f>
        <v>20483</v>
      </c>
      <c r="F27" s="49"/>
      <c r="G27" s="49"/>
    </row>
    <row r="28" spans="1:7" x14ac:dyDescent="0.3">
      <c r="A28" s="31"/>
      <c r="B28" s="41" t="s">
        <v>622</v>
      </c>
      <c r="C28" s="31"/>
      <c r="D28" s="42"/>
      <c r="E28" s="42"/>
      <c r="F28" s="42"/>
      <c r="G28" s="42"/>
    </row>
    <row r="29" spans="1:7" x14ac:dyDescent="0.3">
      <c r="A29" s="32"/>
      <c r="B29" s="46" t="s">
        <v>623</v>
      </c>
      <c r="C29" s="48"/>
      <c r="D29" s="49" t="s">
        <v>14</v>
      </c>
      <c r="E29" s="49">
        <v>2</v>
      </c>
      <c r="F29" s="49"/>
      <c r="G29" s="49"/>
    </row>
    <row r="30" spans="1:7" x14ac:dyDescent="0.3">
      <c r="A30" s="32"/>
      <c r="B30" s="46" t="s">
        <v>624</v>
      </c>
      <c r="C30" s="48"/>
      <c r="D30" s="49" t="s">
        <v>14</v>
      </c>
      <c r="E30" s="49">
        <f>84*2</f>
        <v>168</v>
      </c>
      <c r="F30" s="49"/>
      <c r="G30" s="49"/>
    </row>
    <row r="31" spans="1:7" x14ac:dyDescent="0.3">
      <c r="A31" s="32"/>
      <c r="B31" s="46" t="s">
        <v>625</v>
      </c>
      <c r="C31" s="48"/>
      <c r="D31" s="49" t="s">
        <v>14</v>
      </c>
      <c r="E31" s="49">
        <f>20*2</f>
        <v>40</v>
      </c>
      <c r="F31" s="49"/>
      <c r="G31" s="49"/>
    </row>
    <row r="32" spans="1:7" x14ac:dyDescent="0.3">
      <c r="A32" s="32"/>
      <c r="B32" s="46" t="s">
        <v>626</v>
      </c>
      <c r="C32" s="48"/>
      <c r="D32" s="49" t="s">
        <v>14</v>
      </c>
      <c r="E32" s="49">
        <f>2*2</f>
        <v>4</v>
      </c>
      <c r="F32" s="49"/>
      <c r="G32" s="49"/>
    </row>
    <row r="33" spans="1:7" ht="31.2" x14ac:dyDescent="0.3">
      <c r="A33" s="32"/>
      <c r="B33" s="46" t="s">
        <v>627</v>
      </c>
      <c r="C33" s="48"/>
      <c r="D33" s="49" t="s">
        <v>14</v>
      </c>
      <c r="E33" s="49">
        <v>3</v>
      </c>
      <c r="F33" s="49"/>
      <c r="G33" s="49"/>
    </row>
    <row r="34" spans="1:7" x14ac:dyDescent="0.3">
      <c r="A34" s="32"/>
      <c r="B34" s="46" t="s">
        <v>624</v>
      </c>
      <c r="C34" s="48"/>
      <c r="D34" s="49" t="s">
        <v>14</v>
      </c>
      <c r="E34" s="49">
        <f>36*3</f>
        <v>108</v>
      </c>
      <c r="F34" s="49"/>
      <c r="G34" s="49"/>
    </row>
    <row r="35" spans="1:7" x14ac:dyDescent="0.3">
      <c r="A35" s="32"/>
      <c r="B35" s="46" t="s">
        <v>625</v>
      </c>
      <c r="C35" s="48"/>
      <c r="D35" s="49" t="s">
        <v>14</v>
      </c>
      <c r="E35" s="49">
        <f>8*3</f>
        <v>24</v>
      </c>
      <c r="F35" s="49"/>
      <c r="G35" s="49"/>
    </row>
    <row r="36" spans="1:7" x14ac:dyDescent="0.3">
      <c r="A36" s="32"/>
      <c r="B36" s="46" t="s">
        <v>626</v>
      </c>
      <c r="C36" s="48"/>
      <c r="D36" s="49" t="s">
        <v>14</v>
      </c>
      <c r="E36" s="49">
        <f>2*3</f>
        <v>6</v>
      </c>
      <c r="F36" s="49"/>
      <c r="G36" s="49"/>
    </row>
    <row r="37" spans="1:7" x14ac:dyDescent="0.3">
      <c r="A37" s="32"/>
      <c r="B37" s="46" t="s">
        <v>628</v>
      </c>
      <c r="C37" s="48"/>
      <c r="D37" s="49" t="s">
        <v>14</v>
      </c>
      <c r="E37" s="49">
        <v>6</v>
      </c>
      <c r="F37" s="49"/>
      <c r="G37" s="49"/>
    </row>
    <row r="38" spans="1:7" x14ac:dyDescent="0.3">
      <c r="A38" s="32"/>
      <c r="B38" s="46" t="s">
        <v>624</v>
      </c>
      <c r="C38" s="48"/>
      <c r="D38" s="49" t="s">
        <v>14</v>
      </c>
      <c r="E38" s="49">
        <f>84*6</f>
        <v>504</v>
      </c>
      <c r="F38" s="49"/>
      <c r="G38" s="49"/>
    </row>
    <row r="39" spans="1:7" x14ac:dyDescent="0.3">
      <c r="A39" s="32"/>
      <c r="B39" s="46" t="s">
        <v>625</v>
      </c>
      <c r="C39" s="48"/>
      <c r="D39" s="49" t="s">
        <v>14</v>
      </c>
      <c r="E39" s="49">
        <f>20*6</f>
        <v>120</v>
      </c>
      <c r="F39" s="49"/>
      <c r="G39" s="49"/>
    </row>
    <row r="40" spans="1:7" x14ac:dyDescent="0.3">
      <c r="A40" s="32"/>
      <c r="B40" s="46" t="s">
        <v>626</v>
      </c>
      <c r="C40" s="48"/>
      <c r="D40" s="49" t="s">
        <v>14</v>
      </c>
      <c r="E40" s="49">
        <f>2*6</f>
        <v>12</v>
      </c>
      <c r="F40" s="49"/>
      <c r="G40" s="49"/>
    </row>
    <row r="41" spans="1:7" x14ac:dyDescent="0.3">
      <c r="A41" s="32"/>
      <c r="B41" s="46" t="s">
        <v>629</v>
      </c>
      <c r="C41" s="48"/>
      <c r="D41" s="49" t="s">
        <v>14</v>
      </c>
      <c r="E41" s="49">
        <v>1</v>
      </c>
      <c r="F41" s="49"/>
      <c r="G41" s="49"/>
    </row>
    <row r="42" spans="1:7" x14ac:dyDescent="0.3">
      <c r="A42" s="32"/>
      <c r="B42" s="46" t="s">
        <v>624</v>
      </c>
      <c r="C42" s="48"/>
      <c r="D42" s="49" t="s">
        <v>14</v>
      </c>
      <c r="E42" s="49">
        <v>51</v>
      </c>
      <c r="F42" s="49"/>
      <c r="G42" s="49"/>
    </row>
    <row r="43" spans="1:7" x14ac:dyDescent="0.3">
      <c r="A43" s="32"/>
      <c r="B43" s="46" t="s">
        <v>630</v>
      </c>
      <c r="C43" s="48"/>
      <c r="D43" s="49" t="s">
        <v>14</v>
      </c>
      <c r="E43" s="49">
        <v>1</v>
      </c>
      <c r="F43" s="49"/>
      <c r="G43" s="49"/>
    </row>
    <row r="44" spans="1:7" x14ac:dyDescent="0.3">
      <c r="A44" s="32"/>
      <c r="B44" s="46" t="s">
        <v>624</v>
      </c>
      <c r="C44" s="48"/>
      <c r="D44" s="49" t="s">
        <v>14</v>
      </c>
      <c r="E44" s="49">
        <v>36</v>
      </c>
      <c r="F44" s="49"/>
      <c r="G44" s="49"/>
    </row>
    <row r="45" spans="1:7" x14ac:dyDescent="0.3">
      <c r="A45" s="32"/>
      <c r="B45" s="46" t="s">
        <v>625</v>
      </c>
      <c r="C45" s="48"/>
      <c r="D45" s="49" t="s">
        <v>14</v>
      </c>
      <c r="E45" s="49">
        <v>9</v>
      </c>
      <c r="F45" s="49"/>
      <c r="G45" s="49"/>
    </row>
    <row r="46" spans="1:7" x14ac:dyDescent="0.3">
      <c r="A46" s="32"/>
      <c r="B46" s="46" t="s">
        <v>631</v>
      </c>
      <c r="C46" s="48"/>
      <c r="D46" s="49" t="s">
        <v>14</v>
      </c>
      <c r="E46" s="49">
        <v>1</v>
      </c>
      <c r="F46" s="49"/>
      <c r="G46" s="49"/>
    </row>
    <row r="47" spans="1:7" x14ac:dyDescent="0.3">
      <c r="A47" s="32"/>
      <c r="B47" s="46" t="s">
        <v>624</v>
      </c>
      <c r="C47" s="48"/>
      <c r="D47" s="49" t="s">
        <v>14</v>
      </c>
      <c r="E47" s="49">
        <v>16</v>
      </c>
      <c r="F47" s="49"/>
      <c r="G47" s="49"/>
    </row>
    <row r="48" spans="1:7" x14ac:dyDescent="0.3">
      <c r="A48" s="32"/>
      <c r="B48" s="46" t="s">
        <v>625</v>
      </c>
      <c r="C48" s="48"/>
      <c r="D48" s="49" t="s">
        <v>14</v>
      </c>
      <c r="E48" s="49">
        <v>4</v>
      </c>
      <c r="F48" s="49"/>
      <c r="G48" s="49"/>
    </row>
    <row r="49" spans="1:7" x14ac:dyDescent="0.3">
      <c r="A49" s="31"/>
      <c r="B49" s="41" t="s">
        <v>632</v>
      </c>
      <c r="C49" s="31"/>
      <c r="D49" s="42"/>
      <c r="E49" s="42"/>
      <c r="F49" s="42"/>
      <c r="G49" s="42"/>
    </row>
    <row r="50" spans="1:7" x14ac:dyDescent="0.3">
      <c r="A50" s="32"/>
      <c r="B50" s="46" t="s">
        <v>623</v>
      </c>
      <c r="C50" s="48"/>
      <c r="D50" s="49" t="s">
        <v>14</v>
      </c>
      <c r="E50" s="49">
        <v>1</v>
      </c>
      <c r="F50" s="49"/>
      <c r="G50" s="49"/>
    </row>
    <row r="51" spans="1:7" x14ac:dyDescent="0.3">
      <c r="A51" s="32"/>
      <c r="B51" s="46" t="s">
        <v>633</v>
      </c>
      <c r="C51" s="48"/>
      <c r="D51" s="49" t="s">
        <v>14</v>
      </c>
      <c r="E51" s="49">
        <v>132</v>
      </c>
      <c r="F51" s="49"/>
      <c r="G51" s="49"/>
    </row>
    <row r="52" spans="1:7" x14ac:dyDescent="0.3">
      <c r="A52" s="32"/>
      <c r="B52" s="46" t="s">
        <v>630</v>
      </c>
      <c r="C52" s="48"/>
      <c r="D52" s="49" t="s">
        <v>14</v>
      </c>
      <c r="E52" s="49">
        <v>1</v>
      </c>
      <c r="F52" s="49"/>
      <c r="G52" s="49"/>
    </row>
    <row r="53" spans="1:7" x14ac:dyDescent="0.3">
      <c r="A53" s="32"/>
      <c r="B53" s="46" t="s">
        <v>633</v>
      </c>
      <c r="C53" s="48"/>
      <c r="D53" s="49" t="s">
        <v>14</v>
      </c>
      <c r="E53" s="49">
        <v>114</v>
      </c>
      <c r="F53" s="49"/>
      <c r="G53" s="49"/>
    </row>
    <row r="54" spans="1:7" ht="31.2" x14ac:dyDescent="0.3">
      <c r="A54" s="32"/>
      <c r="B54" s="46" t="s">
        <v>627</v>
      </c>
      <c r="C54" s="48"/>
      <c r="D54" s="49" t="s">
        <v>14</v>
      </c>
      <c r="E54" s="49">
        <v>3</v>
      </c>
      <c r="F54" s="49"/>
      <c r="G54" s="49"/>
    </row>
    <row r="55" spans="1:7" x14ac:dyDescent="0.3">
      <c r="A55" s="32"/>
      <c r="B55" s="46" t="s">
        <v>633</v>
      </c>
      <c r="C55" s="48"/>
      <c r="D55" s="49" t="s">
        <v>14</v>
      </c>
      <c r="E55" s="49">
        <v>180</v>
      </c>
      <c r="F55" s="49"/>
      <c r="G55" s="49"/>
    </row>
    <row r="56" spans="1:7" x14ac:dyDescent="0.3">
      <c r="A56" s="32"/>
      <c r="B56" s="46" t="s">
        <v>628</v>
      </c>
      <c r="C56" s="48"/>
      <c r="D56" s="49" t="s">
        <v>14</v>
      </c>
      <c r="E56" s="49">
        <v>6</v>
      </c>
      <c r="F56" s="49"/>
      <c r="G56" s="49"/>
    </row>
    <row r="57" spans="1:7" x14ac:dyDescent="0.3">
      <c r="A57" s="32"/>
      <c r="B57" s="46" t="s">
        <v>633</v>
      </c>
      <c r="C57" s="48"/>
      <c r="D57" s="49" t="s">
        <v>14</v>
      </c>
      <c r="E57" s="49">
        <v>792</v>
      </c>
      <c r="F57" s="49"/>
      <c r="G57" s="49"/>
    </row>
    <row r="58" spans="1:7" x14ac:dyDescent="0.3">
      <c r="A58" s="32"/>
      <c r="B58" s="46" t="s">
        <v>631</v>
      </c>
      <c r="C58" s="48"/>
      <c r="D58" s="49" t="s">
        <v>14</v>
      </c>
      <c r="E58" s="49">
        <v>1</v>
      </c>
      <c r="F58" s="49"/>
      <c r="G58" s="49"/>
    </row>
    <row r="59" spans="1:7" x14ac:dyDescent="0.3">
      <c r="A59" s="32"/>
      <c r="B59" s="46" t="s">
        <v>633</v>
      </c>
      <c r="C59" s="48"/>
      <c r="D59" s="49" t="s">
        <v>14</v>
      </c>
      <c r="E59" s="49">
        <v>54</v>
      </c>
      <c r="F59" s="49"/>
      <c r="G59" s="49"/>
    </row>
    <row r="60" spans="1:7" x14ac:dyDescent="0.3">
      <c r="A60" s="32"/>
      <c r="B60" s="46" t="s">
        <v>629</v>
      </c>
      <c r="C60" s="48"/>
      <c r="D60" s="49" t="s">
        <v>14</v>
      </c>
      <c r="E60" s="49">
        <v>1</v>
      </c>
      <c r="F60" s="49"/>
      <c r="G60" s="49"/>
    </row>
    <row r="61" spans="1:7" x14ac:dyDescent="0.3">
      <c r="A61" s="32"/>
      <c r="B61" s="46" t="s">
        <v>633</v>
      </c>
      <c r="C61" s="48"/>
      <c r="D61" s="49" t="s">
        <v>14</v>
      </c>
      <c r="E61" s="49">
        <v>131</v>
      </c>
      <c r="F61" s="49"/>
      <c r="G61" s="49"/>
    </row>
    <row r="62" spans="1:7" x14ac:dyDescent="0.3">
      <c r="A62" s="31"/>
      <c r="B62" s="41" t="s">
        <v>634</v>
      </c>
      <c r="C62" s="31"/>
      <c r="D62" s="42"/>
      <c r="E62" s="42"/>
      <c r="F62" s="42"/>
      <c r="G62" s="42"/>
    </row>
    <row r="63" spans="1:7" x14ac:dyDescent="0.3">
      <c r="A63" s="32"/>
      <c r="B63" s="44" t="s">
        <v>684</v>
      </c>
      <c r="C63" s="32"/>
      <c r="D63" s="45" t="s">
        <v>10</v>
      </c>
      <c r="E63" s="45">
        <v>135113</v>
      </c>
      <c r="F63" s="45"/>
      <c r="G63" s="45"/>
    </row>
    <row r="64" spans="1:7" x14ac:dyDescent="0.3">
      <c r="A64" s="31"/>
      <c r="B64" s="41" t="s">
        <v>635</v>
      </c>
      <c r="C64" s="31"/>
      <c r="D64" s="42"/>
      <c r="E64" s="42"/>
      <c r="F64" s="42"/>
      <c r="G64" s="42"/>
    </row>
    <row r="65" spans="1:7" x14ac:dyDescent="0.3">
      <c r="A65" s="32"/>
      <c r="B65" s="44" t="s">
        <v>684</v>
      </c>
      <c r="C65" s="32"/>
      <c r="D65" s="45" t="s">
        <v>10</v>
      </c>
      <c r="E65" s="45">
        <v>628079</v>
      </c>
      <c r="F65" s="45"/>
      <c r="G65" s="45"/>
    </row>
    <row r="66" spans="1:7" x14ac:dyDescent="0.3">
      <c r="A66" s="32"/>
      <c r="B66" s="44" t="s">
        <v>640</v>
      </c>
      <c r="C66" s="32"/>
      <c r="D66" s="45" t="s">
        <v>69</v>
      </c>
      <c r="E66" s="45">
        <v>8460</v>
      </c>
      <c r="F66" s="45"/>
      <c r="G66" s="45"/>
    </row>
    <row r="67" spans="1:7" x14ac:dyDescent="0.3">
      <c r="A67" s="32"/>
      <c r="B67" s="44" t="s">
        <v>636</v>
      </c>
      <c r="C67" s="32"/>
      <c r="D67" s="45" t="s">
        <v>10</v>
      </c>
      <c r="E67" s="45">
        <v>8225</v>
      </c>
      <c r="F67" s="45"/>
      <c r="G67" s="45"/>
    </row>
    <row r="68" spans="1:7" x14ac:dyDescent="0.3">
      <c r="A68" s="32"/>
      <c r="B68" s="44" t="s">
        <v>686</v>
      </c>
      <c r="C68" s="32"/>
      <c r="D68" s="45" t="s">
        <v>10</v>
      </c>
      <c r="E68" s="45">
        <v>25026</v>
      </c>
      <c r="F68" s="45"/>
      <c r="G68" s="45"/>
    </row>
    <row r="69" spans="1:7" x14ac:dyDescent="0.3">
      <c r="A69" s="32"/>
      <c r="B69" s="44" t="s">
        <v>649</v>
      </c>
      <c r="C69" s="32"/>
      <c r="D69" s="45" t="s">
        <v>14</v>
      </c>
      <c r="E69" s="45">
        <v>18377</v>
      </c>
      <c r="F69" s="45"/>
      <c r="G69" s="45"/>
    </row>
    <row r="70" spans="1:7" x14ac:dyDescent="0.3">
      <c r="A70" s="31"/>
      <c r="B70" s="41" t="s">
        <v>637</v>
      </c>
      <c r="C70" s="31"/>
      <c r="D70" s="42"/>
      <c r="E70" s="42"/>
      <c r="F70" s="42"/>
      <c r="G70" s="42"/>
    </row>
    <row r="71" spans="1:7" x14ac:dyDescent="0.3">
      <c r="A71" s="32"/>
      <c r="B71" s="44" t="s">
        <v>684</v>
      </c>
      <c r="C71" s="32"/>
      <c r="D71" s="45" t="s">
        <v>10</v>
      </c>
      <c r="E71" s="45">
        <v>35127</v>
      </c>
      <c r="F71" s="45"/>
      <c r="G71" s="45"/>
    </row>
    <row r="72" spans="1:7" x14ac:dyDescent="0.3">
      <c r="A72" s="32"/>
      <c r="B72" s="44" t="s">
        <v>638</v>
      </c>
      <c r="C72" s="32"/>
      <c r="D72" s="45" t="s">
        <v>14</v>
      </c>
      <c r="E72" s="45">
        <v>375</v>
      </c>
      <c r="F72" s="45"/>
      <c r="G72" s="45"/>
    </row>
    <row r="73" spans="1:7" x14ac:dyDescent="0.3">
      <c r="A73" s="32"/>
      <c r="B73" s="44" t="s">
        <v>639</v>
      </c>
      <c r="C73" s="32"/>
      <c r="D73" s="45" t="s">
        <v>10</v>
      </c>
      <c r="E73" s="45">
        <v>200</v>
      </c>
      <c r="F73" s="45"/>
      <c r="G73" s="45"/>
    </row>
    <row r="74" spans="1:7" x14ac:dyDescent="0.3">
      <c r="A74" s="32"/>
      <c r="B74" s="44" t="s">
        <v>640</v>
      </c>
      <c r="C74" s="32"/>
      <c r="D74" s="45" t="s">
        <v>69</v>
      </c>
      <c r="E74" s="45">
        <v>6460</v>
      </c>
      <c r="F74" s="45"/>
      <c r="G74" s="45"/>
    </row>
    <row r="75" spans="1:7" x14ac:dyDescent="0.3">
      <c r="A75" s="32"/>
      <c r="B75" s="44" t="s">
        <v>641</v>
      </c>
      <c r="C75" s="32"/>
      <c r="D75" s="45" t="s">
        <v>10</v>
      </c>
      <c r="E75" s="45">
        <v>1.64</v>
      </c>
      <c r="F75" s="45"/>
      <c r="G75" s="45"/>
    </row>
    <row r="76" spans="1:7" x14ac:dyDescent="0.3">
      <c r="A76" s="32"/>
      <c r="B76" s="44" t="s">
        <v>642</v>
      </c>
      <c r="C76" s="32"/>
      <c r="D76" s="45" t="s">
        <v>69</v>
      </c>
      <c r="E76" s="45">
        <v>570</v>
      </c>
      <c r="F76" s="45"/>
      <c r="G76" s="45"/>
    </row>
    <row r="77" spans="1:7" x14ac:dyDescent="0.3">
      <c r="A77" s="32"/>
      <c r="B77" s="44" t="s">
        <v>608</v>
      </c>
      <c r="C77" s="32"/>
      <c r="D77" s="45" t="s">
        <v>14</v>
      </c>
      <c r="E77" s="45">
        <v>922</v>
      </c>
      <c r="F77" s="45"/>
      <c r="G77" s="45"/>
    </row>
    <row r="78" spans="1:7" x14ac:dyDescent="0.3">
      <c r="A78" s="31"/>
      <c r="B78" s="41" t="s">
        <v>643</v>
      </c>
      <c r="C78" s="31"/>
      <c r="D78" s="42"/>
      <c r="E78" s="42"/>
      <c r="F78" s="42"/>
      <c r="G78" s="42"/>
    </row>
    <row r="79" spans="1:7" x14ac:dyDescent="0.3">
      <c r="A79" s="32"/>
      <c r="B79" s="44" t="s">
        <v>644</v>
      </c>
      <c r="C79" s="32"/>
      <c r="D79" s="45" t="s">
        <v>69</v>
      </c>
      <c r="E79" s="45">
        <v>5927.6</v>
      </c>
      <c r="F79" s="45"/>
      <c r="G79" s="45"/>
    </row>
    <row r="80" spans="1:7" x14ac:dyDescent="0.3">
      <c r="A80" s="32"/>
      <c r="B80" s="44" t="s">
        <v>645</v>
      </c>
      <c r="C80" s="32"/>
      <c r="D80" s="45" t="s">
        <v>14</v>
      </c>
      <c r="E80" s="45">
        <v>8468</v>
      </c>
      <c r="F80" s="45"/>
      <c r="G80" s="45"/>
    </row>
    <row r="81" spans="1:7" x14ac:dyDescent="0.3">
      <c r="A81" s="32"/>
      <c r="B81" s="44" t="s">
        <v>646</v>
      </c>
      <c r="C81" s="32"/>
      <c r="D81" s="45" t="s">
        <v>69</v>
      </c>
      <c r="E81" s="45">
        <v>5928</v>
      </c>
      <c r="F81" s="45"/>
      <c r="G81" s="45"/>
    </row>
    <row r="82" spans="1:7" x14ac:dyDescent="0.3">
      <c r="A82" s="32"/>
      <c r="B82" s="44" t="s">
        <v>647</v>
      </c>
      <c r="C82" s="32"/>
      <c r="D82" s="45" t="s">
        <v>10</v>
      </c>
      <c r="E82" s="45">
        <v>1007.8</v>
      </c>
      <c r="F82" s="45"/>
      <c r="G82" s="45"/>
    </row>
    <row r="83" spans="1:7" x14ac:dyDescent="0.3">
      <c r="A83" s="31"/>
      <c r="B83" s="41" t="s">
        <v>648</v>
      </c>
      <c r="C83" s="31"/>
      <c r="D83" s="42"/>
      <c r="E83" s="42"/>
      <c r="F83" s="42"/>
      <c r="G83" s="42"/>
    </row>
    <row r="84" spans="1:7" x14ac:dyDescent="0.3">
      <c r="A84" s="32"/>
      <c r="B84" s="44" t="s">
        <v>644</v>
      </c>
      <c r="C84" s="32"/>
      <c r="D84" s="45" t="s">
        <v>69</v>
      </c>
      <c r="E84" s="45">
        <v>6585.4</v>
      </c>
      <c r="F84" s="45"/>
      <c r="G84" s="45"/>
    </row>
    <row r="85" spans="1:7" x14ac:dyDescent="0.3">
      <c r="A85" s="32"/>
      <c r="B85" s="44" t="s">
        <v>649</v>
      </c>
      <c r="C85" s="32"/>
      <c r="D85" s="45" t="s">
        <v>14</v>
      </c>
      <c r="E85" s="45">
        <v>94</v>
      </c>
      <c r="F85" s="45"/>
      <c r="G85" s="45"/>
    </row>
    <row r="86" spans="1:7" x14ac:dyDescent="0.3">
      <c r="A86" s="32"/>
      <c r="B86" s="44" t="s">
        <v>646</v>
      </c>
      <c r="C86" s="32"/>
      <c r="D86" s="45" t="s">
        <v>69</v>
      </c>
      <c r="E86" s="45">
        <v>3822</v>
      </c>
      <c r="F86" s="45"/>
      <c r="G86" s="45"/>
    </row>
    <row r="87" spans="1:7" x14ac:dyDescent="0.3">
      <c r="A87" s="32"/>
      <c r="B87" s="44" t="s">
        <v>647</v>
      </c>
      <c r="C87" s="32"/>
      <c r="D87" s="45" t="s">
        <v>10</v>
      </c>
      <c r="E87" s="45">
        <v>649.70000000000005</v>
      </c>
      <c r="F87" s="45"/>
      <c r="G87" s="45"/>
    </row>
    <row r="88" spans="1:7" x14ac:dyDescent="0.3">
      <c r="A88" s="32"/>
      <c r="B88" s="44" t="s">
        <v>609</v>
      </c>
      <c r="C88" s="32"/>
      <c r="D88" s="45" t="s">
        <v>14</v>
      </c>
      <c r="E88" s="45">
        <v>304</v>
      </c>
      <c r="F88" s="45"/>
      <c r="G88" s="45"/>
    </row>
    <row r="89" spans="1:7" x14ac:dyDescent="0.3">
      <c r="A89" s="31"/>
      <c r="B89" s="41" t="s">
        <v>650</v>
      </c>
      <c r="C89" s="31"/>
      <c r="D89" s="42"/>
      <c r="E89" s="42"/>
      <c r="F89" s="42"/>
      <c r="G89" s="42"/>
    </row>
    <row r="90" spans="1:7" x14ac:dyDescent="0.3">
      <c r="A90" s="32"/>
      <c r="B90" s="44" t="s">
        <v>651</v>
      </c>
      <c r="C90" s="32"/>
      <c r="D90" s="45" t="s">
        <v>10</v>
      </c>
      <c r="E90" s="45">
        <f>2632.8+20.09</f>
        <v>2652.8900000000003</v>
      </c>
      <c r="F90" s="45"/>
      <c r="G90" s="45"/>
    </row>
    <row r="91" spans="1:7" x14ac:dyDescent="0.3">
      <c r="A91" s="31"/>
      <c r="B91" s="41" t="s">
        <v>652</v>
      </c>
      <c r="C91" s="31"/>
      <c r="D91" s="42"/>
      <c r="E91" s="42"/>
      <c r="F91" s="42"/>
      <c r="G91" s="42"/>
    </row>
    <row r="92" spans="1:7" x14ac:dyDescent="0.3">
      <c r="A92" s="32"/>
      <c r="B92" s="44" t="s">
        <v>651</v>
      </c>
      <c r="C92" s="32"/>
      <c r="D92" s="45" t="s">
        <v>10</v>
      </c>
      <c r="E92" s="45">
        <f>4028.37+22.47</f>
        <v>4050.8399999999997</v>
      </c>
      <c r="F92" s="45"/>
      <c r="G92" s="45"/>
    </row>
    <row r="93" spans="1:7" x14ac:dyDescent="0.3">
      <c r="A93" s="31"/>
      <c r="B93" s="41" t="s">
        <v>653</v>
      </c>
      <c r="C93" s="31"/>
      <c r="D93" s="42"/>
      <c r="E93" s="42"/>
      <c r="F93" s="42"/>
      <c r="G93" s="42"/>
    </row>
    <row r="94" spans="1:7" x14ac:dyDescent="0.3">
      <c r="A94" s="32"/>
      <c r="B94" s="44" t="s">
        <v>481</v>
      </c>
      <c r="C94" s="32"/>
      <c r="D94" s="45" t="s">
        <v>10</v>
      </c>
      <c r="E94" s="45">
        <f>303+178.3</f>
        <v>481.3</v>
      </c>
      <c r="F94" s="45"/>
      <c r="G94" s="45"/>
    </row>
    <row r="95" spans="1:7" x14ac:dyDescent="0.3">
      <c r="A95" s="32"/>
      <c r="B95" s="44" t="s">
        <v>654</v>
      </c>
      <c r="C95" s="32"/>
      <c r="D95" s="45" t="s">
        <v>10</v>
      </c>
      <c r="E95" s="45">
        <f>9.3+163.35</f>
        <v>172.65</v>
      </c>
      <c r="F95" s="45"/>
      <c r="G95" s="45"/>
    </row>
    <row r="96" spans="1:7" x14ac:dyDescent="0.3">
      <c r="A96" s="32"/>
      <c r="B96" s="44" t="s">
        <v>655</v>
      </c>
      <c r="C96" s="32"/>
      <c r="D96" s="45" t="s">
        <v>69</v>
      </c>
      <c r="E96" s="45">
        <f>20+78</f>
        <v>98</v>
      </c>
      <c r="F96" s="45"/>
      <c r="G96" s="45"/>
    </row>
    <row r="97" spans="1:7" x14ac:dyDescent="0.3">
      <c r="A97" s="32"/>
      <c r="B97" s="44" t="s">
        <v>656</v>
      </c>
      <c r="C97" s="32"/>
      <c r="D97" s="45" t="s">
        <v>682</v>
      </c>
      <c r="E97" s="45">
        <v>0.05</v>
      </c>
      <c r="F97" s="45"/>
      <c r="G97" s="45"/>
    </row>
    <row r="98" spans="1:7" x14ac:dyDescent="0.3">
      <c r="A98" s="31"/>
      <c r="B98" s="41" t="s">
        <v>657</v>
      </c>
      <c r="C98" s="31"/>
      <c r="D98" s="42"/>
      <c r="E98" s="42"/>
      <c r="F98" s="42"/>
      <c r="G98" s="42"/>
    </row>
    <row r="99" spans="1:7" x14ac:dyDescent="0.3">
      <c r="A99" s="32"/>
      <c r="B99" s="44" t="s">
        <v>481</v>
      </c>
      <c r="C99" s="32"/>
      <c r="D99" s="45" t="s">
        <v>10</v>
      </c>
      <c r="E99" s="45">
        <v>223.15</v>
      </c>
      <c r="F99" s="45"/>
      <c r="G99" s="45"/>
    </row>
    <row r="100" spans="1:7" x14ac:dyDescent="0.3">
      <c r="A100" s="32"/>
      <c r="B100" s="44" t="s">
        <v>654</v>
      </c>
      <c r="C100" s="32"/>
      <c r="D100" s="45" t="s">
        <v>10</v>
      </c>
      <c r="E100" s="45">
        <f>11.7+202.86</f>
        <v>214.56</v>
      </c>
      <c r="F100" s="45"/>
      <c r="G100" s="45"/>
    </row>
    <row r="101" spans="1:7" x14ac:dyDescent="0.3">
      <c r="A101" s="32"/>
      <c r="B101" s="44" t="s">
        <v>655</v>
      </c>
      <c r="C101" s="32"/>
      <c r="D101" s="45" t="s">
        <v>69</v>
      </c>
      <c r="E101" s="45">
        <f>25+74</f>
        <v>99</v>
      </c>
      <c r="F101" s="45"/>
      <c r="G101" s="45"/>
    </row>
    <row r="102" spans="1:7" x14ac:dyDescent="0.3">
      <c r="A102" s="32"/>
      <c r="B102" s="44" t="s">
        <v>656</v>
      </c>
      <c r="C102" s="32"/>
      <c r="D102" s="45" t="s">
        <v>682</v>
      </c>
      <c r="E102" s="45">
        <v>0.06</v>
      </c>
      <c r="F102" s="45"/>
      <c r="G102" s="45"/>
    </row>
    <row r="103" spans="1:7" x14ac:dyDescent="0.3">
      <c r="A103" s="31"/>
      <c r="B103" s="41" t="s">
        <v>658</v>
      </c>
      <c r="C103" s="31"/>
      <c r="D103" s="42"/>
      <c r="E103" s="42"/>
      <c r="F103" s="42"/>
      <c r="G103" s="42"/>
    </row>
    <row r="104" spans="1:7" x14ac:dyDescent="0.3">
      <c r="A104" s="32"/>
      <c r="B104" s="44" t="s">
        <v>481</v>
      </c>
      <c r="C104" s="32"/>
      <c r="D104" s="45" t="s">
        <v>10</v>
      </c>
      <c r="E104" s="45">
        <f>7705+11278</f>
        <v>18983</v>
      </c>
      <c r="F104" s="45"/>
      <c r="G104" s="45"/>
    </row>
    <row r="105" spans="1:7" x14ac:dyDescent="0.3">
      <c r="A105" s="32"/>
      <c r="B105" s="44" t="s">
        <v>654</v>
      </c>
      <c r="C105" s="32"/>
      <c r="D105" s="45" t="s">
        <v>10</v>
      </c>
      <c r="E105" s="45">
        <f>666+865+9899</f>
        <v>11430</v>
      </c>
      <c r="F105" s="45"/>
      <c r="G105" s="45"/>
    </row>
    <row r="106" spans="1:7" x14ac:dyDescent="0.3">
      <c r="A106" s="32"/>
      <c r="B106" s="44" t="s">
        <v>655</v>
      </c>
      <c r="C106" s="32"/>
      <c r="D106" s="45" t="s">
        <v>69</v>
      </c>
      <c r="E106" s="45">
        <f>4437+11945</f>
        <v>16382</v>
      </c>
      <c r="F106" s="45"/>
      <c r="G106" s="45"/>
    </row>
    <row r="107" spans="1:7" x14ac:dyDescent="0.3">
      <c r="A107" s="32"/>
      <c r="B107" s="44" t="s">
        <v>656</v>
      </c>
      <c r="C107" s="32"/>
      <c r="D107" s="45" t="s">
        <v>682</v>
      </c>
      <c r="E107" s="45">
        <f>10.6</f>
        <v>10.6</v>
      </c>
      <c r="F107" s="45"/>
      <c r="G107" s="45"/>
    </row>
    <row r="108" spans="1:7" x14ac:dyDescent="0.3">
      <c r="A108" s="31"/>
      <c r="B108" s="41" t="s">
        <v>659</v>
      </c>
      <c r="C108" s="31"/>
      <c r="D108" s="42"/>
      <c r="E108" s="42"/>
      <c r="F108" s="42"/>
      <c r="G108" s="42"/>
    </row>
    <row r="109" spans="1:7" x14ac:dyDescent="0.3">
      <c r="A109" s="32"/>
      <c r="B109" s="44" t="s">
        <v>660</v>
      </c>
      <c r="C109" s="32"/>
      <c r="D109" s="45"/>
      <c r="E109" s="45"/>
      <c r="F109" s="45"/>
      <c r="G109" s="45"/>
    </row>
    <row r="110" spans="1:7" x14ac:dyDescent="0.3">
      <c r="A110" s="32"/>
      <c r="B110" s="46" t="s">
        <v>481</v>
      </c>
      <c r="C110" s="48"/>
      <c r="D110" s="49" t="s">
        <v>10</v>
      </c>
      <c r="E110" s="49">
        <f>296+148</f>
        <v>444</v>
      </c>
      <c r="F110" s="49"/>
      <c r="G110" s="49"/>
    </row>
    <row r="111" spans="1:7" x14ac:dyDescent="0.3">
      <c r="A111" s="32"/>
      <c r="B111" s="46" t="s">
        <v>661</v>
      </c>
      <c r="C111" s="48"/>
      <c r="D111" s="49" t="s">
        <v>14</v>
      </c>
      <c r="E111" s="49">
        <v>30860</v>
      </c>
      <c r="F111" s="49"/>
      <c r="G111" s="49"/>
    </row>
    <row r="112" spans="1:7" x14ac:dyDescent="0.3">
      <c r="A112" s="32"/>
      <c r="B112" s="46" t="s">
        <v>662</v>
      </c>
      <c r="C112" s="48"/>
      <c r="D112" s="49" t="s">
        <v>683</v>
      </c>
      <c r="E112" s="49">
        <v>3750</v>
      </c>
      <c r="F112" s="49"/>
      <c r="G112" s="49"/>
    </row>
    <row r="113" spans="1:7" ht="31.2" x14ac:dyDescent="0.3">
      <c r="A113" s="32"/>
      <c r="B113" s="46" t="s">
        <v>663</v>
      </c>
      <c r="C113" s="48"/>
      <c r="D113" s="49" t="s">
        <v>14</v>
      </c>
      <c r="E113" s="49">
        <v>4</v>
      </c>
      <c r="F113" s="49"/>
      <c r="G113" s="49"/>
    </row>
    <row r="114" spans="1:7" ht="31.2" x14ac:dyDescent="0.3">
      <c r="A114" s="32"/>
      <c r="B114" s="46" t="s">
        <v>664</v>
      </c>
      <c r="C114" s="48"/>
      <c r="D114" s="49" t="s">
        <v>14</v>
      </c>
      <c r="E114" s="49">
        <v>16</v>
      </c>
      <c r="F114" s="49"/>
      <c r="G114" s="49"/>
    </row>
    <row r="115" spans="1:7" x14ac:dyDescent="0.3">
      <c r="A115" s="32"/>
      <c r="B115" s="44" t="s">
        <v>665</v>
      </c>
      <c r="C115" s="32"/>
      <c r="D115" s="45"/>
      <c r="E115" s="45"/>
      <c r="F115" s="45"/>
      <c r="G115" s="45"/>
    </row>
    <row r="116" spans="1:7" ht="31.2" x14ac:dyDescent="0.3">
      <c r="A116" s="32"/>
      <c r="B116" s="46" t="s">
        <v>666</v>
      </c>
      <c r="C116" s="48"/>
      <c r="D116" s="49" t="s">
        <v>14</v>
      </c>
      <c r="E116" s="49">
        <v>12</v>
      </c>
      <c r="F116" s="49"/>
      <c r="G116" s="49"/>
    </row>
    <row r="117" spans="1:7" ht="31.2" x14ac:dyDescent="0.3">
      <c r="A117" s="32"/>
      <c r="B117" s="46" t="s">
        <v>667</v>
      </c>
      <c r="C117" s="48"/>
      <c r="D117" s="49" t="s">
        <v>14</v>
      </c>
      <c r="E117" s="49">
        <v>16</v>
      </c>
      <c r="F117" s="49"/>
      <c r="G117" s="49"/>
    </row>
    <row r="118" spans="1:7" x14ac:dyDescent="0.3">
      <c r="A118" s="32"/>
      <c r="B118" s="46" t="s">
        <v>668</v>
      </c>
      <c r="C118" s="48"/>
      <c r="D118" s="49" t="s">
        <v>14</v>
      </c>
      <c r="E118" s="49">
        <v>12</v>
      </c>
      <c r="F118" s="49"/>
      <c r="G118" s="49"/>
    </row>
    <row r="119" spans="1:7" x14ac:dyDescent="0.3">
      <c r="A119" s="32"/>
      <c r="B119" s="46" t="s">
        <v>669</v>
      </c>
      <c r="C119" s="48"/>
      <c r="D119" s="49" t="s">
        <v>14</v>
      </c>
      <c r="E119" s="49">
        <v>16</v>
      </c>
      <c r="F119" s="49"/>
      <c r="G119" s="49"/>
    </row>
    <row r="120" spans="1:7" x14ac:dyDescent="0.3">
      <c r="A120" s="32"/>
      <c r="B120" s="46" t="s">
        <v>670</v>
      </c>
      <c r="C120" s="48"/>
      <c r="D120" s="49" t="s">
        <v>14</v>
      </c>
      <c r="E120" s="49">
        <v>5</v>
      </c>
      <c r="F120" s="49"/>
      <c r="G120" s="49"/>
    </row>
    <row r="121" spans="1:7" x14ac:dyDescent="0.3">
      <c r="A121" s="32"/>
      <c r="B121" s="46" t="s">
        <v>671</v>
      </c>
      <c r="C121" s="48"/>
      <c r="D121" s="49" t="s">
        <v>14</v>
      </c>
      <c r="E121" s="49">
        <v>9</v>
      </c>
      <c r="F121" s="49"/>
      <c r="G121" s="49"/>
    </row>
    <row r="122" spans="1:7" x14ac:dyDescent="0.3">
      <c r="A122" s="32"/>
      <c r="B122" s="46" t="s">
        <v>672</v>
      </c>
      <c r="C122" s="48"/>
      <c r="D122" s="49" t="s">
        <v>14</v>
      </c>
      <c r="E122" s="49">
        <v>4</v>
      </c>
      <c r="F122" s="49"/>
      <c r="G122" s="49"/>
    </row>
    <row r="123" spans="1:7" x14ac:dyDescent="0.3">
      <c r="A123" s="32"/>
      <c r="B123" s="46" t="s">
        <v>673</v>
      </c>
      <c r="C123" s="48"/>
      <c r="D123" s="49" t="s">
        <v>14</v>
      </c>
      <c r="E123" s="49">
        <v>34</v>
      </c>
      <c r="F123" s="49"/>
      <c r="G123" s="49"/>
    </row>
    <row r="124" spans="1:7" x14ac:dyDescent="0.3">
      <c r="A124" s="32"/>
      <c r="B124" s="46" t="s">
        <v>674</v>
      </c>
      <c r="C124" s="48"/>
      <c r="D124" s="49" t="s">
        <v>14</v>
      </c>
      <c r="E124" s="49">
        <v>3</v>
      </c>
      <c r="F124" s="49"/>
      <c r="G124" s="49"/>
    </row>
    <row r="125" spans="1:7" x14ac:dyDescent="0.3">
      <c r="A125" s="32"/>
      <c r="B125" s="46" t="s">
        <v>675</v>
      </c>
      <c r="C125" s="48"/>
      <c r="D125" s="49" t="s">
        <v>14</v>
      </c>
      <c r="E125" s="49">
        <v>128</v>
      </c>
      <c r="F125" s="49"/>
      <c r="G125" s="49"/>
    </row>
    <row r="126" spans="1:7" x14ac:dyDescent="0.3">
      <c r="A126" s="32"/>
      <c r="B126" s="46" t="s">
        <v>676</v>
      </c>
      <c r="C126" s="48"/>
      <c r="D126" s="49" t="s">
        <v>14</v>
      </c>
      <c r="E126" s="49">
        <v>54</v>
      </c>
      <c r="F126" s="49"/>
      <c r="G126" s="49"/>
    </row>
    <row r="127" spans="1:7" x14ac:dyDescent="0.3">
      <c r="A127" s="32"/>
      <c r="B127" s="46" t="s">
        <v>677</v>
      </c>
      <c r="C127" s="48"/>
      <c r="D127" s="49" t="s">
        <v>14</v>
      </c>
      <c r="E127" s="49">
        <v>3</v>
      </c>
      <c r="F127" s="49"/>
      <c r="G127" s="49"/>
    </row>
    <row r="128" spans="1:7" x14ac:dyDescent="0.3">
      <c r="A128" s="32"/>
      <c r="B128" s="46" t="s">
        <v>678</v>
      </c>
      <c r="C128" s="48"/>
      <c r="D128" s="49" t="s">
        <v>683</v>
      </c>
      <c r="E128" s="49">
        <v>11.1</v>
      </c>
      <c r="F128" s="49"/>
      <c r="G128" s="49"/>
    </row>
    <row r="129" spans="1:7" x14ac:dyDescent="0.3">
      <c r="A129" s="31"/>
      <c r="B129" s="41" t="s">
        <v>679</v>
      </c>
      <c r="C129" s="31"/>
      <c r="D129" s="42"/>
      <c r="E129" s="42"/>
      <c r="F129" s="42"/>
      <c r="G129" s="42"/>
    </row>
    <row r="130" spans="1:7" x14ac:dyDescent="0.3">
      <c r="A130" s="32"/>
      <c r="B130" s="44" t="s">
        <v>680</v>
      </c>
      <c r="C130" s="32"/>
      <c r="D130" s="45" t="s">
        <v>14</v>
      </c>
      <c r="E130" s="45">
        <v>3</v>
      </c>
      <c r="F130" s="45"/>
      <c r="G130" s="45"/>
    </row>
    <row r="131" spans="1:7" ht="31.2" x14ac:dyDescent="0.3">
      <c r="A131" s="32"/>
      <c r="B131" s="44" t="s">
        <v>681</v>
      </c>
      <c r="C131" s="32"/>
      <c r="D131" s="45" t="s">
        <v>158</v>
      </c>
      <c r="E131" s="45">
        <v>3</v>
      </c>
      <c r="F131" s="45"/>
      <c r="G131" s="45"/>
    </row>
    <row r="132" spans="1:7" x14ac:dyDescent="0.3">
      <c r="A132" s="28"/>
      <c r="B132" s="50" t="s">
        <v>691</v>
      </c>
      <c r="C132" s="28"/>
      <c r="D132" s="51"/>
      <c r="E132" s="51"/>
      <c r="F132" s="51"/>
      <c r="G132" s="51"/>
    </row>
    <row r="133" spans="1:7" x14ac:dyDescent="0.3">
      <c r="A133" s="31"/>
      <c r="B133" s="41" t="s">
        <v>687</v>
      </c>
      <c r="C133" s="31"/>
      <c r="D133" s="42"/>
      <c r="E133" s="42"/>
      <c r="F133" s="42"/>
      <c r="G133" s="42"/>
    </row>
    <row r="134" spans="1:7" x14ac:dyDescent="0.3">
      <c r="A134" s="32"/>
      <c r="B134" s="44" t="s">
        <v>692</v>
      </c>
      <c r="C134" s="32"/>
      <c r="D134" s="45" t="s">
        <v>10</v>
      </c>
      <c r="E134" s="45">
        <f>5002+199</f>
        <v>5201</v>
      </c>
      <c r="F134" s="45"/>
      <c r="G134" s="45"/>
    </row>
    <row r="135" spans="1:7" x14ac:dyDescent="0.3">
      <c r="A135" s="32"/>
      <c r="B135" s="44" t="s">
        <v>693</v>
      </c>
      <c r="C135" s="32"/>
      <c r="D135" s="45" t="s">
        <v>10</v>
      </c>
      <c r="E135" s="45">
        <f>1915+119.6</f>
        <v>2034.6</v>
      </c>
      <c r="F135" s="45"/>
      <c r="G135" s="45"/>
    </row>
    <row r="136" spans="1:7" x14ac:dyDescent="0.3">
      <c r="A136" s="32"/>
      <c r="B136" s="44" t="s">
        <v>688</v>
      </c>
      <c r="C136" s="32"/>
      <c r="D136" s="45" t="s">
        <v>69</v>
      </c>
      <c r="E136" s="45">
        <v>1231</v>
      </c>
      <c r="F136" s="45"/>
      <c r="G136" s="45"/>
    </row>
    <row r="137" spans="1:7" x14ac:dyDescent="0.3">
      <c r="A137" s="32"/>
      <c r="B137" s="44" t="s">
        <v>689</v>
      </c>
      <c r="C137" s="32"/>
      <c r="D137" s="45" t="s">
        <v>14</v>
      </c>
      <c r="E137" s="45">
        <f>248+64+184</f>
        <v>496</v>
      </c>
      <c r="F137" s="45"/>
      <c r="G137" s="45"/>
    </row>
    <row r="138" spans="1:7" x14ac:dyDescent="0.3">
      <c r="A138" s="32"/>
      <c r="B138" s="44" t="s">
        <v>694</v>
      </c>
      <c r="C138" s="32"/>
      <c r="D138" s="45" t="s">
        <v>10</v>
      </c>
      <c r="E138" s="45">
        <v>1.6</v>
      </c>
      <c r="F138" s="45"/>
      <c r="G138" s="45"/>
    </row>
    <row r="139" spans="1:7" x14ac:dyDescent="0.3">
      <c r="A139" s="31"/>
      <c r="B139" s="41" t="s">
        <v>690</v>
      </c>
      <c r="C139" s="31"/>
      <c r="D139" s="42"/>
      <c r="E139" s="42"/>
      <c r="F139" s="42"/>
      <c r="G139" s="42"/>
    </row>
    <row r="140" spans="1:7" x14ac:dyDescent="0.3">
      <c r="A140" s="32"/>
      <c r="B140" s="44" t="s">
        <v>692</v>
      </c>
      <c r="C140" s="32"/>
      <c r="D140" s="45" t="s">
        <v>10</v>
      </c>
      <c r="E140" s="45">
        <v>2347.8000000000002</v>
      </c>
      <c r="F140" s="45"/>
      <c r="G140" s="45"/>
    </row>
    <row r="141" spans="1:7" x14ac:dyDescent="0.3">
      <c r="A141" s="32"/>
      <c r="B141" s="44" t="s">
        <v>693</v>
      </c>
      <c r="C141" s="32"/>
      <c r="D141" s="45" t="s">
        <v>10</v>
      </c>
      <c r="E141" s="45">
        <v>240.2</v>
      </c>
      <c r="F141" s="45"/>
      <c r="G141" s="45"/>
    </row>
    <row r="142" spans="1:7" x14ac:dyDescent="0.3">
      <c r="A142" s="32"/>
      <c r="B142" s="44" t="s">
        <v>689</v>
      </c>
      <c r="C142" s="32"/>
      <c r="D142" s="45" t="s">
        <v>14</v>
      </c>
      <c r="E142" s="45">
        <v>124</v>
      </c>
      <c r="F142" s="45"/>
      <c r="G142" s="45"/>
    </row>
    <row r="143" spans="1:7" x14ac:dyDescent="0.3">
      <c r="A143" s="52"/>
      <c r="B143" s="52" t="s">
        <v>695</v>
      </c>
      <c r="C143" s="52"/>
      <c r="D143" s="52"/>
      <c r="E143" s="53"/>
      <c r="F143" s="53"/>
      <c r="G143" s="53"/>
    </row>
    <row r="144" spans="1:7" x14ac:dyDescent="0.3">
      <c r="A144" s="31"/>
      <c r="B144" s="41" t="s">
        <v>687</v>
      </c>
      <c r="C144" s="31"/>
      <c r="D144" s="42"/>
      <c r="E144" s="42"/>
      <c r="F144" s="42"/>
      <c r="G144" s="42"/>
    </row>
    <row r="145" spans="1:7" x14ac:dyDescent="0.3">
      <c r="A145" s="32"/>
      <c r="B145" s="44" t="s">
        <v>692</v>
      </c>
      <c r="C145" s="32"/>
      <c r="D145" s="45" t="s">
        <v>10</v>
      </c>
      <c r="E145" s="45">
        <f>92381-E153</f>
        <v>62856</v>
      </c>
      <c r="F145" s="45"/>
      <c r="G145" s="45"/>
    </row>
    <row r="146" spans="1:7" x14ac:dyDescent="0.3">
      <c r="A146" s="32"/>
      <c r="B146" s="44" t="s">
        <v>693</v>
      </c>
      <c r="C146" s="32"/>
      <c r="D146" s="45" t="s">
        <v>10</v>
      </c>
      <c r="E146" s="45">
        <f>29521-E154</f>
        <v>18471</v>
      </c>
      <c r="F146" s="45"/>
      <c r="G146" s="45"/>
    </row>
    <row r="147" spans="1:7" x14ac:dyDescent="0.3">
      <c r="A147" s="32"/>
      <c r="B147" s="44" t="s">
        <v>692</v>
      </c>
      <c r="C147" s="32"/>
      <c r="D147" s="45" t="s">
        <v>10</v>
      </c>
      <c r="E147" s="45">
        <v>2591</v>
      </c>
      <c r="F147" s="45"/>
      <c r="G147" s="45"/>
    </row>
    <row r="148" spans="1:7" x14ac:dyDescent="0.3">
      <c r="A148" s="32"/>
      <c r="B148" s="44" t="s">
        <v>689</v>
      </c>
      <c r="C148" s="32"/>
      <c r="D148" s="45" t="s">
        <v>14</v>
      </c>
      <c r="E148" s="45">
        <v>2997</v>
      </c>
      <c r="F148" s="45"/>
      <c r="G148" s="45"/>
    </row>
    <row r="149" spans="1:7" x14ac:dyDescent="0.3">
      <c r="A149" s="32"/>
      <c r="B149" s="44" t="s">
        <v>694</v>
      </c>
      <c r="C149" s="32"/>
      <c r="D149" s="45" t="s">
        <v>10</v>
      </c>
      <c r="E149" s="45">
        <v>51.7</v>
      </c>
      <c r="F149" s="45"/>
      <c r="G149" s="45"/>
    </row>
    <row r="150" spans="1:7" x14ac:dyDescent="0.3">
      <c r="A150" s="32"/>
      <c r="B150" s="44" t="s">
        <v>699</v>
      </c>
      <c r="C150" s="32"/>
      <c r="D150" s="45" t="s">
        <v>69</v>
      </c>
      <c r="E150" s="45">
        <f>15226-E155</f>
        <v>901</v>
      </c>
      <c r="F150" s="45"/>
      <c r="G150" s="45"/>
    </row>
    <row r="151" spans="1:7" x14ac:dyDescent="0.3">
      <c r="A151" s="32"/>
      <c r="B151" s="44" t="s">
        <v>700</v>
      </c>
      <c r="C151" s="32"/>
      <c r="D151" s="45" t="s">
        <v>69</v>
      </c>
      <c r="E151" s="49">
        <v>13281.5</v>
      </c>
      <c r="F151" s="49"/>
      <c r="G151" s="49"/>
    </row>
    <row r="152" spans="1:7" x14ac:dyDescent="0.3">
      <c r="A152" s="31"/>
      <c r="B152" s="41" t="s">
        <v>696</v>
      </c>
      <c r="C152" s="31"/>
      <c r="D152" s="42"/>
      <c r="E152" s="42"/>
      <c r="F152" s="42"/>
      <c r="G152" s="42"/>
    </row>
    <row r="153" spans="1:7" x14ac:dyDescent="0.3">
      <c r="A153" s="32"/>
      <c r="B153" s="44" t="s">
        <v>692</v>
      </c>
      <c r="C153" s="32"/>
      <c r="D153" s="45" t="s">
        <v>10</v>
      </c>
      <c r="E153" s="45">
        <v>29525</v>
      </c>
      <c r="F153" s="45"/>
      <c r="G153" s="45"/>
    </row>
    <row r="154" spans="1:7" x14ac:dyDescent="0.3">
      <c r="A154" s="32"/>
      <c r="B154" s="44" t="s">
        <v>693</v>
      </c>
      <c r="C154" s="32"/>
      <c r="D154" s="45" t="s">
        <v>10</v>
      </c>
      <c r="E154" s="45">
        <v>11050</v>
      </c>
      <c r="F154" s="45"/>
      <c r="G154" s="45"/>
    </row>
    <row r="155" spans="1:7" x14ac:dyDescent="0.3">
      <c r="A155" s="32"/>
      <c r="B155" s="44" t="s">
        <v>699</v>
      </c>
      <c r="C155" s="32"/>
      <c r="D155" s="45" t="s">
        <v>69</v>
      </c>
      <c r="E155" s="45">
        <v>14325</v>
      </c>
      <c r="F155" s="45"/>
      <c r="G155" s="45"/>
    </row>
    <row r="156" spans="1:7" ht="31.2" x14ac:dyDescent="0.3">
      <c r="A156" s="32"/>
      <c r="B156" s="46" t="s">
        <v>697</v>
      </c>
      <c r="C156" s="48"/>
      <c r="D156" s="49" t="s">
        <v>14</v>
      </c>
      <c r="E156" s="49">
        <v>660</v>
      </c>
      <c r="F156" s="49"/>
      <c r="G156" s="49"/>
    </row>
    <row r="157" spans="1:7" x14ac:dyDescent="0.3">
      <c r="A157" s="32"/>
      <c r="B157" s="46" t="s">
        <v>698</v>
      </c>
      <c r="C157" s="48"/>
      <c r="D157" s="49" t="s">
        <v>14</v>
      </c>
      <c r="E157" s="49">
        <v>1980</v>
      </c>
      <c r="F157" s="49"/>
      <c r="G157" s="49"/>
    </row>
    <row r="158" spans="1:7" x14ac:dyDescent="0.3">
      <c r="A158" s="32"/>
      <c r="B158" s="46" t="s">
        <v>700</v>
      </c>
      <c r="C158" s="48"/>
      <c r="D158" s="49" t="s">
        <v>69</v>
      </c>
      <c r="E158" s="49">
        <v>22000</v>
      </c>
      <c r="F158" s="49"/>
      <c r="G158" s="49"/>
    </row>
    <row r="159" spans="1:7" x14ac:dyDescent="0.3">
      <c r="A159" s="31"/>
      <c r="B159" s="41" t="s">
        <v>690</v>
      </c>
      <c r="C159" s="31"/>
      <c r="D159" s="42"/>
      <c r="E159" s="42"/>
      <c r="F159" s="42"/>
      <c r="G159" s="42"/>
    </row>
    <row r="160" spans="1:7" x14ac:dyDescent="0.3">
      <c r="A160" s="32"/>
      <c r="B160" s="44" t="s">
        <v>692</v>
      </c>
      <c r="C160" s="32"/>
      <c r="D160" s="45" t="s">
        <v>10</v>
      </c>
      <c r="E160" s="45">
        <v>5547</v>
      </c>
      <c r="F160" s="45"/>
      <c r="G160" s="45"/>
    </row>
    <row r="161" spans="1:7" x14ac:dyDescent="0.3">
      <c r="A161" s="32"/>
      <c r="B161" s="44" t="s">
        <v>693</v>
      </c>
      <c r="C161" s="32"/>
      <c r="D161" s="45" t="s">
        <v>10</v>
      </c>
      <c r="E161" s="45">
        <v>3170</v>
      </c>
      <c r="F161" s="45"/>
      <c r="G161" s="45"/>
    </row>
    <row r="162" spans="1:7" x14ac:dyDescent="0.3">
      <c r="A162" s="32"/>
      <c r="B162" s="44" t="s">
        <v>689</v>
      </c>
      <c r="C162" s="32"/>
      <c r="D162" s="45" t="s">
        <v>14</v>
      </c>
      <c r="E162" s="45">
        <v>2308</v>
      </c>
      <c r="F162" s="45"/>
      <c r="G162" s="45"/>
    </row>
    <row r="163" spans="1:7" x14ac:dyDescent="0.3">
      <c r="A163" s="32"/>
      <c r="B163" s="44" t="s">
        <v>694</v>
      </c>
      <c r="C163" s="32"/>
      <c r="D163" s="45" t="s">
        <v>10</v>
      </c>
      <c r="E163" s="45">
        <v>9.9</v>
      </c>
      <c r="F163" s="45"/>
      <c r="G163" s="45"/>
    </row>
    <row r="164" spans="1:7" x14ac:dyDescent="0.3">
      <c r="A164" s="52"/>
      <c r="B164" s="52" t="s">
        <v>701</v>
      </c>
      <c r="C164" s="52"/>
      <c r="D164" s="52"/>
      <c r="E164" s="53"/>
      <c r="F164" s="53"/>
      <c r="G164" s="53"/>
    </row>
    <row r="165" spans="1:7" x14ac:dyDescent="0.3">
      <c r="A165" s="31"/>
      <c r="B165" s="41" t="s">
        <v>702</v>
      </c>
      <c r="C165" s="31"/>
      <c r="D165" s="42"/>
      <c r="E165" s="42"/>
      <c r="F165" s="42"/>
      <c r="G165" s="42"/>
    </row>
    <row r="166" spans="1:7" x14ac:dyDescent="0.3">
      <c r="A166" s="32"/>
      <c r="B166" s="46" t="s">
        <v>703</v>
      </c>
      <c r="C166" s="48"/>
      <c r="D166" s="49" t="s">
        <v>682</v>
      </c>
      <c r="E166" s="49">
        <v>37.51</v>
      </c>
      <c r="F166" s="49"/>
      <c r="G166" s="49"/>
    </row>
    <row r="167" spans="1:7" x14ac:dyDescent="0.3">
      <c r="A167" s="32"/>
      <c r="B167" s="46" t="s">
        <v>704</v>
      </c>
      <c r="C167" s="48"/>
      <c r="D167" s="49" t="s">
        <v>682</v>
      </c>
      <c r="E167" s="49">
        <v>2.31</v>
      </c>
      <c r="F167" s="49"/>
      <c r="G167" s="49"/>
    </row>
    <row r="168" spans="1:7" x14ac:dyDescent="0.3">
      <c r="A168" s="32"/>
      <c r="B168" s="46" t="s">
        <v>705</v>
      </c>
      <c r="C168" s="48"/>
      <c r="D168" s="49" t="s">
        <v>10</v>
      </c>
      <c r="E168" s="49">
        <v>6</v>
      </c>
      <c r="F168" s="49"/>
      <c r="G168" s="49"/>
    </row>
    <row r="169" spans="1:7" x14ac:dyDescent="0.3">
      <c r="A169" s="32"/>
      <c r="B169" s="46" t="s">
        <v>706</v>
      </c>
      <c r="C169" s="48"/>
      <c r="D169" s="49" t="s">
        <v>682</v>
      </c>
      <c r="E169" s="49">
        <f>0.14+0.3+0.431+0.008</f>
        <v>0.879</v>
      </c>
      <c r="F169" s="49"/>
      <c r="G169" s="49"/>
    </row>
    <row r="170" spans="1:7" x14ac:dyDescent="0.3">
      <c r="A170" s="32"/>
      <c r="B170" s="46" t="s">
        <v>703</v>
      </c>
      <c r="C170" s="48"/>
      <c r="D170" s="49" t="s">
        <v>682</v>
      </c>
      <c r="E170" s="49">
        <v>25.72</v>
      </c>
      <c r="F170" s="49"/>
      <c r="G170" s="49"/>
    </row>
    <row r="171" spans="1:7" x14ac:dyDescent="0.3">
      <c r="A171" s="32"/>
      <c r="B171" s="46" t="s">
        <v>704</v>
      </c>
      <c r="C171" s="48"/>
      <c r="D171" s="49" t="s">
        <v>682</v>
      </c>
      <c r="E171" s="49">
        <v>1.54</v>
      </c>
      <c r="F171" s="49"/>
      <c r="G171" s="49"/>
    </row>
    <row r="172" spans="1:7" x14ac:dyDescent="0.3">
      <c r="A172" s="32"/>
      <c r="B172" s="46" t="s">
        <v>705</v>
      </c>
      <c r="C172" s="48"/>
      <c r="D172" s="49" t="s">
        <v>10</v>
      </c>
      <c r="E172" s="49">
        <v>3.9</v>
      </c>
      <c r="F172" s="49"/>
      <c r="G172" s="49"/>
    </row>
    <row r="173" spans="1:7" x14ac:dyDescent="0.3">
      <c r="A173" s="32"/>
      <c r="B173" s="46" t="s">
        <v>706</v>
      </c>
      <c r="C173" s="48"/>
      <c r="D173" s="49" t="s">
        <v>682</v>
      </c>
      <c r="E173" s="49">
        <f>0.093+0.2+0.287+0.005</f>
        <v>0.58500000000000008</v>
      </c>
      <c r="F173" s="49"/>
      <c r="G173" s="49"/>
    </row>
    <row r="174" spans="1:7" x14ac:dyDescent="0.3">
      <c r="A174" s="32"/>
      <c r="B174" s="46" t="s">
        <v>703</v>
      </c>
      <c r="C174" s="48"/>
      <c r="D174" s="49" t="s">
        <v>682</v>
      </c>
      <c r="E174" s="49">
        <v>66.099999999999994</v>
      </c>
      <c r="F174" s="49"/>
      <c r="G174" s="49"/>
    </row>
    <row r="175" spans="1:7" x14ac:dyDescent="0.3">
      <c r="A175" s="32"/>
      <c r="B175" s="46" t="s">
        <v>704</v>
      </c>
      <c r="C175" s="48"/>
      <c r="D175" s="49" t="s">
        <v>682</v>
      </c>
      <c r="E175" s="49">
        <v>3.86</v>
      </c>
      <c r="F175" s="49"/>
      <c r="G175" s="49"/>
    </row>
    <row r="176" spans="1:7" x14ac:dyDescent="0.3">
      <c r="A176" s="32"/>
      <c r="B176" s="46" t="s">
        <v>705</v>
      </c>
      <c r="C176" s="48"/>
      <c r="D176" s="49" t="s">
        <v>10</v>
      </c>
      <c r="E176" s="49">
        <v>9.6999999999999993</v>
      </c>
      <c r="F176" s="49"/>
      <c r="G176" s="49"/>
    </row>
    <row r="177" spans="1:7" x14ac:dyDescent="0.3">
      <c r="A177" s="32"/>
      <c r="B177" s="46" t="s">
        <v>706</v>
      </c>
      <c r="C177" s="48"/>
      <c r="D177" s="49" t="s">
        <v>682</v>
      </c>
      <c r="E177" s="49">
        <f>0.233+0.501+0.718+0.013</f>
        <v>1.4649999999999999</v>
      </c>
      <c r="F177" s="49"/>
      <c r="G177" s="49"/>
    </row>
    <row r="178" spans="1:7" x14ac:dyDescent="0.3">
      <c r="A178" s="32"/>
      <c r="B178" s="44" t="s">
        <v>707</v>
      </c>
      <c r="C178" s="32"/>
      <c r="D178" s="45" t="s">
        <v>10</v>
      </c>
      <c r="E178" s="45">
        <v>249.6</v>
      </c>
      <c r="F178" s="45"/>
      <c r="G178" s="45"/>
    </row>
    <row r="179" spans="1:7" x14ac:dyDescent="0.3">
      <c r="A179" s="31"/>
      <c r="B179" s="41" t="s">
        <v>708</v>
      </c>
      <c r="C179" s="31"/>
      <c r="D179" s="42"/>
      <c r="E179" s="42"/>
      <c r="F179" s="42"/>
      <c r="G179" s="42"/>
    </row>
    <row r="180" spans="1:7" x14ac:dyDescent="0.3">
      <c r="A180" s="32"/>
      <c r="B180" s="46" t="s">
        <v>709</v>
      </c>
      <c r="C180" s="48"/>
      <c r="D180" s="49" t="s">
        <v>682</v>
      </c>
      <c r="E180" s="49">
        <v>215.9</v>
      </c>
      <c r="F180" s="49"/>
      <c r="G180" s="49"/>
    </row>
    <row r="181" spans="1:7" x14ac:dyDescent="0.3">
      <c r="A181" s="32"/>
      <c r="B181" s="46" t="s">
        <v>710</v>
      </c>
      <c r="C181" s="48"/>
      <c r="D181" s="49" t="s">
        <v>682</v>
      </c>
      <c r="E181" s="49">
        <v>22.53</v>
      </c>
      <c r="F181" s="49"/>
      <c r="G181" s="49"/>
    </row>
    <row r="182" spans="1:7" x14ac:dyDescent="0.3">
      <c r="A182" s="32"/>
      <c r="B182" s="46" t="s">
        <v>711</v>
      </c>
      <c r="C182" s="48"/>
      <c r="D182" s="49" t="s">
        <v>10</v>
      </c>
      <c r="E182" s="49">
        <v>4.3</v>
      </c>
      <c r="F182" s="49"/>
      <c r="G182" s="49"/>
    </row>
    <row r="183" spans="1:7" x14ac:dyDescent="0.3">
      <c r="A183" s="32"/>
      <c r="B183" s="46" t="s">
        <v>710</v>
      </c>
      <c r="C183" s="48"/>
      <c r="D183" s="49" t="s">
        <v>682</v>
      </c>
      <c r="E183" s="49">
        <v>1.69</v>
      </c>
      <c r="F183" s="49"/>
      <c r="G183" s="49"/>
    </row>
    <row r="184" spans="1:7" ht="31.2" x14ac:dyDescent="0.3">
      <c r="A184" s="32"/>
      <c r="B184" s="46" t="s">
        <v>712</v>
      </c>
      <c r="C184" s="48"/>
      <c r="D184" s="49" t="s">
        <v>14</v>
      </c>
      <c r="E184" s="49">
        <v>80</v>
      </c>
      <c r="F184" s="49"/>
      <c r="G184" s="49"/>
    </row>
    <row r="185" spans="1:7" x14ac:dyDescent="0.3">
      <c r="A185" s="31"/>
      <c r="B185" s="41" t="s">
        <v>713</v>
      </c>
      <c r="C185" s="31"/>
      <c r="D185" s="42"/>
      <c r="E185" s="42"/>
      <c r="F185" s="42"/>
      <c r="G185" s="42"/>
    </row>
    <row r="186" spans="1:7" x14ac:dyDescent="0.3">
      <c r="A186" s="32"/>
      <c r="B186" s="46" t="s">
        <v>714</v>
      </c>
      <c r="C186" s="48"/>
      <c r="D186" s="49" t="s">
        <v>10</v>
      </c>
      <c r="E186" s="49">
        <v>186.04</v>
      </c>
      <c r="F186" s="49"/>
      <c r="G186" s="49"/>
    </row>
    <row r="187" spans="1:7" x14ac:dyDescent="0.3">
      <c r="A187" s="32"/>
      <c r="B187" s="46" t="s">
        <v>715</v>
      </c>
      <c r="C187" s="48"/>
      <c r="D187" s="49" t="s">
        <v>682</v>
      </c>
      <c r="E187" s="49">
        <v>0.8</v>
      </c>
      <c r="F187" s="49"/>
      <c r="G187" s="49"/>
    </row>
    <row r="188" spans="1:7" x14ac:dyDescent="0.3">
      <c r="A188" s="32"/>
      <c r="B188" s="46" t="s">
        <v>716</v>
      </c>
      <c r="C188" s="48"/>
      <c r="D188" s="49" t="s">
        <v>682</v>
      </c>
      <c r="E188" s="49">
        <v>0.8</v>
      </c>
      <c r="F188" s="49"/>
      <c r="G188" s="49"/>
    </row>
    <row r="189" spans="1:7" x14ac:dyDescent="0.3">
      <c r="A189" s="32"/>
      <c r="B189" s="46" t="s">
        <v>717</v>
      </c>
      <c r="C189" s="48"/>
      <c r="D189" s="49" t="s">
        <v>682</v>
      </c>
      <c r="E189" s="49">
        <v>0.1</v>
      </c>
      <c r="F189" s="49"/>
      <c r="G189" s="49"/>
    </row>
    <row r="190" spans="1:7" x14ac:dyDescent="0.3">
      <c r="A190" s="31"/>
      <c r="B190" s="41" t="s">
        <v>718</v>
      </c>
      <c r="C190" s="31"/>
      <c r="D190" s="42"/>
      <c r="E190" s="42"/>
      <c r="F190" s="42"/>
      <c r="G190" s="42"/>
    </row>
    <row r="191" spans="1:7" ht="31.2" x14ac:dyDescent="0.3">
      <c r="A191" s="32"/>
      <c r="B191" s="44" t="s">
        <v>719</v>
      </c>
      <c r="C191" s="32"/>
      <c r="D191" s="45" t="s">
        <v>682</v>
      </c>
      <c r="E191" s="45">
        <v>3.82</v>
      </c>
      <c r="F191" s="45"/>
      <c r="G191" s="45"/>
    </row>
    <row r="192" spans="1:7" ht="31.2" x14ac:dyDescent="0.3">
      <c r="A192" s="32"/>
      <c r="B192" s="44" t="s">
        <v>720</v>
      </c>
      <c r="C192" s="32"/>
      <c r="D192" s="45" t="s">
        <v>682</v>
      </c>
      <c r="E192" s="45">
        <v>0.52</v>
      </c>
      <c r="F192" s="45"/>
      <c r="G192" s="45"/>
    </row>
    <row r="193" spans="1:7" x14ac:dyDescent="0.3">
      <c r="A193" s="32"/>
      <c r="B193" s="44" t="s">
        <v>481</v>
      </c>
      <c r="C193" s="32"/>
      <c r="D193" s="45" t="s">
        <v>10</v>
      </c>
      <c r="E193" s="45">
        <v>2980</v>
      </c>
      <c r="F193" s="45"/>
      <c r="G193" s="45"/>
    </row>
    <row r="194" spans="1:7" x14ac:dyDescent="0.3">
      <c r="A194" s="32"/>
      <c r="B194" s="44" t="s">
        <v>721</v>
      </c>
      <c r="C194" s="32"/>
      <c r="D194" s="45" t="s">
        <v>10</v>
      </c>
      <c r="E194" s="45">
        <v>89.5</v>
      </c>
      <c r="F194" s="45"/>
      <c r="G194" s="45"/>
    </row>
    <row r="195" spans="1:7" x14ac:dyDescent="0.3">
      <c r="A195" s="32"/>
      <c r="B195" s="44" t="s">
        <v>722</v>
      </c>
      <c r="C195" s="32"/>
      <c r="D195" s="45" t="s">
        <v>14</v>
      </c>
      <c r="E195" s="45">
        <v>36</v>
      </c>
      <c r="F195" s="45"/>
      <c r="G195" s="45"/>
    </row>
    <row r="196" spans="1:7" x14ac:dyDescent="0.3">
      <c r="A196" s="31"/>
      <c r="B196" s="41" t="s">
        <v>723</v>
      </c>
      <c r="C196" s="31"/>
      <c r="D196" s="42"/>
      <c r="E196" s="42"/>
      <c r="F196" s="42"/>
      <c r="G196" s="42"/>
    </row>
    <row r="197" spans="1:7" x14ac:dyDescent="0.3">
      <c r="A197" s="32"/>
      <c r="B197" s="46" t="s">
        <v>724</v>
      </c>
      <c r="C197" s="48"/>
      <c r="D197" s="49" t="s">
        <v>14</v>
      </c>
      <c r="E197" s="49">
        <v>42</v>
      </c>
      <c r="F197" s="49"/>
      <c r="G197" s="49"/>
    </row>
    <row r="198" spans="1:7" x14ac:dyDescent="0.3">
      <c r="A198" s="32"/>
      <c r="B198" s="46" t="s">
        <v>725</v>
      </c>
      <c r="C198" s="48"/>
      <c r="D198" s="49" t="s">
        <v>14</v>
      </c>
      <c r="E198" s="49">
        <v>8</v>
      </c>
      <c r="F198" s="49"/>
      <c r="G198" s="49"/>
    </row>
    <row r="199" spans="1:7" x14ac:dyDescent="0.3">
      <c r="A199" s="32"/>
      <c r="B199" s="46" t="s">
        <v>714</v>
      </c>
      <c r="C199" s="48"/>
      <c r="D199" s="49" t="s">
        <v>10</v>
      </c>
      <c r="E199" s="49">
        <v>0.1</v>
      </c>
      <c r="F199" s="49"/>
      <c r="G199" s="49"/>
    </row>
    <row r="200" spans="1:7" x14ac:dyDescent="0.3">
      <c r="A200" s="32"/>
      <c r="B200" s="46" t="s">
        <v>726</v>
      </c>
      <c r="C200" s="48"/>
      <c r="D200" s="49" t="s">
        <v>682</v>
      </c>
      <c r="E200" s="49">
        <v>72.430000000000007</v>
      </c>
      <c r="F200" s="49"/>
      <c r="G200" s="49"/>
    </row>
    <row r="201" spans="1:7" ht="31.2" x14ac:dyDescent="0.3">
      <c r="A201" s="32"/>
      <c r="B201" s="46" t="s">
        <v>727</v>
      </c>
      <c r="C201" s="48"/>
      <c r="D201" s="49" t="s">
        <v>682</v>
      </c>
      <c r="E201" s="49">
        <v>7.04</v>
      </c>
      <c r="F201" s="49"/>
      <c r="G201" s="49"/>
    </row>
    <row r="202" spans="1:7" x14ac:dyDescent="0.3">
      <c r="A202" s="32"/>
      <c r="B202" s="46" t="s">
        <v>728</v>
      </c>
      <c r="C202" s="48"/>
      <c r="D202" s="49" t="s">
        <v>682</v>
      </c>
      <c r="E202" s="49">
        <v>0.4</v>
      </c>
      <c r="F202" s="49"/>
      <c r="G202" s="49"/>
    </row>
    <row r="203" spans="1:7" x14ac:dyDescent="0.3">
      <c r="A203" s="32"/>
      <c r="B203" s="46" t="s">
        <v>729</v>
      </c>
      <c r="C203" s="48"/>
      <c r="D203" s="49" t="s">
        <v>682</v>
      </c>
      <c r="E203" s="49">
        <v>0.28999999999999998</v>
      </c>
      <c r="F203" s="49"/>
      <c r="G203" s="49"/>
    </row>
    <row r="204" spans="1:7" x14ac:dyDescent="0.3">
      <c r="A204" s="32"/>
      <c r="B204" s="46" t="s">
        <v>730</v>
      </c>
      <c r="C204" s="48"/>
      <c r="D204" s="49" t="s">
        <v>72</v>
      </c>
      <c r="E204" s="49">
        <v>11</v>
      </c>
      <c r="F204" s="49"/>
      <c r="G204" s="49"/>
    </row>
    <row r="205" spans="1:7" x14ac:dyDescent="0.3">
      <c r="A205" s="31"/>
      <c r="B205" s="41" t="s">
        <v>731</v>
      </c>
      <c r="C205" s="31"/>
      <c r="D205" s="42"/>
      <c r="E205" s="42"/>
      <c r="F205" s="42"/>
      <c r="G205" s="42"/>
    </row>
    <row r="206" spans="1:7" ht="31.2" x14ac:dyDescent="0.3">
      <c r="A206" s="32"/>
      <c r="B206" s="46" t="s">
        <v>732</v>
      </c>
      <c r="C206" s="48"/>
      <c r="D206" s="49" t="s">
        <v>682</v>
      </c>
      <c r="E206" s="49">
        <v>485.4</v>
      </c>
      <c r="F206" s="49"/>
      <c r="G206" s="49"/>
    </row>
    <row r="207" spans="1:7" x14ac:dyDescent="0.3">
      <c r="A207" s="32"/>
      <c r="B207" s="46" t="s">
        <v>737</v>
      </c>
      <c r="C207" s="48"/>
      <c r="D207" s="49" t="s">
        <v>10</v>
      </c>
      <c r="E207" s="49">
        <f>795.8+194.1</f>
        <v>989.9</v>
      </c>
      <c r="F207" s="49"/>
      <c r="G207" s="49"/>
    </row>
    <row r="208" spans="1:7" x14ac:dyDescent="0.3">
      <c r="A208" s="32"/>
      <c r="B208" s="46" t="s">
        <v>733</v>
      </c>
      <c r="C208" s="48"/>
      <c r="D208" s="49" t="s">
        <v>682</v>
      </c>
      <c r="E208" s="49">
        <v>10.15</v>
      </c>
      <c r="F208" s="49"/>
      <c r="G208" s="49"/>
    </row>
    <row r="209" spans="1:7" x14ac:dyDescent="0.3">
      <c r="A209" s="32"/>
      <c r="B209" s="46" t="s">
        <v>734</v>
      </c>
      <c r="C209" s="48"/>
      <c r="D209" s="49" t="s">
        <v>682</v>
      </c>
      <c r="E209" s="49">
        <v>118.4</v>
      </c>
      <c r="F209" s="49"/>
      <c r="G209" s="49"/>
    </row>
    <row r="210" spans="1:7" x14ac:dyDescent="0.3">
      <c r="A210" s="32"/>
      <c r="B210" s="46" t="s">
        <v>735</v>
      </c>
      <c r="C210" s="48"/>
      <c r="D210" s="49" t="s">
        <v>682</v>
      </c>
      <c r="E210" s="49">
        <v>29.73</v>
      </c>
      <c r="F210" s="49"/>
      <c r="G210" s="49"/>
    </row>
    <row r="211" spans="1:7" x14ac:dyDescent="0.3">
      <c r="A211" s="32"/>
      <c r="B211" s="46" t="s">
        <v>736</v>
      </c>
      <c r="C211" s="48"/>
      <c r="D211" s="49" t="s">
        <v>682</v>
      </c>
      <c r="E211" s="49">
        <v>22.6</v>
      </c>
      <c r="F211" s="49"/>
      <c r="G211" s="49"/>
    </row>
    <row r="212" spans="1:7" x14ac:dyDescent="0.3">
      <c r="A212" s="52"/>
      <c r="B212" s="52" t="s">
        <v>738</v>
      </c>
      <c r="C212" s="52"/>
      <c r="D212" s="52"/>
      <c r="E212" s="53"/>
      <c r="F212" s="53"/>
      <c r="G212" s="53"/>
    </row>
    <row r="213" spans="1:7" x14ac:dyDescent="0.3">
      <c r="A213" s="31"/>
      <c r="B213" s="41" t="s">
        <v>739</v>
      </c>
      <c r="C213" s="31"/>
      <c r="D213" s="42"/>
      <c r="E213" s="42"/>
      <c r="F213" s="42"/>
      <c r="G213" s="42"/>
    </row>
    <row r="214" spans="1:7" x14ac:dyDescent="0.3">
      <c r="A214" s="32"/>
      <c r="B214" s="46" t="s">
        <v>740</v>
      </c>
      <c r="C214" s="48"/>
      <c r="D214" s="49" t="s">
        <v>682</v>
      </c>
      <c r="E214" s="49">
        <v>397.5</v>
      </c>
      <c r="F214" s="49"/>
      <c r="G214" s="49"/>
    </row>
    <row r="215" spans="1:7" x14ac:dyDescent="0.3">
      <c r="A215" s="32"/>
      <c r="B215" s="46" t="s">
        <v>741</v>
      </c>
      <c r="C215" s="48"/>
      <c r="D215" s="49" t="s">
        <v>682</v>
      </c>
      <c r="E215" s="54">
        <v>514.29999999999995</v>
      </c>
      <c r="F215" s="54"/>
      <c r="G215" s="54"/>
    </row>
    <row r="216" spans="1:7" x14ac:dyDescent="0.3">
      <c r="A216" s="32"/>
      <c r="B216" s="46" t="s">
        <v>742</v>
      </c>
      <c r="C216" s="48"/>
      <c r="D216" s="49" t="s">
        <v>682</v>
      </c>
      <c r="E216" s="54">
        <v>150.5</v>
      </c>
      <c r="F216" s="54"/>
      <c r="G216" s="54"/>
    </row>
    <row r="217" spans="1:7" x14ac:dyDescent="0.3">
      <c r="A217" s="32"/>
      <c r="B217" s="46" t="s">
        <v>743</v>
      </c>
      <c r="C217" s="48"/>
      <c r="D217" s="49" t="s">
        <v>682</v>
      </c>
      <c r="E217" s="54">
        <v>117.6</v>
      </c>
      <c r="F217" s="54"/>
      <c r="G217" s="54"/>
    </row>
    <row r="218" spans="1:7" x14ac:dyDescent="0.3">
      <c r="A218" s="32"/>
      <c r="B218" s="46" t="s">
        <v>744</v>
      </c>
      <c r="C218" s="48"/>
      <c r="D218" s="49" t="s">
        <v>682</v>
      </c>
      <c r="E218" s="54">
        <v>58.7</v>
      </c>
      <c r="F218" s="54"/>
      <c r="G218" s="54"/>
    </row>
    <row r="219" spans="1:7" x14ac:dyDescent="0.3">
      <c r="A219" s="32"/>
      <c r="B219" s="46" t="s">
        <v>745</v>
      </c>
      <c r="C219" s="48"/>
      <c r="D219" s="49" t="s">
        <v>682</v>
      </c>
      <c r="E219" s="54">
        <v>1280</v>
      </c>
      <c r="F219" s="54"/>
      <c r="G219" s="54"/>
    </row>
    <row r="220" spans="1:7" x14ac:dyDescent="0.3">
      <c r="A220" s="32"/>
      <c r="B220" s="46" t="s">
        <v>746</v>
      </c>
      <c r="C220" s="48"/>
      <c r="D220" s="49" t="s">
        <v>682</v>
      </c>
      <c r="E220" s="54">
        <v>76.099999999999994</v>
      </c>
      <c r="F220" s="54"/>
      <c r="G220" s="54"/>
    </row>
    <row r="221" spans="1:7" x14ac:dyDescent="0.3">
      <c r="A221" s="32"/>
      <c r="B221" s="46" t="s">
        <v>747</v>
      </c>
      <c r="C221" s="48"/>
      <c r="D221" s="49" t="s">
        <v>682</v>
      </c>
      <c r="E221" s="54">
        <v>31.7</v>
      </c>
      <c r="F221" s="54"/>
      <c r="G221" s="54"/>
    </row>
    <row r="222" spans="1:7" x14ac:dyDescent="0.3">
      <c r="A222" s="32"/>
      <c r="B222" s="46" t="s">
        <v>748</v>
      </c>
      <c r="C222" s="48"/>
      <c r="D222" s="49" t="s">
        <v>682</v>
      </c>
      <c r="E222" s="54">
        <v>28</v>
      </c>
      <c r="F222" s="54"/>
      <c r="G222" s="54"/>
    </row>
    <row r="223" spans="1:7" x14ac:dyDescent="0.3">
      <c r="A223" s="32"/>
      <c r="B223" s="46" t="s">
        <v>749</v>
      </c>
      <c r="C223" s="48"/>
      <c r="D223" s="49" t="s">
        <v>69</v>
      </c>
      <c r="E223" s="49">
        <v>540.29999999999995</v>
      </c>
      <c r="F223" s="49"/>
      <c r="G223" s="49"/>
    </row>
    <row r="224" spans="1:7" x14ac:dyDescent="0.3">
      <c r="A224" s="32"/>
      <c r="B224" s="46" t="s">
        <v>750</v>
      </c>
      <c r="C224" s="48"/>
      <c r="D224" s="49" t="s">
        <v>682</v>
      </c>
      <c r="E224" s="54">
        <v>547.70000000000005</v>
      </c>
      <c r="F224" s="54"/>
      <c r="G224" s="54"/>
    </row>
    <row r="225" spans="1:7" x14ac:dyDescent="0.3">
      <c r="A225" s="32"/>
      <c r="B225" s="46" t="s">
        <v>751</v>
      </c>
      <c r="C225" s="48"/>
      <c r="D225" s="49" t="s">
        <v>682</v>
      </c>
      <c r="E225" s="54">
        <v>77.400000000000006</v>
      </c>
      <c r="F225" s="54"/>
      <c r="G225" s="54"/>
    </row>
    <row r="226" spans="1:7" x14ac:dyDescent="0.3">
      <c r="A226" s="32"/>
      <c r="B226" s="46" t="s">
        <v>752</v>
      </c>
      <c r="C226" s="48"/>
      <c r="D226" s="49" t="s">
        <v>682</v>
      </c>
      <c r="E226" s="54">
        <v>1.7</v>
      </c>
      <c r="F226" s="54"/>
      <c r="G226" s="54"/>
    </row>
    <row r="227" spans="1:7" x14ac:dyDescent="0.3">
      <c r="A227" s="32"/>
      <c r="B227" s="46" t="s">
        <v>753</v>
      </c>
      <c r="C227" s="48"/>
      <c r="D227" s="49" t="s">
        <v>682</v>
      </c>
      <c r="E227" s="54">
        <v>37.9</v>
      </c>
      <c r="F227" s="54"/>
      <c r="G227" s="54"/>
    </row>
    <row r="228" spans="1:7" x14ac:dyDescent="0.3">
      <c r="A228" s="32"/>
      <c r="B228" s="46" t="s">
        <v>754</v>
      </c>
      <c r="C228" s="48"/>
      <c r="D228" s="49" t="s">
        <v>682</v>
      </c>
      <c r="E228" s="54">
        <v>3.6</v>
      </c>
      <c r="F228" s="54"/>
      <c r="G228" s="54"/>
    </row>
    <row r="229" spans="1:7" x14ac:dyDescent="0.3">
      <c r="A229" s="32"/>
      <c r="B229" s="46" t="s">
        <v>755</v>
      </c>
      <c r="C229" s="48"/>
      <c r="D229" s="49" t="s">
        <v>682</v>
      </c>
      <c r="E229" s="54">
        <v>63.2</v>
      </c>
      <c r="F229" s="54"/>
      <c r="G229" s="54"/>
    </row>
    <row r="230" spans="1:7" x14ac:dyDescent="0.3">
      <c r="A230" s="32"/>
      <c r="B230" s="46" t="s">
        <v>756</v>
      </c>
      <c r="C230" s="48"/>
      <c r="D230" s="49" t="s">
        <v>10</v>
      </c>
      <c r="E230" s="54">
        <v>2365.3000000000002</v>
      </c>
      <c r="F230" s="54"/>
      <c r="G230" s="54"/>
    </row>
    <row r="231" spans="1:7" x14ac:dyDescent="0.3">
      <c r="A231" s="32"/>
      <c r="B231" s="46" t="s">
        <v>757</v>
      </c>
      <c r="C231" s="48"/>
      <c r="D231" s="49" t="s">
        <v>798</v>
      </c>
      <c r="E231" s="54">
        <v>13680</v>
      </c>
      <c r="F231" s="54"/>
      <c r="G231" s="54"/>
    </row>
    <row r="232" spans="1:7" x14ac:dyDescent="0.3">
      <c r="A232" s="32"/>
      <c r="B232" s="46" t="s">
        <v>758</v>
      </c>
      <c r="C232" s="48"/>
      <c r="D232" s="49" t="s">
        <v>682</v>
      </c>
      <c r="E232" s="54">
        <v>4.0999999999999996</v>
      </c>
      <c r="F232" s="54"/>
      <c r="G232" s="54"/>
    </row>
    <row r="233" spans="1:7" x14ac:dyDescent="0.3">
      <c r="A233" s="32"/>
      <c r="B233" s="46" t="s">
        <v>759</v>
      </c>
      <c r="C233" s="48"/>
      <c r="D233" s="49" t="s">
        <v>10</v>
      </c>
      <c r="E233" s="54">
        <f>1.1+3.4</f>
        <v>4.5</v>
      </c>
      <c r="F233" s="54"/>
      <c r="G233" s="54"/>
    </row>
    <row r="234" spans="1:7" x14ac:dyDescent="0.3">
      <c r="A234" s="32"/>
      <c r="B234" s="46" t="s">
        <v>760</v>
      </c>
      <c r="C234" s="48"/>
      <c r="D234" s="49" t="s">
        <v>682</v>
      </c>
      <c r="E234" s="54">
        <v>220.9</v>
      </c>
      <c r="F234" s="54"/>
      <c r="G234" s="54"/>
    </row>
    <row r="235" spans="1:7" x14ac:dyDescent="0.3">
      <c r="A235" s="32"/>
      <c r="B235" s="46" t="s">
        <v>761</v>
      </c>
      <c r="C235" s="48"/>
      <c r="D235" s="49" t="s">
        <v>682</v>
      </c>
      <c r="E235" s="54">
        <v>49.2</v>
      </c>
      <c r="F235" s="54"/>
      <c r="G235" s="54"/>
    </row>
    <row r="236" spans="1:7" x14ac:dyDescent="0.3">
      <c r="A236" s="32"/>
      <c r="B236" s="46" t="s">
        <v>762</v>
      </c>
      <c r="C236" s="48"/>
      <c r="D236" s="49" t="s">
        <v>682</v>
      </c>
      <c r="E236" s="54">
        <f>188.6-49.2</f>
        <v>139.39999999999998</v>
      </c>
      <c r="F236" s="54"/>
      <c r="G236" s="54"/>
    </row>
    <row r="237" spans="1:7" x14ac:dyDescent="0.3">
      <c r="A237" s="32"/>
      <c r="B237" s="46" t="s">
        <v>763</v>
      </c>
      <c r="C237" s="48"/>
      <c r="D237" s="49" t="s">
        <v>682</v>
      </c>
      <c r="E237" s="54">
        <v>35.5</v>
      </c>
      <c r="F237" s="54"/>
      <c r="G237" s="54"/>
    </row>
    <row r="238" spans="1:7" x14ac:dyDescent="0.3">
      <c r="A238" s="32"/>
      <c r="B238" s="46" t="s">
        <v>764</v>
      </c>
      <c r="C238" s="48"/>
      <c r="D238" s="49" t="s">
        <v>682</v>
      </c>
      <c r="E238" s="54">
        <v>67.099999999999994</v>
      </c>
      <c r="F238" s="54"/>
      <c r="G238" s="54"/>
    </row>
    <row r="239" spans="1:7" x14ac:dyDescent="0.3">
      <c r="A239" s="32"/>
      <c r="B239" s="46" t="s">
        <v>765</v>
      </c>
      <c r="C239" s="48"/>
      <c r="D239" s="49" t="s">
        <v>682</v>
      </c>
      <c r="E239" s="54">
        <v>70.599999999999994</v>
      </c>
      <c r="F239" s="54"/>
      <c r="G239" s="54"/>
    </row>
    <row r="240" spans="1:7" x14ac:dyDescent="0.3">
      <c r="A240" s="32"/>
      <c r="B240" s="46" t="s">
        <v>766</v>
      </c>
      <c r="C240" s="48"/>
      <c r="D240" s="49" t="s">
        <v>10</v>
      </c>
      <c r="E240" s="54">
        <v>162.30000000000001</v>
      </c>
      <c r="F240" s="54"/>
      <c r="G240" s="54"/>
    </row>
    <row r="241" spans="1:7" x14ac:dyDescent="0.3">
      <c r="A241" s="32"/>
      <c r="B241" s="46" t="s">
        <v>760</v>
      </c>
      <c r="C241" s="48"/>
      <c r="D241" s="49" t="s">
        <v>682</v>
      </c>
      <c r="E241" s="54">
        <f>32.6*4</f>
        <v>130.4</v>
      </c>
      <c r="F241" s="54"/>
      <c r="G241" s="54"/>
    </row>
    <row r="242" spans="1:7" x14ac:dyDescent="0.3">
      <c r="A242" s="32"/>
      <c r="B242" s="46" t="s">
        <v>764</v>
      </c>
      <c r="C242" s="48"/>
      <c r="D242" s="49" t="s">
        <v>682</v>
      </c>
      <c r="E242" s="54">
        <f>(0.7+3.6)*4</f>
        <v>17.2</v>
      </c>
      <c r="F242" s="54"/>
      <c r="G242" s="54"/>
    </row>
    <row r="243" spans="1:7" x14ac:dyDescent="0.3">
      <c r="A243" s="32"/>
      <c r="B243" s="46" t="s">
        <v>766</v>
      </c>
      <c r="C243" s="48"/>
      <c r="D243" s="49" t="s">
        <v>10</v>
      </c>
      <c r="E243" s="54">
        <f>16*4</f>
        <v>64</v>
      </c>
      <c r="F243" s="54"/>
      <c r="G243" s="54"/>
    </row>
    <row r="244" spans="1:7" x14ac:dyDescent="0.3">
      <c r="A244" s="32"/>
      <c r="B244" s="46" t="s">
        <v>767</v>
      </c>
      <c r="C244" s="48"/>
      <c r="D244" s="49" t="s">
        <v>682</v>
      </c>
      <c r="E244" s="54">
        <f>15*4</f>
        <v>60</v>
      </c>
      <c r="F244" s="54"/>
      <c r="G244" s="54"/>
    </row>
    <row r="245" spans="1:7" x14ac:dyDescent="0.3">
      <c r="A245" s="31"/>
      <c r="B245" s="41" t="s">
        <v>768</v>
      </c>
      <c r="C245" s="31"/>
      <c r="D245" s="42"/>
      <c r="E245" s="42"/>
      <c r="F245" s="42"/>
      <c r="G245" s="42"/>
    </row>
    <row r="246" spans="1:7" x14ac:dyDescent="0.3">
      <c r="A246" s="32"/>
      <c r="B246" s="46" t="s">
        <v>740</v>
      </c>
      <c r="C246" s="48"/>
      <c r="D246" s="49" t="s">
        <v>682</v>
      </c>
      <c r="E246" s="49">
        <f>300.2*2</f>
        <v>600.4</v>
      </c>
      <c r="F246" s="49"/>
      <c r="G246" s="49"/>
    </row>
    <row r="247" spans="1:7" x14ac:dyDescent="0.3">
      <c r="A247" s="32"/>
      <c r="B247" s="46" t="s">
        <v>741</v>
      </c>
      <c r="C247" s="48"/>
      <c r="D247" s="49" t="s">
        <v>682</v>
      </c>
      <c r="E247" s="54">
        <f>384.9*2</f>
        <v>769.8</v>
      </c>
      <c r="F247" s="54"/>
      <c r="G247" s="54"/>
    </row>
    <row r="248" spans="1:7" x14ac:dyDescent="0.3">
      <c r="A248" s="32"/>
      <c r="B248" s="46" t="s">
        <v>742</v>
      </c>
      <c r="C248" s="48"/>
      <c r="D248" s="49" t="s">
        <v>682</v>
      </c>
      <c r="E248" s="54">
        <f>107.3*2</f>
        <v>214.6</v>
      </c>
      <c r="F248" s="54"/>
      <c r="G248" s="54"/>
    </row>
    <row r="249" spans="1:7" x14ac:dyDescent="0.3">
      <c r="A249" s="32"/>
      <c r="B249" s="46" t="s">
        <v>743</v>
      </c>
      <c r="C249" s="48"/>
      <c r="D249" s="49" t="s">
        <v>682</v>
      </c>
      <c r="E249" s="54">
        <f>84.4*2</f>
        <v>168.8</v>
      </c>
      <c r="F249" s="54"/>
      <c r="G249" s="54"/>
    </row>
    <row r="250" spans="1:7" x14ac:dyDescent="0.3">
      <c r="A250" s="32"/>
      <c r="B250" s="46" t="s">
        <v>744</v>
      </c>
      <c r="C250" s="48"/>
      <c r="D250" s="49" t="s">
        <v>682</v>
      </c>
      <c r="E250" s="54">
        <f>42.1*2</f>
        <v>84.2</v>
      </c>
      <c r="F250" s="54"/>
      <c r="G250" s="54"/>
    </row>
    <row r="251" spans="1:7" x14ac:dyDescent="0.3">
      <c r="A251" s="32"/>
      <c r="B251" s="46" t="s">
        <v>745</v>
      </c>
      <c r="C251" s="48"/>
      <c r="D251" s="49" t="s">
        <v>682</v>
      </c>
      <c r="E251" s="54">
        <f>627.7*2</f>
        <v>1255.4000000000001</v>
      </c>
      <c r="F251" s="54"/>
      <c r="G251" s="54"/>
    </row>
    <row r="252" spans="1:7" x14ac:dyDescent="0.3">
      <c r="A252" s="32"/>
      <c r="B252" s="46" t="s">
        <v>746</v>
      </c>
      <c r="C252" s="48"/>
      <c r="D252" s="49" t="s">
        <v>682</v>
      </c>
      <c r="E252" s="54">
        <f>37.3*2</f>
        <v>74.599999999999994</v>
      </c>
      <c r="F252" s="54"/>
      <c r="G252" s="54"/>
    </row>
    <row r="253" spans="1:7" x14ac:dyDescent="0.3">
      <c r="A253" s="32"/>
      <c r="B253" s="46" t="s">
        <v>747</v>
      </c>
      <c r="C253" s="48"/>
      <c r="D253" s="49" t="s">
        <v>682</v>
      </c>
      <c r="E253" s="54">
        <f>15.6*2</f>
        <v>31.2</v>
      </c>
      <c r="F253" s="54"/>
      <c r="G253" s="54"/>
    </row>
    <row r="254" spans="1:7" x14ac:dyDescent="0.3">
      <c r="A254" s="32"/>
      <c r="B254" s="46" t="s">
        <v>748</v>
      </c>
      <c r="C254" s="48"/>
      <c r="D254" s="49" t="s">
        <v>682</v>
      </c>
      <c r="E254" s="54">
        <f>13.7*2</f>
        <v>27.4</v>
      </c>
      <c r="F254" s="54"/>
      <c r="G254" s="54"/>
    </row>
    <row r="255" spans="1:7" x14ac:dyDescent="0.3">
      <c r="A255" s="32"/>
      <c r="B255" s="44" t="s">
        <v>749</v>
      </c>
      <c r="C255" s="32"/>
      <c r="D255" s="45" t="s">
        <v>69</v>
      </c>
      <c r="E255" s="45">
        <f>264.9*2</f>
        <v>529.79999999999995</v>
      </c>
      <c r="F255" s="45"/>
      <c r="G255" s="45"/>
    </row>
    <row r="256" spans="1:7" x14ac:dyDescent="0.3">
      <c r="A256" s="32"/>
      <c r="B256" s="46" t="s">
        <v>750</v>
      </c>
      <c r="C256" s="48"/>
      <c r="D256" s="49" t="s">
        <v>682</v>
      </c>
      <c r="E256" s="54">
        <f>305.5*2</f>
        <v>611</v>
      </c>
      <c r="F256" s="54"/>
      <c r="G256" s="54"/>
    </row>
    <row r="257" spans="1:7" x14ac:dyDescent="0.3">
      <c r="A257" s="32"/>
      <c r="B257" s="46" t="s">
        <v>751</v>
      </c>
      <c r="C257" s="48"/>
      <c r="D257" s="49" t="s">
        <v>682</v>
      </c>
      <c r="E257" s="54">
        <f>62.4*2</f>
        <v>124.8</v>
      </c>
      <c r="F257" s="54"/>
      <c r="G257" s="54"/>
    </row>
    <row r="258" spans="1:7" x14ac:dyDescent="0.3">
      <c r="A258" s="32"/>
      <c r="B258" s="46" t="s">
        <v>752</v>
      </c>
      <c r="C258" s="48"/>
      <c r="D258" s="49" t="s">
        <v>682</v>
      </c>
      <c r="E258" s="54">
        <f>1.6*2</f>
        <v>3.2</v>
      </c>
      <c r="F258" s="54"/>
      <c r="G258" s="54"/>
    </row>
    <row r="259" spans="1:7" x14ac:dyDescent="0.3">
      <c r="A259" s="32"/>
      <c r="B259" s="46" t="s">
        <v>753</v>
      </c>
      <c r="C259" s="48"/>
      <c r="D259" s="49" t="s">
        <v>682</v>
      </c>
      <c r="E259" s="54">
        <f>18.6*2</f>
        <v>37.200000000000003</v>
      </c>
      <c r="F259" s="54"/>
      <c r="G259" s="54"/>
    </row>
    <row r="260" spans="1:7" x14ac:dyDescent="0.3">
      <c r="A260" s="32"/>
      <c r="B260" s="46" t="s">
        <v>754</v>
      </c>
      <c r="C260" s="48"/>
      <c r="D260" s="49" t="s">
        <v>682</v>
      </c>
      <c r="E260" s="54">
        <f>1.8*2</f>
        <v>3.6</v>
      </c>
      <c r="F260" s="54"/>
      <c r="G260" s="54"/>
    </row>
    <row r="261" spans="1:7" x14ac:dyDescent="0.3">
      <c r="A261" s="32"/>
      <c r="B261" s="46" t="s">
        <v>755</v>
      </c>
      <c r="C261" s="48"/>
      <c r="D261" s="49" t="s">
        <v>682</v>
      </c>
      <c r="E261" s="54">
        <f>31*2</f>
        <v>62</v>
      </c>
      <c r="F261" s="54"/>
      <c r="G261" s="54"/>
    </row>
    <row r="262" spans="1:7" x14ac:dyDescent="0.3">
      <c r="A262" s="32"/>
      <c r="B262" s="46" t="s">
        <v>756</v>
      </c>
      <c r="C262" s="48"/>
      <c r="D262" s="49" t="s">
        <v>10</v>
      </c>
      <c r="E262" s="54">
        <f>1245.8*2</f>
        <v>2491.6</v>
      </c>
      <c r="F262" s="54"/>
      <c r="G262" s="54"/>
    </row>
    <row r="263" spans="1:7" x14ac:dyDescent="0.3">
      <c r="A263" s="32"/>
      <c r="B263" s="46" t="s">
        <v>757</v>
      </c>
      <c r="C263" s="48"/>
      <c r="D263" s="49" t="s">
        <v>798</v>
      </c>
      <c r="E263" s="54">
        <f>5100*2</f>
        <v>10200</v>
      </c>
      <c r="F263" s="54"/>
      <c r="G263" s="54"/>
    </row>
    <row r="264" spans="1:7" x14ac:dyDescent="0.3">
      <c r="A264" s="32"/>
      <c r="B264" s="46" t="s">
        <v>758</v>
      </c>
      <c r="C264" s="48"/>
      <c r="D264" s="49" t="s">
        <v>682</v>
      </c>
      <c r="E264" s="54">
        <f>3.2*2</f>
        <v>6.4</v>
      </c>
      <c r="F264" s="54"/>
      <c r="G264" s="54"/>
    </row>
    <row r="265" spans="1:7" x14ac:dyDescent="0.3">
      <c r="A265" s="32"/>
      <c r="B265" s="46" t="s">
        <v>759</v>
      </c>
      <c r="C265" s="48"/>
      <c r="D265" s="49" t="s">
        <v>10</v>
      </c>
      <c r="E265" s="54">
        <f>(0.75+2.4)*2</f>
        <v>6.3</v>
      </c>
      <c r="F265" s="54"/>
      <c r="G265" s="54"/>
    </row>
    <row r="266" spans="1:7" x14ac:dyDescent="0.3">
      <c r="A266" s="32"/>
      <c r="B266" s="46" t="s">
        <v>760</v>
      </c>
      <c r="C266" s="48"/>
      <c r="D266" s="49" t="s">
        <v>682</v>
      </c>
      <c r="E266" s="54">
        <f>101.4*2</f>
        <v>202.8</v>
      </c>
      <c r="F266" s="54"/>
      <c r="G266" s="54"/>
    </row>
    <row r="267" spans="1:7" x14ac:dyDescent="0.3">
      <c r="A267" s="32"/>
      <c r="B267" s="46" t="s">
        <v>761</v>
      </c>
      <c r="C267" s="48"/>
      <c r="D267" s="49" t="s">
        <v>682</v>
      </c>
      <c r="E267" s="54">
        <f>22.4*2</f>
        <v>44.8</v>
      </c>
      <c r="F267" s="54"/>
      <c r="G267" s="54"/>
    </row>
    <row r="268" spans="1:7" x14ac:dyDescent="0.3">
      <c r="A268" s="32"/>
      <c r="B268" s="46" t="s">
        <v>763</v>
      </c>
      <c r="C268" s="48"/>
      <c r="D268" s="49" t="s">
        <v>682</v>
      </c>
      <c r="E268" s="54">
        <f>5.9*2</f>
        <v>11.8</v>
      </c>
      <c r="F268" s="54"/>
      <c r="G268" s="54"/>
    </row>
    <row r="269" spans="1:7" x14ac:dyDescent="0.3">
      <c r="A269" s="32"/>
      <c r="B269" s="46" t="s">
        <v>762</v>
      </c>
      <c r="C269" s="48"/>
      <c r="D269" s="49" t="s">
        <v>682</v>
      </c>
      <c r="E269" s="54">
        <f>(110.6-22.4)*2</f>
        <v>176.39999999999998</v>
      </c>
      <c r="F269" s="54"/>
      <c r="G269" s="54"/>
    </row>
    <row r="270" spans="1:7" x14ac:dyDescent="0.3">
      <c r="A270" s="32"/>
      <c r="B270" s="46" t="s">
        <v>764</v>
      </c>
      <c r="C270" s="48"/>
      <c r="D270" s="49" t="s">
        <v>682</v>
      </c>
      <c r="E270" s="54">
        <f>22*2</f>
        <v>44</v>
      </c>
      <c r="F270" s="54"/>
      <c r="G270" s="54"/>
    </row>
    <row r="271" spans="1:7" x14ac:dyDescent="0.3">
      <c r="A271" s="32"/>
      <c r="B271" s="46" t="s">
        <v>765</v>
      </c>
      <c r="C271" s="48"/>
      <c r="D271" s="49" t="s">
        <v>682</v>
      </c>
      <c r="E271" s="54">
        <f>30.9*2</f>
        <v>61.8</v>
      </c>
      <c r="F271" s="54"/>
      <c r="G271" s="54"/>
    </row>
    <row r="272" spans="1:7" x14ac:dyDescent="0.3">
      <c r="A272" s="32"/>
      <c r="B272" s="46" t="s">
        <v>766</v>
      </c>
      <c r="C272" s="48"/>
      <c r="D272" s="49" t="s">
        <v>10</v>
      </c>
      <c r="E272" s="54">
        <f>70.2*2</f>
        <v>140.4</v>
      </c>
      <c r="F272" s="54"/>
      <c r="G272" s="54"/>
    </row>
    <row r="273" spans="1:7" x14ac:dyDescent="0.3">
      <c r="A273" s="32"/>
      <c r="B273" s="46" t="s">
        <v>760</v>
      </c>
      <c r="C273" s="48"/>
      <c r="D273" s="49" t="s">
        <v>682</v>
      </c>
      <c r="E273" s="54">
        <f>32.6*4</f>
        <v>130.4</v>
      </c>
      <c r="F273" s="54"/>
      <c r="G273" s="54"/>
    </row>
    <row r="274" spans="1:7" x14ac:dyDescent="0.3">
      <c r="A274" s="32"/>
      <c r="B274" s="46" t="s">
        <v>764</v>
      </c>
      <c r="C274" s="48"/>
      <c r="D274" s="49" t="s">
        <v>682</v>
      </c>
      <c r="E274" s="54">
        <f>(0.7+3.6)*4</f>
        <v>17.2</v>
      </c>
      <c r="F274" s="54"/>
      <c r="G274" s="54"/>
    </row>
    <row r="275" spans="1:7" x14ac:dyDescent="0.3">
      <c r="A275" s="32"/>
      <c r="B275" s="46" t="s">
        <v>766</v>
      </c>
      <c r="C275" s="48"/>
      <c r="D275" s="49" t="s">
        <v>10</v>
      </c>
      <c r="E275" s="54">
        <f>16*4</f>
        <v>64</v>
      </c>
      <c r="F275" s="54"/>
      <c r="G275" s="54"/>
    </row>
    <row r="276" spans="1:7" x14ac:dyDescent="0.3">
      <c r="A276" s="32"/>
      <c r="B276" s="46" t="s">
        <v>767</v>
      </c>
      <c r="C276" s="48"/>
      <c r="D276" s="49" t="s">
        <v>682</v>
      </c>
      <c r="E276" s="54">
        <f>15*4</f>
        <v>60</v>
      </c>
      <c r="F276" s="54"/>
      <c r="G276" s="54"/>
    </row>
    <row r="277" spans="1:7" x14ac:dyDescent="0.3">
      <c r="A277" s="31"/>
      <c r="B277" s="41" t="s">
        <v>637</v>
      </c>
      <c r="C277" s="31"/>
      <c r="D277" s="42"/>
      <c r="E277" s="42"/>
      <c r="F277" s="42"/>
      <c r="G277" s="42"/>
    </row>
    <row r="278" spans="1:7" x14ac:dyDescent="0.3">
      <c r="A278" s="32"/>
      <c r="B278" s="46" t="s">
        <v>769</v>
      </c>
      <c r="C278" s="48"/>
      <c r="D278" s="49" t="s">
        <v>10</v>
      </c>
      <c r="E278" s="49">
        <v>856.1</v>
      </c>
      <c r="F278" s="49"/>
      <c r="G278" s="49"/>
    </row>
    <row r="279" spans="1:7" x14ac:dyDescent="0.3">
      <c r="A279" s="32"/>
      <c r="B279" s="46" t="s">
        <v>770</v>
      </c>
      <c r="C279" s="48"/>
      <c r="D279" s="49" t="s">
        <v>14</v>
      </c>
      <c r="E279" s="54">
        <v>1026</v>
      </c>
      <c r="F279" s="54"/>
      <c r="G279" s="54"/>
    </row>
    <row r="280" spans="1:7" x14ac:dyDescent="0.3">
      <c r="A280" s="32"/>
      <c r="B280" s="46" t="s">
        <v>771</v>
      </c>
      <c r="C280" s="48"/>
      <c r="D280" s="49" t="s">
        <v>10</v>
      </c>
      <c r="E280" s="54">
        <v>348.5</v>
      </c>
      <c r="F280" s="54"/>
      <c r="G280" s="54"/>
    </row>
    <row r="281" spans="1:7" x14ac:dyDescent="0.3">
      <c r="A281" s="32"/>
      <c r="B281" s="46" t="s">
        <v>772</v>
      </c>
      <c r="C281" s="48"/>
      <c r="D281" s="49" t="s">
        <v>10</v>
      </c>
      <c r="E281" s="54">
        <v>134.5</v>
      </c>
      <c r="F281" s="54"/>
      <c r="G281" s="54"/>
    </row>
    <row r="282" spans="1:7" x14ac:dyDescent="0.3">
      <c r="A282" s="32"/>
      <c r="B282" s="46" t="s">
        <v>773</v>
      </c>
      <c r="C282" s="48"/>
      <c r="D282" s="49" t="s">
        <v>682</v>
      </c>
      <c r="E282" s="49">
        <v>50.5</v>
      </c>
      <c r="F282" s="49"/>
      <c r="G282" s="49"/>
    </row>
    <row r="283" spans="1:7" x14ac:dyDescent="0.3">
      <c r="A283" s="32"/>
      <c r="B283" s="46" t="s">
        <v>774</v>
      </c>
      <c r="C283" s="48"/>
      <c r="D283" s="49" t="s">
        <v>682</v>
      </c>
      <c r="E283" s="54">
        <v>15.1</v>
      </c>
      <c r="F283" s="54"/>
      <c r="G283" s="54"/>
    </row>
    <row r="284" spans="1:7" x14ac:dyDescent="0.3">
      <c r="A284" s="32"/>
      <c r="B284" s="46" t="s">
        <v>775</v>
      </c>
      <c r="C284" s="48"/>
      <c r="D284" s="49" t="s">
        <v>682</v>
      </c>
      <c r="E284" s="49">
        <v>8.1999999999999993</v>
      </c>
      <c r="F284" s="49"/>
      <c r="G284" s="49"/>
    </row>
    <row r="285" spans="1:7" x14ac:dyDescent="0.3">
      <c r="A285" s="32"/>
      <c r="B285" s="46" t="s">
        <v>776</v>
      </c>
      <c r="C285" s="48"/>
      <c r="D285" s="49" t="s">
        <v>682</v>
      </c>
      <c r="E285" s="49">
        <v>2.1</v>
      </c>
      <c r="F285" s="49"/>
      <c r="G285" s="49"/>
    </row>
    <row r="286" spans="1:7" x14ac:dyDescent="0.3">
      <c r="A286" s="32"/>
      <c r="B286" s="46" t="s">
        <v>777</v>
      </c>
      <c r="C286" s="48"/>
      <c r="D286" s="49" t="s">
        <v>682</v>
      </c>
      <c r="E286" s="49">
        <v>0.2</v>
      </c>
      <c r="F286" s="49"/>
      <c r="G286" s="49"/>
    </row>
    <row r="287" spans="1:7" x14ac:dyDescent="0.3">
      <c r="A287" s="32"/>
      <c r="B287" s="46" t="s">
        <v>778</v>
      </c>
      <c r="C287" s="48"/>
      <c r="D287" s="49" t="s">
        <v>10</v>
      </c>
      <c r="E287" s="49">
        <f>8.2+2.6</f>
        <v>10.799999999999999</v>
      </c>
      <c r="F287" s="49"/>
      <c r="G287" s="49"/>
    </row>
    <row r="288" spans="1:7" x14ac:dyDescent="0.3">
      <c r="A288" s="32"/>
      <c r="B288" s="46" t="s">
        <v>779</v>
      </c>
      <c r="C288" s="48"/>
      <c r="D288" s="49" t="s">
        <v>682</v>
      </c>
      <c r="E288" s="49">
        <v>166.9</v>
      </c>
      <c r="F288" s="49"/>
      <c r="G288" s="49"/>
    </row>
    <row r="289" spans="1:7" x14ac:dyDescent="0.3">
      <c r="A289" s="32"/>
      <c r="B289" s="46" t="s">
        <v>778</v>
      </c>
      <c r="C289" s="48"/>
      <c r="D289" s="49" t="s">
        <v>10</v>
      </c>
      <c r="E289" s="49">
        <v>157.19999999999999</v>
      </c>
      <c r="F289" s="49"/>
      <c r="G289" s="49"/>
    </row>
    <row r="290" spans="1:7" x14ac:dyDescent="0.3">
      <c r="A290" s="32"/>
      <c r="B290" s="46" t="s">
        <v>780</v>
      </c>
      <c r="C290" s="48"/>
      <c r="D290" s="49" t="s">
        <v>14</v>
      </c>
      <c r="E290" s="49">
        <v>15</v>
      </c>
      <c r="F290" s="49"/>
      <c r="G290" s="49"/>
    </row>
    <row r="291" spans="1:7" x14ac:dyDescent="0.3">
      <c r="A291" s="32"/>
      <c r="B291" s="46" t="s">
        <v>781</v>
      </c>
      <c r="C291" s="48"/>
      <c r="D291" s="49" t="s">
        <v>14</v>
      </c>
      <c r="E291" s="49">
        <v>24</v>
      </c>
      <c r="F291" s="49"/>
      <c r="G291" s="49"/>
    </row>
    <row r="292" spans="1:7" x14ac:dyDescent="0.3">
      <c r="A292" s="31"/>
      <c r="B292" s="41" t="s">
        <v>782</v>
      </c>
      <c r="C292" s="31"/>
      <c r="D292" s="42"/>
      <c r="E292" s="42"/>
      <c r="F292" s="42"/>
      <c r="G292" s="42"/>
    </row>
    <row r="293" spans="1:7" x14ac:dyDescent="0.3">
      <c r="A293" s="32"/>
      <c r="B293" s="46" t="s">
        <v>783</v>
      </c>
      <c r="C293" s="48"/>
      <c r="D293" s="49" t="s">
        <v>682</v>
      </c>
      <c r="E293" s="49">
        <v>390.02</v>
      </c>
      <c r="F293" s="49"/>
      <c r="G293" s="49"/>
    </row>
    <row r="294" spans="1:7" x14ac:dyDescent="0.3">
      <c r="A294" s="32"/>
      <c r="B294" s="55" t="s">
        <v>784</v>
      </c>
      <c r="C294" s="48"/>
      <c r="D294" s="49" t="s">
        <v>682</v>
      </c>
      <c r="E294" s="54">
        <f>265.97/2</f>
        <v>132.98500000000001</v>
      </c>
      <c r="F294" s="54"/>
      <c r="G294" s="54"/>
    </row>
    <row r="295" spans="1:7" x14ac:dyDescent="0.3">
      <c r="A295" s="32"/>
      <c r="B295" s="46" t="s">
        <v>785</v>
      </c>
      <c r="C295" s="48"/>
      <c r="D295" s="49" t="s">
        <v>682</v>
      </c>
      <c r="E295" s="54">
        <v>507.4</v>
      </c>
      <c r="F295" s="54"/>
      <c r="G295" s="54"/>
    </row>
    <row r="296" spans="1:7" x14ac:dyDescent="0.3">
      <c r="A296" s="32"/>
      <c r="B296" s="46" t="s">
        <v>786</v>
      </c>
      <c r="C296" s="48"/>
      <c r="D296" s="49" t="s">
        <v>682</v>
      </c>
      <c r="E296" s="54">
        <v>258.66000000000003</v>
      </c>
      <c r="F296" s="54"/>
      <c r="G296" s="54"/>
    </row>
    <row r="297" spans="1:7" x14ac:dyDescent="0.3">
      <c r="A297" s="32"/>
      <c r="B297" s="46" t="s">
        <v>754</v>
      </c>
      <c r="C297" s="48"/>
      <c r="D297" s="49" t="s">
        <v>682</v>
      </c>
      <c r="E297" s="54">
        <v>3.18</v>
      </c>
      <c r="F297" s="54"/>
      <c r="G297" s="54"/>
    </row>
    <row r="298" spans="1:7" x14ac:dyDescent="0.3">
      <c r="A298" s="32"/>
      <c r="B298" s="46" t="s">
        <v>787</v>
      </c>
      <c r="C298" s="48"/>
      <c r="D298" s="49" t="s">
        <v>682</v>
      </c>
      <c r="E298" s="49">
        <v>0.67</v>
      </c>
      <c r="F298" s="49"/>
      <c r="G298" s="49"/>
    </row>
    <row r="299" spans="1:7" x14ac:dyDescent="0.3">
      <c r="A299" s="32"/>
      <c r="B299" s="55" t="s">
        <v>788</v>
      </c>
      <c r="C299" s="48"/>
      <c r="D299" s="49" t="s">
        <v>682</v>
      </c>
      <c r="E299" s="54">
        <v>1.82</v>
      </c>
      <c r="F299" s="54"/>
      <c r="G299" s="54"/>
    </row>
    <row r="300" spans="1:7" x14ac:dyDescent="0.3">
      <c r="A300" s="32"/>
      <c r="B300" s="46" t="s">
        <v>789</v>
      </c>
      <c r="C300" s="48"/>
      <c r="D300" s="49" t="s">
        <v>682</v>
      </c>
      <c r="E300" s="54">
        <v>4.6900000000000004</v>
      </c>
      <c r="F300" s="54"/>
      <c r="G300" s="54"/>
    </row>
    <row r="301" spans="1:7" x14ac:dyDescent="0.3">
      <c r="A301" s="32"/>
      <c r="B301" s="46" t="s">
        <v>790</v>
      </c>
      <c r="C301" s="48"/>
      <c r="D301" s="49" t="s">
        <v>14</v>
      </c>
      <c r="E301" s="54">
        <v>213</v>
      </c>
      <c r="F301" s="54"/>
      <c r="G301" s="54"/>
    </row>
    <row r="302" spans="1:7" x14ac:dyDescent="0.3">
      <c r="A302" s="32"/>
      <c r="B302" s="46" t="s">
        <v>791</v>
      </c>
      <c r="C302" s="48"/>
      <c r="D302" s="49" t="s">
        <v>682</v>
      </c>
      <c r="E302" s="54">
        <v>1.69</v>
      </c>
      <c r="F302" s="54"/>
      <c r="G302" s="54"/>
    </row>
    <row r="303" spans="1:7" x14ac:dyDescent="0.3">
      <c r="A303" s="32"/>
      <c r="B303" s="46" t="s">
        <v>792</v>
      </c>
      <c r="C303" s="48"/>
      <c r="D303" s="49" t="s">
        <v>682</v>
      </c>
      <c r="E303" s="54">
        <v>113.5</v>
      </c>
      <c r="F303" s="54"/>
      <c r="G303" s="54"/>
    </row>
    <row r="304" spans="1:7" x14ac:dyDescent="0.3">
      <c r="A304" s="32"/>
      <c r="B304" s="46" t="s">
        <v>793</v>
      </c>
      <c r="C304" s="48"/>
      <c r="D304" s="49" t="s">
        <v>69</v>
      </c>
      <c r="E304" s="54">
        <v>34371</v>
      </c>
      <c r="F304" s="54"/>
      <c r="G304" s="54"/>
    </row>
    <row r="305" spans="1:7" x14ac:dyDescent="0.3">
      <c r="A305" s="31"/>
      <c r="B305" s="41" t="s">
        <v>794</v>
      </c>
      <c r="C305" s="31"/>
      <c r="D305" s="42"/>
      <c r="E305" s="42"/>
      <c r="F305" s="42"/>
      <c r="G305" s="42"/>
    </row>
    <row r="306" spans="1:7" ht="31.2" x14ac:dyDescent="0.3">
      <c r="A306" s="32"/>
      <c r="B306" s="46" t="s">
        <v>795</v>
      </c>
      <c r="C306" s="48"/>
      <c r="D306" s="49" t="s">
        <v>682</v>
      </c>
      <c r="E306" s="49">
        <v>50</v>
      </c>
      <c r="F306" s="49"/>
      <c r="G306" s="49"/>
    </row>
    <row r="307" spans="1:7" ht="31.2" x14ac:dyDescent="0.3">
      <c r="A307" s="32"/>
      <c r="B307" s="46" t="s">
        <v>796</v>
      </c>
      <c r="C307" s="48"/>
      <c r="D307" s="49" t="s">
        <v>682</v>
      </c>
      <c r="E307" s="54">
        <v>25</v>
      </c>
      <c r="F307" s="54"/>
      <c r="G307" s="54"/>
    </row>
    <row r="308" spans="1:7" x14ac:dyDescent="0.3">
      <c r="A308" s="32"/>
      <c r="B308" s="46" t="s">
        <v>797</v>
      </c>
      <c r="C308" s="48"/>
      <c r="D308" s="49" t="s">
        <v>10</v>
      </c>
      <c r="E308" s="54">
        <v>401</v>
      </c>
      <c r="F308" s="54"/>
      <c r="G308" s="54"/>
    </row>
    <row r="309" spans="1:7" ht="31.2" x14ac:dyDescent="0.3">
      <c r="A309" s="32"/>
      <c r="B309" s="46" t="s">
        <v>795</v>
      </c>
      <c r="C309" s="48"/>
      <c r="D309" s="49" t="s">
        <v>682</v>
      </c>
      <c r="E309" s="49">
        <f>40*2</f>
        <v>80</v>
      </c>
      <c r="F309" s="49"/>
      <c r="G309" s="49"/>
    </row>
    <row r="310" spans="1:7" ht="31.2" x14ac:dyDescent="0.3">
      <c r="A310" s="32"/>
      <c r="B310" s="46" t="s">
        <v>796</v>
      </c>
      <c r="C310" s="48"/>
      <c r="D310" s="49" t="s">
        <v>682</v>
      </c>
      <c r="E310" s="54">
        <f>15*2</f>
        <v>30</v>
      </c>
      <c r="F310" s="54"/>
      <c r="G310" s="54"/>
    </row>
    <row r="311" spans="1:7" x14ac:dyDescent="0.3">
      <c r="A311" s="32"/>
      <c r="B311" s="46" t="s">
        <v>797</v>
      </c>
      <c r="C311" s="48"/>
      <c r="D311" s="49" t="s">
        <v>10</v>
      </c>
      <c r="E311" s="54">
        <f>2*261</f>
        <v>522</v>
      </c>
      <c r="F311" s="54"/>
      <c r="G311" s="54"/>
    </row>
    <row r="312" spans="1:7" ht="31.2" x14ac:dyDescent="0.3">
      <c r="A312" s="52"/>
      <c r="B312" s="56" t="s">
        <v>799</v>
      </c>
      <c r="C312" s="52"/>
      <c r="D312" s="52"/>
      <c r="E312" s="53"/>
      <c r="F312" s="53"/>
      <c r="G312" s="53"/>
    </row>
    <row r="313" spans="1:7" x14ac:dyDescent="0.3">
      <c r="A313" s="31"/>
      <c r="B313" s="41" t="s">
        <v>800</v>
      </c>
      <c r="C313" s="31"/>
      <c r="D313" s="42"/>
      <c r="E313" s="42"/>
      <c r="F313" s="42"/>
      <c r="G313" s="42"/>
    </row>
    <row r="314" spans="1:7" x14ac:dyDescent="0.3">
      <c r="A314" s="48"/>
      <c r="B314" s="46" t="s">
        <v>801</v>
      </c>
      <c r="C314" s="48"/>
      <c r="D314" s="49" t="s">
        <v>682</v>
      </c>
      <c r="E314" s="49">
        <f>609.84+492.15+492.15</f>
        <v>1594.1399999999999</v>
      </c>
      <c r="F314" s="49"/>
      <c r="G314" s="49"/>
    </row>
    <row r="315" spans="1:7" x14ac:dyDescent="0.3">
      <c r="A315" s="48"/>
      <c r="B315" s="46" t="s">
        <v>802</v>
      </c>
      <c r="C315" s="48"/>
      <c r="D315" s="49" t="s">
        <v>682</v>
      </c>
      <c r="E315" s="54">
        <f>36*0.3508*3</f>
        <v>37.886400000000002</v>
      </c>
      <c r="F315" s="54"/>
      <c r="G315" s="54"/>
    </row>
    <row r="316" spans="1:7" x14ac:dyDescent="0.3">
      <c r="A316" s="48"/>
      <c r="B316" s="46" t="s">
        <v>803</v>
      </c>
      <c r="C316" s="48"/>
      <c r="D316" s="49" t="s">
        <v>682</v>
      </c>
      <c r="E316" s="54">
        <f>59*0.21161*3</f>
        <v>37.454970000000003</v>
      </c>
      <c r="F316" s="54"/>
      <c r="G316" s="54"/>
    </row>
    <row r="317" spans="1:7" x14ac:dyDescent="0.3">
      <c r="A317" s="48"/>
      <c r="B317" s="46" t="s">
        <v>804</v>
      </c>
      <c r="C317" s="48"/>
      <c r="D317" s="49" t="s">
        <v>682</v>
      </c>
      <c r="E317" s="54">
        <f>70.4*5*0.1646*3</f>
        <v>173.8176</v>
      </c>
      <c r="F317" s="54"/>
      <c r="G317" s="54"/>
    </row>
    <row r="318" spans="1:7" x14ac:dyDescent="0.3">
      <c r="A318" s="48"/>
      <c r="B318" s="46" t="s">
        <v>805</v>
      </c>
      <c r="C318" s="48"/>
      <c r="D318" s="49" t="s">
        <v>682</v>
      </c>
      <c r="E318" s="54">
        <f>23.73701*3</f>
        <v>71.211030000000008</v>
      </c>
      <c r="F318" s="54"/>
      <c r="G318" s="54"/>
    </row>
    <row r="319" spans="1:7" x14ac:dyDescent="0.3">
      <c r="A319" s="48"/>
      <c r="B319" s="46" t="s">
        <v>806</v>
      </c>
      <c r="C319" s="48"/>
      <c r="D319" s="49" t="s">
        <v>682</v>
      </c>
      <c r="E319" s="49">
        <v>2.5</v>
      </c>
      <c r="F319" s="49"/>
      <c r="G319" s="49"/>
    </row>
    <row r="320" spans="1:7" x14ac:dyDescent="0.3">
      <c r="A320" s="48"/>
      <c r="B320" s="46" t="s">
        <v>807</v>
      </c>
      <c r="C320" s="48"/>
      <c r="D320" s="49" t="s">
        <v>682</v>
      </c>
      <c r="E320" s="49">
        <v>1</v>
      </c>
      <c r="F320" s="49"/>
      <c r="G320" s="49"/>
    </row>
    <row r="321" spans="1:7" x14ac:dyDescent="0.3">
      <c r="A321" s="48"/>
      <c r="B321" s="46" t="s">
        <v>774</v>
      </c>
      <c r="C321" s="48"/>
      <c r="D321" s="49" t="s">
        <v>682</v>
      </c>
      <c r="E321" s="49">
        <v>4.5</v>
      </c>
      <c r="F321" s="49"/>
      <c r="G321" s="49"/>
    </row>
    <row r="322" spans="1:7" x14ac:dyDescent="0.3">
      <c r="A322" s="48"/>
      <c r="B322" s="46" t="s">
        <v>808</v>
      </c>
      <c r="C322" s="48"/>
      <c r="D322" s="49" t="s">
        <v>682</v>
      </c>
      <c r="E322" s="49">
        <v>1</v>
      </c>
      <c r="F322" s="49"/>
      <c r="G322" s="49"/>
    </row>
    <row r="323" spans="1:7" x14ac:dyDescent="0.3">
      <c r="A323" s="32"/>
      <c r="B323" s="44" t="s">
        <v>809</v>
      </c>
      <c r="C323" s="32"/>
      <c r="D323" s="45" t="s">
        <v>10</v>
      </c>
      <c r="E323" s="45">
        <f>8160+731+279+418</f>
        <v>9588</v>
      </c>
      <c r="F323" s="45"/>
      <c r="G323" s="45"/>
    </row>
    <row r="324" spans="1:7" x14ac:dyDescent="0.3">
      <c r="A324" s="31"/>
      <c r="B324" s="41" t="s">
        <v>810</v>
      </c>
      <c r="C324" s="31"/>
      <c r="D324" s="42"/>
      <c r="E324" s="42"/>
      <c r="F324" s="42"/>
      <c r="G324" s="42"/>
    </row>
    <row r="325" spans="1:7" x14ac:dyDescent="0.3">
      <c r="A325" s="32"/>
      <c r="B325" s="46" t="s">
        <v>811</v>
      </c>
      <c r="C325" s="48"/>
      <c r="D325" s="49" t="s">
        <v>8</v>
      </c>
      <c r="E325" s="49">
        <v>24.63</v>
      </c>
      <c r="F325" s="49"/>
      <c r="G325" s="49"/>
    </row>
    <row r="326" spans="1:7" x14ac:dyDescent="0.3">
      <c r="A326" s="32"/>
      <c r="B326" s="46" t="s">
        <v>812</v>
      </c>
      <c r="C326" s="48"/>
      <c r="D326" s="49" t="s">
        <v>8</v>
      </c>
      <c r="E326" s="49">
        <v>9.44</v>
      </c>
      <c r="F326" s="49"/>
      <c r="G326" s="49"/>
    </row>
    <row r="327" spans="1:7" x14ac:dyDescent="0.3">
      <c r="A327" s="32"/>
      <c r="B327" s="46" t="s">
        <v>813</v>
      </c>
      <c r="C327" s="48"/>
      <c r="D327" s="49" t="s">
        <v>8</v>
      </c>
      <c r="E327" s="49">
        <v>9.44</v>
      </c>
      <c r="F327" s="49"/>
      <c r="G327" s="49"/>
    </row>
    <row r="328" spans="1:7" x14ac:dyDescent="0.3">
      <c r="A328" s="32"/>
      <c r="B328" s="46" t="s">
        <v>814</v>
      </c>
      <c r="C328" s="48"/>
      <c r="D328" s="49" t="s">
        <v>72</v>
      </c>
      <c r="E328" s="49">
        <v>234</v>
      </c>
      <c r="F328" s="49"/>
      <c r="G328" s="49"/>
    </row>
    <row r="329" spans="1:7" x14ac:dyDescent="0.3">
      <c r="A329" s="32"/>
      <c r="B329" s="46" t="s">
        <v>815</v>
      </c>
      <c r="C329" s="48"/>
      <c r="D329" s="49" t="s">
        <v>14</v>
      </c>
      <c r="E329" s="49">
        <v>6</v>
      </c>
      <c r="F329" s="49"/>
      <c r="G329" s="49"/>
    </row>
    <row r="330" spans="1:7" x14ac:dyDescent="0.3">
      <c r="A330" s="32"/>
      <c r="B330" s="46" t="s">
        <v>816</v>
      </c>
      <c r="C330" s="48"/>
      <c r="D330" s="49" t="s">
        <v>8</v>
      </c>
      <c r="E330" s="49">
        <v>24.77</v>
      </c>
      <c r="F330" s="49"/>
      <c r="G330" s="49"/>
    </row>
    <row r="331" spans="1:7" x14ac:dyDescent="0.3">
      <c r="A331" s="32"/>
      <c r="B331" s="46" t="s">
        <v>812</v>
      </c>
      <c r="C331" s="48"/>
      <c r="D331" s="49"/>
      <c r="E331" s="49">
        <v>5.23</v>
      </c>
      <c r="F331" s="49"/>
      <c r="G331" s="49"/>
    </row>
    <row r="332" spans="1:7" x14ac:dyDescent="0.3">
      <c r="A332" s="32"/>
      <c r="B332" s="46" t="s">
        <v>813</v>
      </c>
      <c r="C332" s="48"/>
      <c r="D332" s="49" t="s">
        <v>8</v>
      </c>
      <c r="E332" s="49">
        <v>5.23</v>
      </c>
      <c r="F332" s="49"/>
      <c r="G332" s="49"/>
    </row>
    <row r="333" spans="1:7" x14ac:dyDescent="0.3">
      <c r="A333" s="32"/>
      <c r="B333" s="46" t="s">
        <v>814</v>
      </c>
      <c r="C333" s="48"/>
      <c r="D333" s="49" t="s">
        <v>72</v>
      </c>
      <c r="E333" s="49">
        <v>117</v>
      </c>
      <c r="F333" s="49"/>
      <c r="G333" s="49"/>
    </row>
    <row r="334" spans="1:7" x14ac:dyDescent="0.3">
      <c r="A334" s="28"/>
      <c r="B334" s="28" t="s">
        <v>817</v>
      </c>
      <c r="C334" s="28"/>
      <c r="D334" s="28"/>
      <c r="E334" s="30"/>
      <c r="F334" s="30"/>
      <c r="G334" s="30"/>
    </row>
    <row r="335" spans="1:7" x14ac:dyDescent="0.3">
      <c r="A335" s="31"/>
      <c r="B335" s="41" t="s">
        <v>818</v>
      </c>
      <c r="C335" s="31"/>
      <c r="D335" s="42"/>
      <c r="E335" s="42"/>
      <c r="F335" s="42"/>
      <c r="G335" s="42"/>
    </row>
    <row r="336" spans="1:7" x14ac:dyDescent="0.3">
      <c r="A336" s="32"/>
      <c r="B336" s="46" t="s">
        <v>819</v>
      </c>
      <c r="C336" s="48"/>
      <c r="D336" s="49" t="s">
        <v>682</v>
      </c>
      <c r="E336" s="49">
        <v>498.43</v>
      </c>
      <c r="F336" s="49"/>
      <c r="G336" s="49"/>
    </row>
    <row r="337" spans="1:7" x14ac:dyDescent="0.3">
      <c r="A337" s="32"/>
      <c r="B337" s="46" t="s">
        <v>820</v>
      </c>
      <c r="C337" s="48"/>
      <c r="D337" s="49" t="s">
        <v>682</v>
      </c>
      <c r="E337" s="54">
        <v>47.8</v>
      </c>
      <c r="F337" s="54"/>
      <c r="G337" s="54"/>
    </row>
    <row r="338" spans="1:7" x14ac:dyDescent="0.3">
      <c r="A338" s="32"/>
      <c r="B338" s="46" t="s">
        <v>821</v>
      </c>
      <c r="C338" s="48"/>
      <c r="D338" s="49" t="s">
        <v>682</v>
      </c>
      <c r="E338" s="54">
        <v>0.68</v>
      </c>
      <c r="F338" s="54"/>
      <c r="G338" s="54"/>
    </row>
    <row r="339" spans="1:7" x14ac:dyDescent="0.3">
      <c r="A339" s="32"/>
      <c r="B339" s="46" t="s">
        <v>822</v>
      </c>
      <c r="C339" s="48"/>
      <c r="D339" s="49" t="s">
        <v>682</v>
      </c>
      <c r="E339" s="54">
        <v>69.14</v>
      </c>
      <c r="F339" s="54"/>
      <c r="G339" s="54"/>
    </row>
    <row r="340" spans="1:7" x14ac:dyDescent="0.3">
      <c r="A340" s="32"/>
      <c r="B340" s="46" t="s">
        <v>805</v>
      </c>
      <c r="C340" s="48"/>
      <c r="D340" s="49" t="s">
        <v>682</v>
      </c>
      <c r="E340" s="54">
        <v>12</v>
      </c>
      <c r="F340" s="54"/>
      <c r="G340" s="54"/>
    </row>
    <row r="341" spans="1:7" x14ac:dyDescent="0.3">
      <c r="A341" s="32"/>
      <c r="B341" s="46" t="s">
        <v>823</v>
      </c>
      <c r="C341" s="48"/>
      <c r="D341" s="49" t="s">
        <v>682</v>
      </c>
      <c r="E341" s="54">
        <v>0.22</v>
      </c>
      <c r="F341" s="54"/>
      <c r="G341" s="54"/>
    </row>
    <row r="342" spans="1:7" x14ac:dyDescent="0.3">
      <c r="A342" s="32"/>
      <c r="B342" s="46" t="s">
        <v>824</v>
      </c>
      <c r="C342" s="48"/>
      <c r="D342" s="49" t="s">
        <v>682</v>
      </c>
      <c r="E342" s="49">
        <v>1.3</v>
      </c>
      <c r="F342" s="49"/>
      <c r="G342" s="49"/>
    </row>
    <row r="343" spans="1:7" x14ac:dyDescent="0.3">
      <c r="A343" s="32"/>
      <c r="B343" s="44" t="s">
        <v>825</v>
      </c>
      <c r="C343" s="32"/>
      <c r="D343" s="45" t="s">
        <v>10</v>
      </c>
      <c r="E343" s="45">
        <f>975.4*2</f>
        <v>1950.8</v>
      </c>
      <c r="F343" s="45"/>
      <c r="G343" s="45"/>
    </row>
    <row r="344" spans="1:7" x14ac:dyDescent="0.3">
      <c r="A344" s="31"/>
      <c r="B344" s="41" t="s">
        <v>810</v>
      </c>
      <c r="C344" s="31"/>
      <c r="D344" s="42"/>
      <c r="E344" s="42"/>
      <c r="F344" s="42"/>
      <c r="G344" s="42"/>
    </row>
    <row r="345" spans="1:7" x14ac:dyDescent="0.3">
      <c r="A345" s="32"/>
      <c r="B345" s="46" t="s">
        <v>826</v>
      </c>
      <c r="C345" s="48"/>
      <c r="D345" s="49" t="s">
        <v>8</v>
      </c>
      <c r="E345" s="49">
        <v>57.1</v>
      </c>
      <c r="F345" s="49"/>
      <c r="G345" s="49"/>
    </row>
    <row r="346" spans="1:7" x14ac:dyDescent="0.3">
      <c r="A346" s="32"/>
      <c r="B346" s="46" t="s">
        <v>827</v>
      </c>
      <c r="C346" s="48"/>
      <c r="D346" s="49" t="s">
        <v>8</v>
      </c>
      <c r="E346" s="49">
        <f>24.3-9.6</f>
        <v>14.700000000000001</v>
      </c>
      <c r="F346" s="49"/>
      <c r="G346" s="49"/>
    </row>
    <row r="347" spans="1:7" x14ac:dyDescent="0.3">
      <c r="A347" s="32"/>
      <c r="B347" s="46" t="s">
        <v>813</v>
      </c>
      <c r="C347" s="48"/>
      <c r="D347" s="49" t="s">
        <v>8</v>
      </c>
      <c r="E347" s="49">
        <v>9.6</v>
      </c>
      <c r="F347" s="49"/>
      <c r="G347" s="49"/>
    </row>
    <row r="348" spans="1:7" x14ac:dyDescent="0.3">
      <c r="A348" s="32"/>
      <c r="B348" s="46" t="s">
        <v>814</v>
      </c>
      <c r="C348" s="48"/>
      <c r="D348" s="49" t="s">
        <v>72</v>
      </c>
      <c r="E348" s="49">
        <v>819</v>
      </c>
      <c r="F348" s="49"/>
      <c r="G348" s="49"/>
    </row>
    <row r="349" spans="1:7" ht="31.2" x14ac:dyDescent="0.3">
      <c r="A349" s="28"/>
      <c r="B349" s="29" t="s">
        <v>828</v>
      </c>
      <c r="C349" s="28"/>
      <c r="D349" s="28"/>
      <c r="E349" s="30"/>
      <c r="F349" s="30"/>
      <c r="G349" s="30"/>
    </row>
    <row r="350" spans="1:7" x14ac:dyDescent="0.3">
      <c r="A350" s="31"/>
      <c r="B350" s="41" t="s">
        <v>829</v>
      </c>
      <c r="C350" s="31"/>
      <c r="D350" s="42"/>
      <c r="E350" s="57"/>
      <c r="F350" s="57"/>
      <c r="G350" s="57"/>
    </row>
    <row r="351" spans="1:7" x14ac:dyDescent="0.3">
      <c r="A351" s="32"/>
      <c r="B351" s="46" t="s">
        <v>830</v>
      </c>
      <c r="C351" s="48"/>
      <c r="D351" s="49" t="s">
        <v>14</v>
      </c>
      <c r="E351" s="54">
        <v>24</v>
      </c>
      <c r="F351" s="54"/>
      <c r="G351" s="54"/>
    </row>
    <row r="352" spans="1:7" x14ac:dyDescent="0.3">
      <c r="A352" s="32"/>
      <c r="B352" s="46" t="s">
        <v>831</v>
      </c>
      <c r="C352" s="48"/>
      <c r="D352" s="49" t="s">
        <v>14</v>
      </c>
      <c r="E352" s="54">
        <v>76</v>
      </c>
      <c r="F352" s="54"/>
      <c r="G352" s="54"/>
    </row>
    <row r="353" spans="1:7" x14ac:dyDescent="0.3">
      <c r="A353" s="32"/>
      <c r="B353" s="46" t="s">
        <v>832</v>
      </c>
      <c r="C353" s="48"/>
      <c r="D353" s="49" t="s">
        <v>682</v>
      </c>
      <c r="E353" s="49">
        <v>48.8</v>
      </c>
      <c r="F353" s="49"/>
      <c r="G353" s="49"/>
    </row>
    <row r="354" spans="1:7" x14ac:dyDescent="0.3">
      <c r="A354" s="32"/>
      <c r="B354" s="46" t="s">
        <v>833</v>
      </c>
      <c r="C354" s="48"/>
      <c r="D354" s="49" t="s">
        <v>682</v>
      </c>
      <c r="E354" s="54">
        <f>0.437</f>
        <v>0.437</v>
      </c>
      <c r="F354" s="54"/>
      <c r="G354" s="54"/>
    </row>
    <row r="355" spans="1:7" x14ac:dyDescent="0.3">
      <c r="A355" s="32"/>
      <c r="B355" s="46" t="s">
        <v>834</v>
      </c>
      <c r="C355" s="48"/>
      <c r="D355" s="49" t="s">
        <v>10</v>
      </c>
      <c r="E355" s="54">
        <v>50.9</v>
      </c>
      <c r="F355" s="54"/>
      <c r="G355" s="54"/>
    </row>
    <row r="356" spans="1:7" x14ac:dyDescent="0.3">
      <c r="A356" s="32"/>
      <c r="B356" s="46" t="s">
        <v>835</v>
      </c>
      <c r="C356" s="48"/>
      <c r="D356" s="49" t="s">
        <v>69</v>
      </c>
      <c r="E356" s="54">
        <v>1247</v>
      </c>
      <c r="F356" s="54"/>
      <c r="G356" s="54"/>
    </row>
    <row r="357" spans="1:7" x14ac:dyDescent="0.3">
      <c r="A357" s="32"/>
      <c r="B357" s="46" t="s">
        <v>836</v>
      </c>
      <c r="C357" s="48"/>
      <c r="D357" s="49" t="s">
        <v>69</v>
      </c>
      <c r="E357" s="54">
        <v>1247</v>
      </c>
      <c r="F357" s="54"/>
      <c r="G357" s="54"/>
    </row>
    <row r="358" spans="1:7" x14ac:dyDescent="0.3">
      <c r="A358" s="31"/>
      <c r="B358" s="41" t="s">
        <v>837</v>
      </c>
      <c r="C358" s="31"/>
      <c r="D358" s="42"/>
      <c r="E358" s="42"/>
      <c r="F358" s="42"/>
      <c r="G358" s="42"/>
    </row>
    <row r="359" spans="1:7" ht="31.2" x14ac:dyDescent="0.3">
      <c r="A359" s="32"/>
      <c r="B359" s="46" t="s">
        <v>838</v>
      </c>
      <c r="C359" s="48"/>
      <c r="D359" s="49" t="s">
        <v>682</v>
      </c>
      <c r="E359" s="49">
        <v>11.7</v>
      </c>
      <c r="F359" s="49"/>
      <c r="G359" s="49"/>
    </row>
    <row r="360" spans="1:7" x14ac:dyDescent="0.3">
      <c r="A360" s="32"/>
      <c r="B360" s="46" t="s">
        <v>839</v>
      </c>
      <c r="C360" s="48"/>
      <c r="D360" s="49" t="s">
        <v>682</v>
      </c>
      <c r="E360" s="49">
        <f>0.042*3</f>
        <v>0.126</v>
      </c>
      <c r="F360" s="49"/>
      <c r="G360" s="49"/>
    </row>
    <row r="361" spans="1:7" x14ac:dyDescent="0.3">
      <c r="A361" s="32"/>
      <c r="B361" s="46" t="s">
        <v>840</v>
      </c>
      <c r="C361" s="48"/>
      <c r="D361" s="49" t="s">
        <v>682</v>
      </c>
      <c r="E361" s="49">
        <v>0.13800000000000001</v>
      </c>
      <c r="F361" s="49"/>
      <c r="G361" s="49"/>
    </row>
    <row r="362" spans="1:7" x14ac:dyDescent="0.3">
      <c r="A362" s="32"/>
      <c r="B362" s="46" t="s">
        <v>836</v>
      </c>
      <c r="C362" s="48"/>
      <c r="D362" s="49" t="s">
        <v>69</v>
      </c>
      <c r="E362" s="49">
        <v>498</v>
      </c>
      <c r="F362" s="49"/>
      <c r="G362" s="49"/>
    </row>
    <row r="363" spans="1:7" x14ac:dyDescent="0.3">
      <c r="A363" s="31"/>
      <c r="B363" s="41" t="s">
        <v>841</v>
      </c>
      <c r="C363" s="31"/>
      <c r="D363" s="42"/>
      <c r="E363" s="42"/>
      <c r="F363" s="42"/>
      <c r="G363" s="42"/>
    </row>
    <row r="364" spans="1:7" x14ac:dyDescent="0.3">
      <c r="A364" s="32"/>
      <c r="B364" s="46" t="s">
        <v>842</v>
      </c>
      <c r="C364" s="48"/>
      <c r="D364" s="49" t="s">
        <v>10</v>
      </c>
      <c r="E364" s="49">
        <v>95.1</v>
      </c>
      <c r="F364" s="49"/>
      <c r="G364" s="49"/>
    </row>
    <row r="365" spans="1:7" x14ac:dyDescent="0.3">
      <c r="A365" s="32"/>
      <c r="B365" s="46" t="s">
        <v>843</v>
      </c>
      <c r="C365" s="48"/>
      <c r="D365" s="49" t="s">
        <v>14</v>
      </c>
      <c r="E365" s="49">
        <v>48</v>
      </c>
      <c r="F365" s="49"/>
      <c r="G365" s="49"/>
    </row>
    <row r="366" spans="1:7" x14ac:dyDescent="0.3">
      <c r="A366" s="32"/>
      <c r="B366" s="46" t="s">
        <v>844</v>
      </c>
      <c r="C366" s="48"/>
      <c r="D366" s="49" t="s">
        <v>10</v>
      </c>
      <c r="E366" s="49">
        <v>0.9</v>
      </c>
      <c r="F366" s="49"/>
      <c r="G366" s="49"/>
    </row>
    <row r="367" spans="1:7" x14ac:dyDescent="0.3">
      <c r="A367" s="32"/>
      <c r="B367" s="46" t="s">
        <v>845</v>
      </c>
      <c r="C367" s="48"/>
      <c r="D367" s="49" t="s">
        <v>682</v>
      </c>
      <c r="E367" s="49">
        <v>292.5</v>
      </c>
      <c r="F367" s="49"/>
      <c r="G367" s="49"/>
    </row>
    <row r="368" spans="1:7" x14ac:dyDescent="0.3">
      <c r="A368" s="32"/>
      <c r="B368" s="46" t="s">
        <v>846</v>
      </c>
      <c r="C368" s="48"/>
      <c r="D368" s="49" t="s">
        <v>682</v>
      </c>
      <c r="E368" s="49">
        <v>13.62</v>
      </c>
      <c r="F368" s="49"/>
      <c r="G368" s="49"/>
    </row>
    <row r="369" spans="1:7" x14ac:dyDescent="0.3">
      <c r="A369" s="32"/>
      <c r="B369" s="46" t="s">
        <v>834</v>
      </c>
      <c r="C369" s="48"/>
      <c r="D369" s="49" t="s">
        <v>10</v>
      </c>
      <c r="E369" s="49">
        <v>119.1</v>
      </c>
      <c r="F369" s="49"/>
      <c r="G369" s="49"/>
    </row>
    <row r="370" spans="1:7" x14ac:dyDescent="0.3">
      <c r="A370" s="32"/>
      <c r="B370" s="46" t="s">
        <v>847</v>
      </c>
      <c r="C370" s="48"/>
      <c r="D370" s="49" t="s">
        <v>10</v>
      </c>
      <c r="E370" s="49">
        <f>0.6+0.5</f>
        <v>1.1000000000000001</v>
      </c>
      <c r="F370" s="49"/>
      <c r="G370" s="49"/>
    </row>
    <row r="371" spans="1:7" ht="31.2" x14ac:dyDescent="0.3">
      <c r="A371" s="28"/>
      <c r="B371" s="29" t="s">
        <v>848</v>
      </c>
      <c r="C371" s="28"/>
      <c r="D371" s="28"/>
      <c r="E371" s="30"/>
      <c r="F371" s="30"/>
      <c r="G371" s="30"/>
    </row>
    <row r="372" spans="1:7" ht="31.2" x14ac:dyDescent="0.3">
      <c r="A372" s="31"/>
      <c r="B372" s="41" t="s">
        <v>849</v>
      </c>
      <c r="C372" s="31"/>
      <c r="D372" s="42"/>
      <c r="E372" s="57"/>
      <c r="F372" s="57"/>
      <c r="G372" s="57"/>
    </row>
    <row r="373" spans="1:7" x14ac:dyDescent="0.3">
      <c r="A373" s="32"/>
      <c r="B373" s="46" t="s">
        <v>850</v>
      </c>
      <c r="C373" s="48"/>
      <c r="D373" s="49" t="s">
        <v>682</v>
      </c>
      <c r="E373" s="49">
        <v>7.6</v>
      </c>
      <c r="F373" s="49"/>
      <c r="G373" s="49"/>
    </row>
    <row r="374" spans="1:7" x14ac:dyDescent="0.3">
      <c r="A374" s="32"/>
      <c r="B374" s="46" t="s">
        <v>851</v>
      </c>
      <c r="C374" s="48"/>
      <c r="D374" s="49" t="s">
        <v>682</v>
      </c>
      <c r="E374" s="49">
        <v>8.9700000000000006</v>
      </c>
      <c r="F374" s="49"/>
      <c r="G374" s="49"/>
    </row>
    <row r="375" spans="1:7" x14ac:dyDescent="0.3">
      <c r="A375" s="32"/>
      <c r="B375" s="46" t="s">
        <v>852</v>
      </c>
      <c r="C375" s="48"/>
      <c r="D375" s="49" t="s">
        <v>682</v>
      </c>
      <c r="E375" s="49">
        <v>2.6</v>
      </c>
      <c r="F375" s="49"/>
      <c r="G375" s="49"/>
    </row>
    <row r="376" spans="1:7" x14ac:dyDescent="0.3">
      <c r="A376" s="32"/>
      <c r="B376" s="46" t="s">
        <v>853</v>
      </c>
      <c r="C376" s="48"/>
      <c r="D376" s="49" t="s">
        <v>682</v>
      </c>
      <c r="E376" s="49">
        <v>0.21</v>
      </c>
      <c r="F376" s="49"/>
      <c r="G376" s="49"/>
    </row>
    <row r="377" spans="1:7" x14ac:dyDescent="0.3">
      <c r="A377" s="32"/>
      <c r="B377" s="46" t="s">
        <v>854</v>
      </c>
      <c r="C377" s="48"/>
      <c r="D377" s="49" t="s">
        <v>72</v>
      </c>
      <c r="E377" s="49">
        <v>240</v>
      </c>
      <c r="F377" s="49"/>
      <c r="G377" s="49"/>
    </row>
    <row r="378" spans="1:7" x14ac:dyDescent="0.3">
      <c r="A378" s="32"/>
      <c r="B378" s="46" t="s">
        <v>834</v>
      </c>
      <c r="C378" s="48"/>
      <c r="D378" s="49" t="s">
        <v>10</v>
      </c>
      <c r="E378" s="54">
        <v>19</v>
      </c>
      <c r="F378" s="54"/>
      <c r="G378" s="54"/>
    </row>
    <row r="379" spans="1:7" x14ac:dyDescent="0.3">
      <c r="A379" s="32"/>
      <c r="B379" s="46" t="s">
        <v>835</v>
      </c>
      <c r="C379" s="48"/>
      <c r="D379" s="49" t="s">
        <v>69</v>
      </c>
      <c r="E379" s="54">
        <v>402</v>
      </c>
      <c r="F379" s="54"/>
      <c r="G379" s="54"/>
    </row>
    <row r="380" spans="1:7" x14ac:dyDescent="0.3">
      <c r="A380" s="32"/>
      <c r="B380" s="46" t="s">
        <v>836</v>
      </c>
      <c r="C380" s="48"/>
      <c r="D380" s="49" t="s">
        <v>69</v>
      </c>
      <c r="E380" s="54">
        <v>500</v>
      </c>
      <c r="F380" s="54"/>
      <c r="G380" s="54"/>
    </row>
    <row r="381" spans="1:7" x14ac:dyDescent="0.3">
      <c r="A381" s="31"/>
      <c r="B381" s="41" t="s">
        <v>855</v>
      </c>
      <c r="C381" s="31"/>
      <c r="D381" s="42"/>
      <c r="E381" s="42"/>
      <c r="F381" s="42"/>
      <c r="G381" s="42"/>
    </row>
    <row r="382" spans="1:7" x14ac:dyDescent="0.3">
      <c r="A382" s="32"/>
      <c r="B382" s="46" t="s">
        <v>842</v>
      </c>
      <c r="C382" s="48"/>
      <c r="D382" s="49" t="s">
        <v>10</v>
      </c>
      <c r="E382" s="49">
        <v>33.39</v>
      </c>
      <c r="F382" s="49"/>
      <c r="G382" s="49"/>
    </row>
    <row r="383" spans="1:7" x14ac:dyDescent="0.3">
      <c r="A383" s="32"/>
      <c r="B383" s="46" t="s">
        <v>843</v>
      </c>
      <c r="C383" s="48"/>
      <c r="D383" s="49" t="s">
        <v>14</v>
      </c>
      <c r="E383" s="49">
        <v>16</v>
      </c>
      <c r="F383" s="49"/>
      <c r="G383" s="49"/>
    </row>
    <row r="384" spans="1:7" x14ac:dyDescent="0.3">
      <c r="A384" s="32"/>
      <c r="B384" s="46" t="s">
        <v>844</v>
      </c>
      <c r="C384" s="48"/>
      <c r="D384" s="49" t="s">
        <v>10</v>
      </c>
      <c r="E384" s="49">
        <v>4.4000000000000004</v>
      </c>
      <c r="F384" s="49"/>
      <c r="G384" s="49"/>
    </row>
    <row r="385" spans="1:7" x14ac:dyDescent="0.3">
      <c r="A385" s="32"/>
      <c r="B385" s="46" t="s">
        <v>845</v>
      </c>
      <c r="C385" s="48"/>
      <c r="D385" s="49" t="s">
        <v>682</v>
      </c>
      <c r="E385" s="49">
        <v>106.69</v>
      </c>
      <c r="F385" s="49"/>
      <c r="G385" s="49"/>
    </row>
    <row r="386" spans="1:7" x14ac:dyDescent="0.3">
      <c r="A386" s="32"/>
      <c r="B386" s="46" t="s">
        <v>856</v>
      </c>
      <c r="C386" s="48"/>
      <c r="D386" s="49" t="s">
        <v>682</v>
      </c>
      <c r="E386" s="49">
        <v>4.54</v>
      </c>
      <c r="F386" s="49"/>
      <c r="G386" s="49"/>
    </row>
    <row r="387" spans="1:7" x14ac:dyDescent="0.3">
      <c r="A387" s="32"/>
      <c r="B387" s="46" t="s">
        <v>834</v>
      </c>
      <c r="C387" s="48"/>
      <c r="D387" s="49" t="s">
        <v>10</v>
      </c>
      <c r="E387" s="49">
        <v>88.3</v>
      </c>
      <c r="F387" s="49"/>
      <c r="G387" s="49"/>
    </row>
    <row r="388" spans="1:7" x14ac:dyDescent="0.3">
      <c r="A388" s="32"/>
      <c r="B388" s="46" t="s">
        <v>857</v>
      </c>
      <c r="C388" s="48"/>
      <c r="D388" s="49" t="s">
        <v>69</v>
      </c>
      <c r="E388" s="49">
        <v>1354</v>
      </c>
      <c r="F388" s="49"/>
      <c r="G388" s="49"/>
    </row>
    <row r="389" spans="1:7" ht="31.2" x14ac:dyDescent="0.3">
      <c r="A389" s="32"/>
      <c r="B389" s="46" t="s">
        <v>858</v>
      </c>
      <c r="C389" s="48"/>
      <c r="D389" s="49" t="s">
        <v>682</v>
      </c>
      <c r="E389" s="49">
        <f>3.8*2</f>
        <v>7.6</v>
      </c>
      <c r="F389" s="49"/>
      <c r="G389" s="49"/>
    </row>
    <row r="390" spans="1:7" x14ac:dyDescent="0.3">
      <c r="A390" s="31"/>
      <c r="B390" s="41" t="s">
        <v>859</v>
      </c>
      <c r="C390" s="31"/>
      <c r="D390" s="42"/>
      <c r="E390" s="42"/>
      <c r="F390" s="42"/>
      <c r="G390" s="42"/>
    </row>
    <row r="391" spans="1:7" x14ac:dyDescent="0.3">
      <c r="A391" s="32"/>
      <c r="B391" s="46" t="s">
        <v>860</v>
      </c>
      <c r="C391" s="48"/>
      <c r="D391" s="49" t="s">
        <v>682</v>
      </c>
      <c r="E391" s="49">
        <v>24.2</v>
      </c>
      <c r="F391" s="49"/>
      <c r="G391" s="49"/>
    </row>
    <row r="392" spans="1:7" x14ac:dyDescent="0.3">
      <c r="A392" s="32"/>
      <c r="B392" s="46" t="s">
        <v>861</v>
      </c>
      <c r="C392" s="48"/>
      <c r="D392" s="49" t="s">
        <v>682</v>
      </c>
      <c r="E392" s="49">
        <v>119.8</v>
      </c>
      <c r="F392" s="49"/>
      <c r="G392" s="49"/>
    </row>
    <row r="393" spans="1:7" x14ac:dyDescent="0.3">
      <c r="A393" s="32"/>
      <c r="B393" s="46" t="s">
        <v>862</v>
      </c>
      <c r="C393" s="48"/>
      <c r="D393" s="49" t="s">
        <v>69</v>
      </c>
      <c r="E393" s="49">
        <v>5101</v>
      </c>
      <c r="F393" s="49"/>
      <c r="G393" s="49"/>
    </row>
    <row r="394" spans="1:7" x14ac:dyDescent="0.3">
      <c r="A394" s="32"/>
      <c r="B394" s="46" t="s">
        <v>863</v>
      </c>
      <c r="C394" s="48"/>
      <c r="D394" s="49" t="s">
        <v>682</v>
      </c>
      <c r="E394" s="49">
        <v>147.5</v>
      </c>
      <c r="F394" s="49"/>
      <c r="G394" s="49"/>
    </row>
    <row r="395" spans="1:7" x14ac:dyDescent="0.3">
      <c r="A395" s="32"/>
      <c r="B395" s="46" t="s">
        <v>864</v>
      </c>
      <c r="C395" s="48"/>
      <c r="D395" s="49"/>
      <c r="E395" s="49"/>
      <c r="F395" s="49"/>
      <c r="G395" s="49"/>
    </row>
    <row r="396" spans="1:7" x14ac:dyDescent="0.3">
      <c r="A396" s="32"/>
      <c r="B396" s="46" t="s">
        <v>865</v>
      </c>
      <c r="C396" s="48"/>
      <c r="D396" s="49" t="s">
        <v>682</v>
      </c>
      <c r="E396" s="49">
        <v>85.4</v>
      </c>
      <c r="F396" s="49"/>
      <c r="G396" s="49"/>
    </row>
    <row r="397" spans="1:7" x14ac:dyDescent="0.3">
      <c r="A397" s="32"/>
      <c r="B397" s="46" t="s">
        <v>866</v>
      </c>
      <c r="C397" s="48"/>
      <c r="D397" s="49" t="s">
        <v>682</v>
      </c>
      <c r="E397" s="49">
        <v>13</v>
      </c>
      <c r="F397" s="49"/>
      <c r="G397" s="49"/>
    </row>
    <row r="398" spans="1:7" x14ac:dyDescent="0.3">
      <c r="A398" s="32"/>
      <c r="B398" s="46" t="s">
        <v>867</v>
      </c>
      <c r="C398" s="48"/>
      <c r="D398" s="49" t="s">
        <v>682</v>
      </c>
      <c r="E398" s="49">
        <v>4.4000000000000004</v>
      </c>
      <c r="F398" s="49"/>
      <c r="G398" s="49"/>
    </row>
    <row r="399" spans="1:7" x14ac:dyDescent="0.3">
      <c r="A399" s="32"/>
      <c r="B399" s="46" t="s">
        <v>868</v>
      </c>
      <c r="C399" s="48"/>
      <c r="D399" s="49" t="s">
        <v>682</v>
      </c>
      <c r="E399" s="49">
        <v>17</v>
      </c>
      <c r="F399" s="49"/>
      <c r="G399" s="49"/>
    </row>
    <row r="400" spans="1:7" x14ac:dyDescent="0.3">
      <c r="A400" s="32"/>
      <c r="B400" s="46" t="s">
        <v>869</v>
      </c>
      <c r="C400" s="48"/>
      <c r="D400" s="49" t="s">
        <v>682</v>
      </c>
      <c r="E400" s="49">
        <v>7</v>
      </c>
      <c r="F400" s="49"/>
      <c r="G400" s="49"/>
    </row>
    <row r="401" spans="1:7" x14ac:dyDescent="0.3">
      <c r="A401" s="32"/>
      <c r="B401" s="46" t="s">
        <v>870</v>
      </c>
      <c r="C401" s="48"/>
      <c r="D401" s="49" t="s">
        <v>682</v>
      </c>
      <c r="E401" s="49">
        <v>1.4</v>
      </c>
      <c r="F401" s="49"/>
      <c r="G401" s="49"/>
    </row>
    <row r="402" spans="1:7" x14ac:dyDescent="0.3">
      <c r="A402" s="32"/>
      <c r="B402" s="46" t="s">
        <v>871</v>
      </c>
      <c r="C402" s="48"/>
      <c r="D402" s="49" t="s">
        <v>682</v>
      </c>
      <c r="E402" s="49">
        <f>0.015+0.09</f>
        <v>0.105</v>
      </c>
      <c r="F402" s="49"/>
      <c r="G402" s="49"/>
    </row>
    <row r="403" spans="1:7" x14ac:dyDescent="0.3">
      <c r="A403" s="32"/>
      <c r="B403" s="46" t="s">
        <v>872</v>
      </c>
      <c r="C403" s="48"/>
      <c r="D403" s="49" t="s">
        <v>10</v>
      </c>
      <c r="E403" s="49">
        <v>0.8</v>
      </c>
      <c r="F403" s="49"/>
      <c r="G403" s="49"/>
    </row>
    <row r="404" spans="1:7" x14ac:dyDescent="0.3">
      <c r="A404" s="32"/>
      <c r="B404" s="46" t="s">
        <v>873</v>
      </c>
      <c r="C404" s="48"/>
      <c r="D404" s="49"/>
      <c r="E404" s="49"/>
      <c r="F404" s="49"/>
      <c r="G404" s="49"/>
    </row>
    <row r="405" spans="1:7" x14ac:dyDescent="0.3">
      <c r="A405" s="32"/>
      <c r="B405" s="46" t="s">
        <v>874</v>
      </c>
      <c r="C405" s="48"/>
      <c r="D405" s="49" t="s">
        <v>682</v>
      </c>
      <c r="E405" s="49">
        <v>11.3</v>
      </c>
      <c r="F405" s="49"/>
      <c r="G405" s="49"/>
    </row>
    <row r="406" spans="1:7" x14ac:dyDescent="0.3">
      <c r="A406" s="32"/>
      <c r="B406" s="46" t="s">
        <v>875</v>
      </c>
      <c r="C406" s="48"/>
      <c r="D406" s="49" t="s">
        <v>682</v>
      </c>
      <c r="E406" s="49">
        <v>5.0999999999999996</v>
      </c>
      <c r="F406" s="49"/>
      <c r="G406" s="49"/>
    </row>
    <row r="407" spans="1:7" x14ac:dyDescent="0.3">
      <c r="A407" s="32"/>
      <c r="B407" s="46" t="s">
        <v>876</v>
      </c>
      <c r="C407" s="48"/>
      <c r="D407" s="49" t="s">
        <v>682</v>
      </c>
      <c r="E407" s="49">
        <v>2.8</v>
      </c>
      <c r="F407" s="49"/>
      <c r="G407" s="49"/>
    </row>
    <row r="408" spans="1:7" x14ac:dyDescent="0.3">
      <c r="A408" s="32"/>
      <c r="B408" s="46" t="s">
        <v>877</v>
      </c>
      <c r="C408" s="48"/>
      <c r="D408" s="49" t="s">
        <v>682</v>
      </c>
      <c r="E408" s="49">
        <v>2</v>
      </c>
      <c r="F408" s="49"/>
      <c r="G408" s="49"/>
    </row>
    <row r="409" spans="1:7" x14ac:dyDescent="0.3">
      <c r="A409" s="32"/>
      <c r="B409" s="46" t="s">
        <v>878</v>
      </c>
      <c r="C409" s="48"/>
      <c r="D409" s="49" t="s">
        <v>682</v>
      </c>
      <c r="E409" s="49">
        <v>0.2</v>
      </c>
      <c r="F409" s="49"/>
      <c r="G409" s="49"/>
    </row>
    <row r="410" spans="1:7" x14ac:dyDescent="0.3">
      <c r="A410" s="32"/>
      <c r="B410" s="46" t="s">
        <v>879</v>
      </c>
      <c r="C410" s="48"/>
      <c r="D410" s="49" t="s">
        <v>682</v>
      </c>
      <c r="E410" s="49">
        <f>0.005+0.025</f>
        <v>3.0000000000000002E-2</v>
      </c>
      <c r="F410" s="49"/>
      <c r="G410" s="49"/>
    </row>
    <row r="411" spans="1:7" x14ac:dyDescent="0.3">
      <c r="A411" s="32"/>
      <c r="B411" s="46" t="s">
        <v>872</v>
      </c>
      <c r="C411" s="48"/>
      <c r="D411" s="49" t="s">
        <v>10</v>
      </c>
      <c r="E411" s="49">
        <v>0.2</v>
      </c>
      <c r="F411" s="49"/>
      <c r="G411" s="49"/>
    </row>
    <row r="412" spans="1:7" x14ac:dyDescent="0.3">
      <c r="A412" s="32"/>
      <c r="B412" s="46" t="s">
        <v>880</v>
      </c>
      <c r="C412" s="48"/>
      <c r="D412" s="49"/>
      <c r="E412" s="49"/>
      <c r="F412" s="49"/>
      <c r="G412" s="49"/>
    </row>
    <row r="413" spans="1:7" x14ac:dyDescent="0.3">
      <c r="A413" s="32"/>
      <c r="B413" s="46" t="s">
        <v>881</v>
      </c>
      <c r="C413" s="48"/>
      <c r="D413" s="49" t="s">
        <v>682</v>
      </c>
      <c r="E413" s="49">
        <v>30</v>
      </c>
      <c r="F413" s="49"/>
      <c r="G413" s="49"/>
    </row>
    <row r="414" spans="1:7" x14ac:dyDescent="0.3">
      <c r="A414" s="32"/>
      <c r="B414" s="46" t="s">
        <v>882</v>
      </c>
      <c r="C414" s="48"/>
      <c r="D414" s="49" t="s">
        <v>682</v>
      </c>
      <c r="E414" s="49">
        <v>17</v>
      </c>
      <c r="F414" s="49"/>
      <c r="G414" s="49"/>
    </row>
    <row r="415" spans="1:7" x14ac:dyDescent="0.3">
      <c r="A415" s="32"/>
      <c r="B415" s="46" t="s">
        <v>883</v>
      </c>
      <c r="C415" s="48"/>
      <c r="D415" s="49" t="s">
        <v>682</v>
      </c>
      <c r="E415" s="49">
        <v>4.7</v>
      </c>
      <c r="F415" s="49"/>
      <c r="G415" s="49"/>
    </row>
    <row r="416" spans="1:7" x14ac:dyDescent="0.3">
      <c r="A416" s="32"/>
      <c r="B416" s="46" t="s">
        <v>875</v>
      </c>
      <c r="C416" s="48"/>
      <c r="D416" s="49" t="s">
        <v>682</v>
      </c>
      <c r="E416" s="49">
        <v>63.4</v>
      </c>
      <c r="F416" s="49"/>
      <c r="G416" s="49"/>
    </row>
    <row r="417" spans="1:7" x14ac:dyDescent="0.3">
      <c r="A417" s="32"/>
      <c r="B417" s="46" t="s">
        <v>884</v>
      </c>
      <c r="C417" s="48"/>
      <c r="D417" s="49" t="s">
        <v>682</v>
      </c>
      <c r="E417" s="49">
        <v>39.799999999999997</v>
      </c>
      <c r="F417" s="49"/>
      <c r="G417" s="49"/>
    </row>
    <row r="418" spans="1:7" x14ac:dyDescent="0.3">
      <c r="A418" s="32"/>
      <c r="B418" s="46" t="s">
        <v>885</v>
      </c>
      <c r="C418" s="48"/>
      <c r="D418" s="49" t="s">
        <v>682</v>
      </c>
      <c r="E418" s="49">
        <v>6.3</v>
      </c>
      <c r="F418" s="49"/>
      <c r="G418" s="49"/>
    </row>
    <row r="419" spans="1:7" x14ac:dyDescent="0.3">
      <c r="A419" s="32"/>
      <c r="B419" s="46" t="s">
        <v>886</v>
      </c>
      <c r="C419" s="48"/>
      <c r="D419" s="49" t="s">
        <v>682</v>
      </c>
      <c r="E419" s="49">
        <v>6.6</v>
      </c>
      <c r="F419" s="49"/>
      <c r="G419" s="49"/>
    </row>
    <row r="420" spans="1:7" x14ac:dyDescent="0.3">
      <c r="A420" s="32"/>
      <c r="B420" s="46" t="s">
        <v>887</v>
      </c>
      <c r="C420" s="48"/>
      <c r="D420" s="49" t="s">
        <v>682</v>
      </c>
      <c r="E420" s="49">
        <v>3.3</v>
      </c>
      <c r="F420" s="49"/>
      <c r="G420" s="49"/>
    </row>
    <row r="421" spans="1:7" ht="31.2" x14ac:dyDescent="0.3">
      <c r="A421" s="32"/>
      <c r="B421" s="46" t="s">
        <v>888</v>
      </c>
      <c r="C421" s="48"/>
      <c r="D421" s="49"/>
      <c r="E421" s="49"/>
      <c r="F421" s="49"/>
      <c r="G421" s="49"/>
    </row>
    <row r="422" spans="1:7" ht="31.2" x14ac:dyDescent="0.3">
      <c r="A422" s="32"/>
      <c r="B422" s="46" t="s">
        <v>915</v>
      </c>
      <c r="C422" s="48"/>
      <c r="D422" s="49" t="s">
        <v>682</v>
      </c>
      <c r="E422" s="49">
        <v>5.2</v>
      </c>
      <c r="F422" s="49"/>
      <c r="G422" s="49"/>
    </row>
    <row r="423" spans="1:7" ht="31.2" x14ac:dyDescent="0.3">
      <c r="A423" s="32"/>
      <c r="B423" s="46" t="s">
        <v>889</v>
      </c>
      <c r="C423" s="48"/>
      <c r="D423" s="49"/>
      <c r="E423" s="49"/>
      <c r="F423" s="49"/>
      <c r="G423" s="49"/>
    </row>
    <row r="424" spans="1:7" x14ac:dyDescent="0.3">
      <c r="A424" s="32"/>
      <c r="B424" s="46" t="s">
        <v>890</v>
      </c>
      <c r="C424" s="48"/>
      <c r="D424" s="49" t="s">
        <v>682</v>
      </c>
      <c r="E424" s="49">
        <v>86.3</v>
      </c>
      <c r="F424" s="49"/>
      <c r="G424" s="49"/>
    </row>
    <row r="425" spans="1:7" x14ac:dyDescent="0.3">
      <c r="A425" s="32"/>
      <c r="B425" s="46" t="s">
        <v>891</v>
      </c>
      <c r="C425" s="48"/>
      <c r="D425" s="49" t="s">
        <v>682</v>
      </c>
      <c r="E425" s="49">
        <v>9.5</v>
      </c>
      <c r="F425" s="49"/>
      <c r="G425" s="49"/>
    </row>
    <row r="426" spans="1:7" x14ac:dyDescent="0.3">
      <c r="A426" s="32"/>
      <c r="B426" s="46" t="s">
        <v>892</v>
      </c>
      <c r="C426" s="48"/>
      <c r="D426" s="49" t="s">
        <v>682</v>
      </c>
      <c r="E426" s="49">
        <v>6.5</v>
      </c>
      <c r="F426" s="49"/>
      <c r="G426" s="49"/>
    </row>
    <row r="427" spans="1:7" x14ac:dyDescent="0.3">
      <c r="A427" s="32"/>
      <c r="B427" s="46" t="s">
        <v>893</v>
      </c>
      <c r="C427" s="48"/>
      <c r="D427" s="49" t="s">
        <v>682</v>
      </c>
      <c r="E427" s="49">
        <v>69.099999999999994</v>
      </c>
      <c r="F427" s="49"/>
      <c r="G427" s="49"/>
    </row>
    <row r="428" spans="1:7" x14ac:dyDescent="0.3">
      <c r="A428" s="32"/>
      <c r="B428" s="46" t="s">
        <v>834</v>
      </c>
      <c r="C428" s="48"/>
      <c r="D428" s="49" t="s">
        <v>10</v>
      </c>
      <c r="E428" s="49">
        <v>208.6</v>
      </c>
      <c r="F428" s="49"/>
      <c r="G428" s="49"/>
    </row>
    <row r="429" spans="1:7" x14ac:dyDescent="0.3">
      <c r="A429" s="32"/>
      <c r="B429" s="46" t="s">
        <v>894</v>
      </c>
      <c r="C429" s="48"/>
      <c r="D429" s="49"/>
      <c r="E429" s="49"/>
      <c r="F429" s="49"/>
      <c r="G429" s="49"/>
    </row>
    <row r="430" spans="1:7" ht="31.2" x14ac:dyDescent="0.3">
      <c r="A430" s="32"/>
      <c r="B430" s="46" t="s">
        <v>895</v>
      </c>
      <c r="C430" s="48"/>
      <c r="D430" s="49" t="s">
        <v>682</v>
      </c>
      <c r="E430" s="49">
        <v>49.8</v>
      </c>
      <c r="F430" s="49"/>
      <c r="G430" s="49"/>
    </row>
    <row r="431" spans="1:7" x14ac:dyDescent="0.3">
      <c r="A431" s="31"/>
      <c r="B431" s="41" t="s">
        <v>896</v>
      </c>
      <c r="C431" s="31"/>
      <c r="D431" s="42"/>
      <c r="E431" s="42"/>
      <c r="F431" s="42"/>
      <c r="G431" s="42"/>
    </row>
    <row r="432" spans="1:7" x14ac:dyDescent="0.3">
      <c r="A432" s="32"/>
      <c r="B432" s="46" t="s">
        <v>860</v>
      </c>
      <c r="C432" s="48"/>
      <c r="D432" s="49" t="s">
        <v>682</v>
      </c>
      <c r="E432" s="49">
        <f>14.8*2</f>
        <v>29.6</v>
      </c>
      <c r="F432" s="49"/>
      <c r="G432" s="49"/>
    </row>
    <row r="433" spans="1:7" x14ac:dyDescent="0.3">
      <c r="A433" s="32"/>
      <c r="B433" s="46" t="s">
        <v>861</v>
      </c>
      <c r="C433" s="48"/>
      <c r="D433" s="49" t="s">
        <v>682</v>
      </c>
      <c r="E433" s="49">
        <f>69.8*2</f>
        <v>139.6</v>
      </c>
      <c r="F433" s="49"/>
      <c r="G433" s="49"/>
    </row>
    <row r="434" spans="1:7" x14ac:dyDescent="0.3">
      <c r="A434" s="32"/>
      <c r="B434" s="46" t="s">
        <v>862</v>
      </c>
      <c r="C434" s="48"/>
      <c r="D434" s="49" t="s">
        <v>69</v>
      </c>
      <c r="E434" s="49">
        <f>2692*2</f>
        <v>5384</v>
      </c>
      <c r="F434" s="49"/>
      <c r="G434" s="49"/>
    </row>
    <row r="435" spans="1:7" x14ac:dyDescent="0.3">
      <c r="A435" s="32"/>
      <c r="B435" s="46" t="s">
        <v>863</v>
      </c>
      <c r="C435" s="48"/>
      <c r="D435" s="49" t="s">
        <v>682</v>
      </c>
      <c r="E435" s="49">
        <f>67*2</f>
        <v>134</v>
      </c>
      <c r="F435" s="49"/>
      <c r="G435" s="49"/>
    </row>
    <row r="436" spans="1:7" x14ac:dyDescent="0.3">
      <c r="A436" s="32"/>
      <c r="B436" s="46" t="s">
        <v>897</v>
      </c>
      <c r="C436" s="48"/>
      <c r="D436" s="49"/>
      <c r="E436" s="49"/>
      <c r="F436" s="49"/>
      <c r="G436" s="49"/>
    </row>
    <row r="437" spans="1:7" x14ac:dyDescent="0.3">
      <c r="A437" s="32"/>
      <c r="B437" s="46" t="s">
        <v>898</v>
      </c>
      <c r="C437" s="48"/>
      <c r="D437" s="49" t="s">
        <v>682</v>
      </c>
      <c r="E437" s="49">
        <f>36*2</f>
        <v>72</v>
      </c>
      <c r="F437" s="49"/>
      <c r="G437" s="49"/>
    </row>
    <row r="438" spans="1:7" x14ac:dyDescent="0.3">
      <c r="A438" s="32"/>
      <c r="B438" s="46" t="s">
        <v>866</v>
      </c>
      <c r="C438" s="48"/>
      <c r="D438" s="49" t="s">
        <v>682</v>
      </c>
      <c r="E438" s="49">
        <f>12.3*2</f>
        <v>24.6</v>
      </c>
      <c r="F438" s="49"/>
      <c r="G438" s="49"/>
    </row>
    <row r="439" spans="1:7" x14ac:dyDescent="0.3">
      <c r="A439" s="32"/>
      <c r="B439" s="46" t="s">
        <v>877</v>
      </c>
      <c r="C439" s="48"/>
      <c r="D439" s="49" t="s">
        <v>682</v>
      </c>
      <c r="E439" s="49">
        <f>14.9*2</f>
        <v>29.8</v>
      </c>
      <c r="F439" s="49"/>
      <c r="G439" s="49"/>
    </row>
    <row r="440" spans="1:7" x14ac:dyDescent="0.3">
      <c r="A440" s="32"/>
      <c r="B440" s="46" t="s">
        <v>899</v>
      </c>
      <c r="C440" s="48"/>
      <c r="D440" s="49" t="s">
        <v>682</v>
      </c>
      <c r="E440" s="49">
        <f>0.7*2</f>
        <v>1.4</v>
      </c>
      <c r="F440" s="49"/>
      <c r="G440" s="49"/>
    </row>
    <row r="441" spans="1:7" x14ac:dyDescent="0.3">
      <c r="A441" s="32"/>
      <c r="B441" s="46" t="s">
        <v>878</v>
      </c>
      <c r="C441" s="48"/>
      <c r="D441" s="49" t="s">
        <v>682</v>
      </c>
      <c r="E441" s="49">
        <f>0.3*2</f>
        <v>0.6</v>
      </c>
      <c r="F441" s="49"/>
      <c r="G441" s="49"/>
    </row>
    <row r="442" spans="1:7" x14ac:dyDescent="0.3">
      <c r="A442" s="32"/>
      <c r="B442" s="46" t="s">
        <v>871</v>
      </c>
      <c r="C442" s="48"/>
      <c r="D442" s="49" t="s">
        <v>682</v>
      </c>
      <c r="E442" s="49">
        <f>(0.006+0.03)*2</f>
        <v>7.1999999999999995E-2</v>
      </c>
      <c r="F442" s="49"/>
      <c r="G442" s="49"/>
    </row>
    <row r="443" spans="1:7" x14ac:dyDescent="0.3">
      <c r="A443" s="32"/>
      <c r="B443" s="46" t="s">
        <v>872</v>
      </c>
      <c r="C443" s="48"/>
      <c r="D443" s="49" t="s">
        <v>10</v>
      </c>
      <c r="E443" s="49">
        <f>0.25*2</f>
        <v>0.5</v>
      </c>
      <c r="F443" s="49"/>
      <c r="G443" s="49"/>
    </row>
    <row r="444" spans="1:7" x14ac:dyDescent="0.3">
      <c r="A444" s="32"/>
      <c r="B444" s="46" t="s">
        <v>880</v>
      </c>
      <c r="C444" s="48"/>
      <c r="D444" s="49"/>
      <c r="E444" s="49"/>
      <c r="F444" s="49"/>
      <c r="G444" s="49"/>
    </row>
    <row r="445" spans="1:7" x14ac:dyDescent="0.3">
      <c r="A445" s="32"/>
      <c r="B445" s="46" t="s">
        <v>881</v>
      </c>
      <c r="C445" s="48"/>
      <c r="D445" s="49" t="s">
        <v>682</v>
      </c>
      <c r="E445" s="49">
        <f>14.1*2</f>
        <v>28.2</v>
      </c>
      <c r="F445" s="49"/>
      <c r="G445" s="49"/>
    </row>
    <row r="446" spans="1:7" x14ac:dyDescent="0.3">
      <c r="A446" s="32"/>
      <c r="B446" s="46" t="s">
        <v>882</v>
      </c>
      <c r="C446" s="48"/>
      <c r="D446" s="49" t="s">
        <v>682</v>
      </c>
      <c r="E446" s="49">
        <f>8.1*2</f>
        <v>16.2</v>
      </c>
      <c r="F446" s="49"/>
      <c r="G446" s="49"/>
    </row>
    <row r="447" spans="1:7" x14ac:dyDescent="0.3">
      <c r="A447" s="32"/>
      <c r="B447" s="46" t="s">
        <v>883</v>
      </c>
      <c r="C447" s="48"/>
      <c r="D447" s="49" t="s">
        <v>682</v>
      </c>
      <c r="E447" s="49">
        <f>2.4*2</f>
        <v>4.8</v>
      </c>
      <c r="F447" s="49"/>
      <c r="G447" s="49"/>
    </row>
    <row r="448" spans="1:7" x14ac:dyDescent="0.3">
      <c r="A448" s="32"/>
      <c r="B448" s="46" t="s">
        <v>875</v>
      </c>
      <c r="C448" s="48"/>
      <c r="D448" s="49" t="s">
        <v>682</v>
      </c>
      <c r="E448" s="49">
        <f>9*2</f>
        <v>18</v>
      </c>
      <c r="F448" s="49"/>
      <c r="G448" s="49"/>
    </row>
    <row r="449" spans="1:7" x14ac:dyDescent="0.3">
      <c r="A449" s="32"/>
      <c r="B449" s="46" t="s">
        <v>884</v>
      </c>
      <c r="C449" s="48"/>
      <c r="D449" s="49" t="s">
        <v>682</v>
      </c>
      <c r="E449" s="49">
        <f>5.2*2</f>
        <v>10.4</v>
      </c>
      <c r="F449" s="49"/>
      <c r="G449" s="49"/>
    </row>
    <row r="450" spans="1:7" x14ac:dyDescent="0.3">
      <c r="A450" s="32"/>
      <c r="B450" s="46" t="s">
        <v>885</v>
      </c>
      <c r="C450" s="48"/>
      <c r="D450" s="49" t="s">
        <v>682</v>
      </c>
      <c r="E450" s="49">
        <f>0.9*2</f>
        <v>1.8</v>
      </c>
      <c r="F450" s="49"/>
      <c r="G450" s="49"/>
    </row>
    <row r="451" spans="1:7" x14ac:dyDescent="0.3">
      <c r="A451" s="32"/>
      <c r="B451" s="46" t="s">
        <v>886</v>
      </c>
      <c r="C451" s="48"/>
      <c r="D451" s="49" t="s">
        <v>682</v>
      </c>
      <c r="E451" s="49">
        <f>4.3*2</f>
        <v>8.6</v>
      </c>
      <c r="F451" s="49"/>
      <c r="G451" s="49"/>
    </row>
    <row r="452" spans="1:7" x14ac:dyDescent="0.3">
      <c r="A452" s="32"/>
      <c r="B452" s="46" t="s">
        <v>887</v>
      </c>
      <c r="C452" s="48"/>
      <c r="D452" s="49" t="s">
        <v>682</v>
      </c>
      <c r="E452" s="49">
        <f>2.2*2</f>
        <v>4.4000000000000004</v>
      </c>
      <c r="F452" s="49"/>
      <c r="G452" s="49"/>
    </row>
    <row r="453" spans="1:7" ht="31.2" x14ac:dyDescent="0.3">
      <c r="A453" s="32"/>
      <c r="B453" s="46" t="s">
        <v>888</v>
      </c>
      <c r="C453" s="48"/>
      <c r="D453" s="49"/>
      <c r="E453" s="49"/>
      <c r="F453" s="49"/>
      <c r="G453" s="49"/>
    </row>
    <row r="454" spans="1:7" ht="31.2" x14ac:dyDescent="0.3">
      <c r="A454" s="32"/>
      <c r="B454" s="46" t="s">
        <v>915</v>
      </c>
      <c r="C454" s="48"/>
      <c r="D454" s="49" t="s">
        <v>682</v>
      </c>
      <c r="E454" s="49">
        <f>2.8</f>
        <v>2.8</v>
      </c>
      <c r="F454" s="49"/>
      <c r="G454" s="49"/>
    </row>
    <row r="455" spans="1:7" x14ac:dyDescent="0.3">
      <c r="A455" s="32"/>
      <c r="B455" s="46" t="s">
        <v>900</v>
      </c>
      <c r="C455" s="48"/>
      <c r="D455" s="49"/>
      <c r="E455" s="49"/>
      <c r="F455" s="49"/>
      <c r="G455" s="49"/>
    </row>
    <row r="456" spans="1:7" x14ac:dyDescent="0.3">
      <c r="A456" s="32"/>
      <c r="B456" s="46" t="s">
        <v>901</v>
      </c>
      <c r="C456" s="48"/>
      <c r="D456" s="49" t="s">
        <v>682</v>
      </c>
      <c r="E456" s="49">
        <f>4.11*2</f>
        <v>8.2200000000000006</v>
      </c>
      <c r="F456" s="49"/>
      <c r="G456" s="49"/>
    </row>
    <row r="457" spans="1:7" x14ac:dyDescent="0.3">
      <c r="A457" s="32"/>
      <c r="B457" s="46" t="s">
        <v>902</v>
      </c>
      <c r="C457" s="48"/>
      <c r="D457" s="49" t="s">
        <v>682</v>
      </c>
      <c r="E457" s="49">
        <f>0.93*2</f>
        <v>1.86</v>
      </c>
      <c r="F457" s="49"/>
      <c r="G457" s="49"/>
    </row>
    <row r="458" spans="1:7" x14ac:dyDescent="0.3">
      <c r="A458" s="32"/>
      <c r="B458" s="46" t="s">
        <v>903</v>
      </c>
      <c r="C458" s="48"/>
      <c r="D458" s="49" t="s">
        <v>682</v>
      </c>
      <c r="E458" s="49">
        <f>25.77*2</f>
        <v>51.54</v>
      </c>
      <c r="F458" s="49"/>
      <c r="G458" s="49"/>
    </row>
    <row r="459" spans="1:7" x14ac:dyDescent="0.3">
      <c r="A459" s="32"/>
      <c r="B459" s="46" t="s">
        <v>904</v>
      </c>
      <c r="C459" s="48"/>
      <c r="D459" s="49" t="s">
        <v>682</v>
      </c>
      <c r="E459" s="49">
        <f>8.04*2</f>
        <v>16.079999999999998</v>
      </c>
      <c r="F459" s="49"/>
      <c r="G459" s="49"/>
    </row>
    <row r="460" spans="1:7" x14ac:dyDescent="0.3">
      <c r="A460" s="32"/>
      <c r="B460" s="46" t="s">
        <v>892</v>
      </c>
      <c r="C460" s="48"/>
      <c r="D460" s="49" t="s">
        <v>682</v>
      </c>
      <c r="E460" s="49">
        <f>3.82*2</f>
        <v>7.64</v>
      </c>
      <c r="F460" s="49"/>
      <c r="G460" s="49"/>
    </row>
    <row r="461" spans="1:7" x14ac:dyDescent="0.3">
      <c r="A461" s="32"/>
      <c r="B461" s="46" t="s">
        <v>905</v>
      </c>
      <c r="C461" s="48"/>
      <c r="D461" s="49" t="s">
        <v>682</v>
      </c>
      <c r="E461" s="49">
        <f>0.92*2</f>
        <v>1.84</v>
      </c>
      <c r="F461" s="49"/>
      <c r="G461" s="49"/>
    </row>
    <row r="462" spans="1:7" x14ac:dyDescent="0.3">
      <c r="A462" s="32"/>
      <c r="B462" s="46" t="s">
        <v>906</v>
      </c>
      <c r="C462" s="48"/>
      <c r="D462" s="49" t="s">
        <v>682</v>
      </c>
      <c r="E462" s="49">
        <f>3.31*2</f>
        <v>6.62</v>
      </c>
      <c r="F462" s="49"/>
      <c r="G462" s="49"/>
    </row>
    <row r="463" spans="1:7" x14ac:dyDescent="0.3">
      <c r="A463" s="32"/>
      <c r="B463" s="46" t="s">
        <v>834</v>
      </c>
      <c r="C463" s="48"/>
      <c r="D463" s="49" t="s">
        <v>10</v>
      </c>
      <c r="E463" s="49">
        <f>(2.3+7.3)*2</f>
        <v>19.2</v>
      </c>
      <c r="F463" s="49"/>
      <c r="G463" s="49"/>
    </row>
    <row r="464" spans="1:7" x14ac:dyDescent="0.3">
      <c r="A464" s="32"/>
      <c r="B464" s="46" t="s">
        <v>893</v>
      </c>
      <c r="C464" s="48"/>
      <c r="D464" s="49" t="s">
        <v>682</v>
      </c>
      <c r="E464" s="49">
        <f>0.71*2</f>
        <v>1.42</v>
      </c>
      <c r="F464" s="49"/>
      <c r="G464" s="49"/>
    </row>
    <row r="465" spans="1:7" x14ac:dyDescent="0.3">
      <c r="A465" s="32"/>
      <c r="B465" s="46" t="s">
        <v>894</v>
      </c>
      <c r="C465" s="48"/>
      <c r="D465" s="49"/>
      <c r="E465" s="49"/>
      <c r="F465" s="49"/>
      <c r="G465" s="49"/>
    </row>
    <row r="466" spans="1:7" ht="31.2" x14ac:dyDescent="0.3">
      <c r="A466" s="32"/>
      <c r="B466" s="46" t="s">
        <v>907</v>
      </c>
      <c r="C466" s="48"/>
      <c r="D466" s="49" t="s">
        <v>682</v>
      </c>
      <c r="E466" s="49">
        <f>2*19.8</f>
        <v>39.6</v>
      </c>
      <c r="F466" s="49"/>
      <c r="G466" s="49"/>
    </row>
    <row r="467" spans="1:7" x14ac:dyDescent="0.3">
      <c r="A467" s="31"/>
      <c r="B467" s="41" t="s">
        <v>908</v>
      </c>
      <c r="C467" s="31"/>
      <c r="D467" s="42"/>
      <c r="E467" s="42"/>
      <c r="F467" s="42"/>
      <c r="G467" s="42"/>
    </row>
    <row r="468" spans="1:7" x14ac:dyDescent="0.3">
      <c r="A468" s="32"/>
      <c r="B468" s="46" t="s">
        <v>909</v>
      </c>
      <c r="C468" s="48"/>
      <c r="D468" s="49" t="s">
        <v>682</v>
      </c>
      <c r="E468" s="49">
        <v>40</v>
      </c>
      <c r="F468" s="49"/>
      <c r="G468" s="49"/>
    </row>
    <row r="469" spans="1:7" x14ac:dyDescent="0.3">
      <c r="A469" s="32"/>
      <c r="B469" s="46" t="s">
        <v>910</v>
      </c>
      <c r="C469" s="48"/>
      <c r="D469" s="49" t="s">
        <v>682</v>
      </c>
      <c r="E469" s="49">
        <v>14</v>
      </c>
      <c r="F469" s="49"/>
      <c r="G469" s="49"/>
    </row>
    <row r="470" spans="1:7" ht="31.2" x14ac:dyDescent="0.3">
      <c r="A470" s="32"/>
      <c r="B470" s="46" t="s">
        <v>911</v>
      </c>
      <c r="C470" s="48"/>
      <c r="D470" s="49" t="s">
        <v>682</v>
      </c>
      <c r="E470" s="49">
        <v>5.8</v>
      </c>
      <c r="F470" s="49"/>
      <c r="G470" s="49"/>
    </row>
    <row r="471" spans="1:7" x14ac:dyDescent="0.3">
      <c r="A471" s="32"/>
      <c r="B471" s="46" t="s">
        <v>912</v>
      </c>
      <c r="C471" s="48"/>
      <c r="D471" s="49" t="s">
        <v>10</v>
      </c>
      <c r="E471" s="49">
        <v>14.6</v>
      </c>
      <c r="F471" s="49"/>
      <c r="G471" s="49"/>
    </row>
    <row r="472" spans="1:7" x14ac:dyDescent="0.3">
      <c r="A472" s="32"/>
      <c r="B472" s="46" t="s">
        <v>913</v>
      </c>
      <c r="C472" s="48"/>
      <c r="D472" s="49" t="s">
        <v>14</v>
      </c>
      <c r="E472" s="49">
        <v>20</v>
      </c>
      <c r="F472" s="49"/>
      <c r="G472" s="49"/>
    </row>
    <row r="473" spans="1:7" x14ac:dyDescent="0.3">
      <c r="A473" s="32"/>
      <c r="B473" s="46" t="s">
        <v>914</v>
      </c>
      <c r="C473" s="48"/>
      <c r="D473" s="49" t="s">
        <v>682</v>
      </c>
      <c r="E473" s="49">
        <v>47.7</v>
      </c>
      <c r="F473" s="49"/>
      <c r="G473" s="49"/>
    </row>
    <row r="474" spans="1:7" x14ac:dyDescent="0.3">
      <c r="A474" s="32"/>
      <c r="B474" s="46" t="s">
        <v>834</v>
      </c>
      <c r="C474" s="48"/>
      <c r="D474" s="49" t="s">
        <v>10</v>
      </c>
      <c r="E474" s="49">
        <v>43.3</v>
      </c>
      <c r="F474" s="49"/>
      <c r="G474" s="49"/>
    </row>
    <row r="475" spans="1:7" ht="46.8" x14ac:dyDescent="0.3">
      <c r="A475" s="28"/>
      <c r="B475" s="29" t="s">
        <v>916</v>
      </c>
      <c r="C475" s="28"/>
      <c r="D475" s="28"/>
      <c r="E475" s="30"/>
      <c r="F475" s="30"/>
      <c r="G475" s="30"/>
    </row>
    <row r="476" spans="1:7" ht="31.2" x14ac:dyDescent="0.3">
      <c r="A476" s="31"/>
      <c r="B476" s="41" t="s">
        <v>917</v>
      </c>
      <c r="C476" s="31"/>
      <c r="D476" s="42"/>
      <c r="E476" s="57"/>
      <c r="F476" s="57"/>
      <c r="G476" s="57"/>
    </row>
    <row r="477" spans="1:7" x14ac:dyDescent="0.3">
      <c r="A477" s="32"/>
      <c r="B477" s="46" t="s">
        <v>918</v>
      </c>
      <c r="C477" s="48"/>
      <c r="D477" s="49" t="s">
        <v>10</v>
      </c>
      <c r="E477" s="54">
        <v>399.8</v>
      </c>
      <c r="F477" s="54"/>
      <c r="G477" s="54"/>
    </row>
    <row r="478" spans="1:7" x14ac:dyDescent="0.3">
      <c r="A478" s="32"/>
      <c r="B478" s="46" t="s">
        <v>843</v>
      </c>
      <c r="C478" s="48"/>
      <c r="D478" s="49" t="s">
        <v>14</v>
      </c>
      <c r="E478" s="54">
        <v>132</v>
      </c>
      <c r="F478" s="54"/>
      <c r="G478" s="54"/>
    </row>
    <row r="479" spans="1:7" x14ac:dyDescent="0.3">
      <c r="A479" s="32"/>
      <c r="B479" s="46" t="s">
        <v>919</v>
      </c>
      <c r="C479" s="48"/>
      <c r="D479" s="49" t="s">
        <v>14</v>
      </c>
      <c r="E479" s="49">
        <v>256</v>
      </c>
      <c r="F479" s="49"/>
      <c r="G479" s="49"/>
    </row>
    <row r="480" spans="1:7" x14ac:dyDescent="0.3">
      <c r="A480" s="32"/>
      <c r="B480" s="46" t="s">
        <v>920</v>
      </c>
      <c r="C480" s="48"/>
      <c r="D480" s="49" t="s">
        <v>682</v>
      </c>
      <c r="E480" s="54">
        <v>508.3</v>
      </c>
      <c r="F480" s="54"/>
      <c r="G480" s="54"/>
    </row>
    <row r="481" spans="1:7" x14ac:dyDescent="0.3">
      <c r="A481" s="32"/>
      <c r="B481" s="46" t="s">
        <v>856</v>
      </c>
      <c r="C481" s="48"/>
      <c r="D481" s="49" t="s">
        <v>682</v>
      </c>
      <c r="E481" s="54">
        <v>184.83</v>
      </c>
      <c r="F481" s="54"/>
      <c r="G481" s="54"/>
    </row>
    <row r="482" spans="1:7" x14ac:dyDescent="0.3">
      <c r="A482" s="32"/>
      <c r="B482" s="46" t="s">
        <v>921</v>
      </c>
      <c r="C482" s="48"/>
      <c r="D482" s="49" t="s">
        <v>682</v>
      </c>
      <c r="E482" s="54">
        <v>14.61</v>
      </c>
      <c r="F482" s="54"/>
      <c r="G482" s="54"/>
    </row>
    <row r="483" spans="1:7" x14ac:dyDescent="0.3">
      <c r="A483" s="32"/>
      <c r="B483" s="46" t="s">
        <v>922</v>
      </c>
      <c r="C483" s="48"/>
      <c r="D483" s="49" t="s">
        <v>682</v>
      </c>
      <c r="E483" s="54">
        <v>4.2699999999999996</v>
      </c>
      <c r="F483" s="54"/>
      <c r="G483" s="54"/>
    </row>
    <row r="484" spans="1:7" x14ac:dyDescent="0.3">
      <c r="A484" s="32"/>
      <c r="B484" s="46" t="s">
        <v>923</v>
      </c>
      <c r="C484" s="48"/>
      <c r="D484" s="49" t="s">
        <v>682</v>
      </c>
      <c r="E484" s="54">
        <v>27.53</v>
      </c>
      <c r="F484" s="54"/>
      <c r="G484" s="54"/>
    </row>
    <row r="485" spans="1:7" x14ac:dyDescent="0.3">
      <c r="A485" s="32"/>
      <c r="B485" s="46" t="s">
        <v>924</v>
      </c>
      <c r="C485" s="48"/>
      <c r="D485" s="49" t="s">
        <v>10</v>
      </c>
      <c r="E485" s="54">
        <v>141.5</v>
      </c>
      <c r="F485" s="54"/>
      <c r="G485" s="54"/>
    </row>
    <row r="486" spans="1:7" ht="31.2" x14ac:dyDescent="0.3">
      <c r="A486" s="31"/>
      <c r="B486" s="41" t="s">
        <v>925</v>
      </c>
      <c r="C486" s="31"/>
      <c r="D486" s="42"/>
      <c r="E486" s="42"/>
      <c r="F486" s="42"/>
      <c r="G486" s="42"/>
    </row>
    <row r="487" spans="1:7" x14ac:dyDescent="0.3">
      <c r="A487" s="32"/>
      <c r="B487" s="46" t="s">
        <v>926</v>
      </c>
      <c r="C487" s="48"/>
      <c r="D487" s="49" t="s">
        <v>10</v>
      </c>
      <c r="E487" s="49">
        <f>51.84+13</f>
        <v>64.84</v>
      </c>
      <c r="F487" s="49"/>
      <c r="G487" s="49"/>
    </row>
    <row r="488" spans="1:7" x14ac:dyDescent="0.3">
      <c r="A488" s="32"/>
      <c r="B488" s="46" t="s">
        <v>843</v>
      </c>
      <c r="C488" s="48"/>
      <c r="D488" s="49" t="s">
        <v>14</v>
      </c>
      <c r="E488" s="49">
        <f>24+6</f>
        <v>30</v>
      </c>
      <c r="F488" s="49"/>
      <c r="G488" s="49"/>
    </row>
    <row r="489" spans="1:7" x14ac:dyDescent="0.3">
      <c r="A489" s="32"/>
      <c r="B489" s="46" t="s">
        <v>927</v>
      </c>
      <c r="C489" s="48"/>
      <c r="D489" s="49" t="s">
        <v>14</v>
      </c>
      <c r="E489" s="49">
        <f>36+24</f>
        <v>60</v>
      </c>
      <c r="F489" s="49"/>
      <c r="G489" s="49"/>
    </row>
    <row r="490" spans="1:7" x14ac:dyDescent="0.3">
      <c r="A490" s="32"/>
      <c r="B490" s="46" t="s">
        <v>923</v>
      </c>
      <c r="C490" s="48"/>
      <c r="D490" s="49" t="s">
        <v>682</v>
      </c>
      <c r="E490" s="49">
        <f>17.5+4</f>
        <v>21.5</v>
      </c>
      <c r="F490" s="49"/>
      <c r="G490" s="49"/>
    </row>
    <row r="491" spans="1:7" x14ac:dyDescent="0.3">
      <c r="A491" s="32"/>
      <c r="B491" s="46" t="s">
        <v>921</v>
      </c>
      <c r="C491" s="48"/>
      <c r="D491" s="49" t="s">
        <v>682</v>
      </c>
      <c r="E491" s="49">
        <f>9.2+2.8</f>
        <v>12</v>
      </c>
      <c r="F491" s="49"/>
      <c r="G491" s="49"/>
    </row>
    <row r="492" spans="1:7" x14ac:dyDescent="0.3">
      <c r="A492" s="32"/>
      <c r="B492" s="46" t="s">
        <v>924</v>
      </c>
      <c r="C492" s="48"/>
      <c r="D492" s="49" t="s">
        <v>10</v>
      </c>
      <c r="E492" s="49">
        <f>10.8+2.8</f>
        <v>13.600000000000001</v>
      </c>
      <c r="F492" s="49"/>
      <c r="G492" s="49"/>
    </row>
    <row r="493" spans="1:7" x14ac:dyDescent="0.3">
      <c r="A493" s="32"/>
      <c r="B493" s="46" t="s">
        <v>928</v>
      </c>
      <c r="C493" s="48"/>
      <c r="D493" s="49" t="s">
        <v>69</v>
      </c>
      <c r="E493" s="49">
        <f>660+214</f>
        <v>874</v>
      </c>
      <c r="F493" s="49"/>
      <c r="G493" s="49"/>
    </row>
    <row r="494" spans="1:7" ht="31.2" x14ac:dyDescent="0.3">
      <c r="A494" s="31"/>
      <c r="B494" s="41" t="s">
        <v>929</v>
      </c>
      <c r="C494" s="31"/>
      <c r="D494" s="42"/>
      <c r="E494" s="42"/>
      <c r="F494" s="42"/>
      <c r="G494" s="42"/>
    </row>
    <row r="495" spans="1:7" ht="31.2" x14ac:dyDescent="0.3">
      <c r="A495" s="32"/>
      <c r="B495" s="46" t="s">
        <v>930</v>
      </c>
      <c r="C495" s="48"/>
      <c r="D495" s="49" t="s">
        <v>682</v>
      </c>
      <c r="E495" s="49">
        <f>2.8*2</f>
        <v>5.6</v>
      </c>
      <c r="F495" s="49"/>
      <c r="G495" s="49"/>
    </row>
    <row r="496" spans="1:7" x14ac:dyDescent="0.3">
      <c r="A496" s="32"/>
      <c r="B496" s="46" t="s">
        <v>931</v>
      </c>
      <c r="C496" s="48"/>
      <c r="D496" s="49" t="s">
        <v>682</v>
      </c>
      <c r="E496" s="49">
        <v>0.98899999999999999</v>
      </c>
      <c r="F496" s="49"/>
      <c r="G496" s="49"/>
    </row>
    <row r="497" spans="1:7" x14ac:dyDescent="0.3">
      <c r="A497" s="32"/>
      <c r="B497" s="46" t="s">
        <v>932</v>
      </c>
      <c r="C497" s="48"/>
      <c r="D497" s="49" t="s">
        <v>682</v>
      </c>
      <c r="E497" s="49">
        <v>4.9459999999999997</v>
      </c>
      <c r="F497" s="49"/>
      <c r="G497" s="49"/>
    </row>
    <row r="498" spans="1:7" ht="31.2" x14ac:dyDescent="0.3">
      <c r="A498" s="31"/>
      <c r="B498" s="41" t="s">
        <v>933</v>
      </c>
      <c r="C498" s="31"/>
      <c r="D498" s="42"/>
      <c r="E498" s="42"/>
      <c r="F498" s="42"/>
      <c r="G498" s="42"/>
    </row>
    <row r="499" spans="1:7" ht="31.2" x14ac:dyDescent="0.3">
      <c r="A499" s="32"/>
      <c r="B499" s="46" t="s">
        <v>934</v>
      </c>
      <c r="C499" s="48"/>
      <c r="D499" s="49" t="s">
        <v>682</v>
      </c>
      <c r="E499" s="49">
        <v>12.5</v>
      </c>
      <c r="F499" s="49"/>
      <c r="G499" s="49"/>
    </row>
    <row r="500" spans="1:7" ht="31.2" x14ac:dyDescent="0.3">
      <c r="A500" s="32"/>
      <c r="B500" s="46" t="s">
        <v>935</v>
      </c>
      <c r="C500" s="48"/>
      <c r="D500" s="49" t="s">
        <v>682</v>
      </c>
      <c r="E500" s="49">
        <v>3.9</v>
      </c>
      <c r="F500" s="49"/>
      <c r="G500" s="49"/>
    </row>
    <row r="501" spans="1:7" x14ac:dyDescent="0.3">
      <c r="A501" s="32"/>
      <c r="B501" s="46" t="s">
        <v>924</v>
      </c>
      <c r="C501" s="48"/>
      <c r="D501" s="49" t="s">
        <v>10</v>
      </c>
      <c r="E501" s="49">
        <v>1.28</v>
      </c>
      <c r="F501" s="49"/>
      <c r="G501" s="49"/>
    </row>
    <row r="502" spans="1:7" x14ac:dyDescent="0.3">
      <c r="A502" s="32"/>
      <c r="B502" s="46" t="s">
        <v>936</v>
      </c>
      <c r="C502" s="48"/>
      <c r="D502" s="49" t="s">
        <v>14</v>
      </c>
      <c r="E502" s="49">
        <v>16</v>
      </c>
      <c r="F502" s="49"/>
      <c r="G502" s="49"/>
    </row>
    <row r="503" spans="1:7" ht="31.2" x14ac:dyDescent="0.3">
      <c r="A503" s="31"/>
      <c r="B503" s="41" t="s">
        <v>937</v>
      </c>
      <c r="C503" s="31"/>
      <c r="D503" s="42"/>
      <c r="E503" s="42"/>
      <c r="F503" s="42"/>
      <c r="G503" s="42"/>
    </row>
    <row r="504" spans="1:7" x14ac:dyDescent="0.3">
      <c r="A504" s="32"/>
      <c r="B504" s="46" t="s">
        <v>918</v>
      </c>
      <c r="C504" s="48"/>
      <c r="D504" s="49" t="s">
        <v>10</v>
      </c>
      <c r="E504" s="49">
        <f>4.3*5</f>
        <v>21.5</v>
      </c>
      <c r="F504" s="49"/>
      <c r="G504" s="49"/>
    </row>
    <row r="505" spans="1:7" x14ac:dyDescent="0.3">
      <c r="A505" s="32"/>
      <c r="B505" s="46" t="s">
        <v>843</v>
      </c>
      <c r="C505" s="48"/>
      <c r="D505" s="49" t="s">
        <v>14</v>
      </c>
      <c r="E505" s="49">
        <f>2*5</f>
        <v>10</v>
      </c>
      <c r="F505" s="49"/>
      <c r="G505" s="49"/>
    </row>
    <row r="506" spans="1:7" x14ac:dyDescent="0.3">
      <c r="A506" s="32"/>
      <c r="B506" s="46" t="s">
        <v>923</v>
      </c>
      <c r="C506" s="48"/>
      <c r="D506" s="49" t="s">
        <v>682</v>
      </c>
      <c r="E506" s="49">
        <v>8.6</v>
      </c>
      <c r="F506" s="49"/>
      <c r="G506" s="49"/>
    </row>
    <row r="507" spans="1:7" x14ac:dyDescent="0.3">
      <c r="A507" s="32"/>
      <c r="B507" s="46" t="s">
        <v>921</v>
      </c>
      <c r="C507" s="48"/>
      <c r="D507" s="49" t="s">
        <v>682</v>
      </c>
      <c r="E507" s="49">
        <f>1.1*5</f>
        <v>5.5</v>
      </c>
      <c r="F507" s="49"/>
      <c r="G507" s="49"/>
    </row>
    <row r="508" spans="1:7" x14ac:dyDescent="0.3">
      <c r="A508" s="32"/>
      <c r="B508" s="46" t="s">
        <v>924</v>
      </c>
      <c r="C508" s="48"/>
      <c r="D508" s="49" t="s">
        <v>10</v>
      </c>
      <c r="E508" s="49">
        <v>11.4</v>
      </c>
      <c r="F508" s="49"/>
      <c r="G508" s="49"/>
    </row>
    <row r="509" spans="1:7" x14ac:dyDescent="0.3">
      <c r="A509" s="32"/>
      <c r="B509" s="46" t="s">
        <v>938</v>
      </c>
      <c r="C509" s="48"/>
      <c r="D509" s="49" t="s">
        <v>14</v>
      </c>
      <c r="E509" s="49">
        <v>468</v>
      </c>
      <c r="F509" s="49"/>
      <c r="G509" s="49"/>
    </row>
    <row r="510" spans="1:7" x14ac:dyDescent="0.3">
      <c r="A510" s="32"/>
      <c r="B510" s="46" t="s">
        <v>939</v>
      </c>
      <c r="C510" s="48"/>
      <c r="D510" s="49" t="s">
        <v>10</v>
      </c>
      <c r="E510" s="49">
        <f>1.44</f>
        <v>1.44</v>
      </c>
      <c r="F510" s="49"/>
      <c r="G510" s="49"/>
    </row>
    <row r="511" spans="1:7" ht="31.2" x14ac:dyDescent="0.3">
      <c r="A511" s="32"/>
      <c r="B511" s="46" t="s">
        <v>940</v>
      </c>
      <c r="C511" s="48"/>
      <c r="D511" s="49" t="s">
        <v>682</v>
      </c>
      <c r="E511" s="49">
        <f>3.2+1.6+2.9+1.6+3.2</f>
        <v>12.5</v>
      </c>
      <c r="F511" s="49"/>
      <c r="G511" s="49"/>
    </row>
    <row r="512" spans="1:7" x14ac:dyDescent="0.3">
      <c r="A512" s="32"/>
      <c r="B512" s="46" t="s">
        <v>941</v>
      </c>
      <c r="C512" s="48"/>
      <c r="D512" s="49" t="s">
        <v>72</v>
      </c>
      <c r="E512" s="49">
        <f>100+150+100</f>
        <v>350</v>
      </c>
      <c r="F512" s="49"/>
      <c r="G512" s="49"/>
    </row>
    <row r="513" spans="1:7" x14ac:dyDescent="0.3">
      <c r="A513" s="32"/>
      <c r="B513" s="46" t="s">
        <v>942</v>
      </c>
      <c r="C513" s="48"/>
      <c r="D513" s="49" t="s">
        <v>14</v>
      </c>
      <c r="E513" s="49">
        <f>288+56</f>
        <v>344</v>
      </c>
      <c r="F513" s="49"/>
      <c r="G513" s="49"/>
    </row>
    <row r="514" spans="1:7" x14ac:dyDescent="0.3">
      <c r="A514" s="32"/>
      <c r="B514" s="46" t="s">
        <v>943</v>
      </c>
      <c r="C514" s="48"/>
      <c r="D514" s="49" t="s">
        <v>14</v>
      </c>
      <c r="E514" s="49">
        <f>384+64</f>
        <v>448</v>
      </c>
      <c r="F514" s="49"/>
      <c r="G514" s="49"/>
    </row>
    <row r="515" spans="1:7" x14ac:dyDescent="0.3">
      <c r="A515" s="32"/>
      <c r="B515" s="46" t="s">
        <v>944</v>
      </c>
      <c r="C515" s="48"/>
      <c r="D515" s="49" t="s">
        <v>14</v>
      </c>
      <c r="E515" s="49">
        <f>63+16</f>
        <v>79</v>
      </c>
      <c r="F515" s="49"/>
      <c r="G515" s="49"/>
    </row>
    <row r="516" spans="1:7" x14ac:dyDescent="0.3">
      <c r="A516" s="32"/>
      <c r="B516" s="46" t="s">
        <v>945</v>
      </c>
      <c r="C516" s="48"/>
      <c r="D516" s="49" t="s">
        <v>69</v>
      </c>
      <c r="E516" s="49">
        <f>5+3+6+3+5</f>
        <v>22</v>
      </c>
      <c r="F516" s="49"/>
      <c r="G516" s="49"/>
    </row>
    <row r="517" spans="1:7" x14ac:dyDescent="0.3">
      <c r="A517" s="31"/>
      <c r="B517" s="41" t="s">
        <v>946</v>
      </c>
      <c r="C517" s="31"/>
      <c r="D517" s="42"/>
      <c r="E517" s="42"/>
      <c r="F517" s="42"/>
      <c r="G517" s="42"/>
    </row>
    <row r="518" spans="1:7" x14ac:dyDescent="0.3">
      <c r="A518" s="32"/>
      <c r="B518" s="46" t="s">
        <v>926</v>
      </c>
      <c r="C518" s="48"/>
      <c r="D518" s="49" t="s">
        <v>10</v>
      </c>
      <c r="E518" s="49">
        <v>665</v>
      </c>
      <c r="F518" s="49"/>
      <c r="G518" s="49"/>
    </row>
    <row r="519" spans="1:7" x14ac:dyDescent="0.3">
      <c r="A519" s="32"/>
      <c r="B519" s="46" t="s">
        <v>843</v>
      </c>
      <c r="C519" s="48"/>
      <c r="D519" s="49" t="s">
        <v>14</v>
      </c>
      <c r="E519" s="49">
        <v>301</v>
      </c>
      <c r="F519" s="49"/>
      <c r="G519" s="49"/>
    </row>
    <row r="520" spans="1:7" x14ac:dyDescent="0.3">
      <c r="A520" s="32"/>
      <c r="B520" s="46" t="s">
        <v>947</v>
      </c>
      <c r="C520" s="48"/>
      <c r="D520" s="49" t="s">
        <v>682</v>
      </c>
      <c r="E520" s="49">
        <v>85.9</v>
      </c>
      <c r="F520" s="49"/>
      <c r="G520" s="49"/>
    </row>
    <row r="521" spans="1:7" ht="31.2" x14ac:dyDescent="0.3">
      <c r="A521" s="32"/>
      <c r="B521" s="46" t="s">
        <v>948</v>
      </c>
      <c r="C521" s="48"/>
      <c r="D521" s="49" t="s">
        <v>682</v>
      </c>
      <c r="E521" s="49">
        <v>297.3</v>
      </c>
      <c r="F521" s="49"/>
      <c r="G521" s="49"/>
    </row>
    <row r="522" spans="1:7" ht="31.2" x14ac:dyDescent="0.3">
      <c r="A522" s="32"/>
      <c r="B522" s="46" t="s">
        <v>949</v>
      </c>
      <c r="C522" s="48"/>
      <c r="D522" s="49" t="s">
        <v>682</v>
      </c>
      <c r="E522" s="49">
        <v>99.5</v>
      </c>
      <c r="F522" s="49"/>
      <c r="G522" s="49"/>
    </row>
    <row r="523" spans="1:7" x14ac:dyDescent="0.3">
      <c r="A523" s="32"/>
      <c r="B523" s="46" t="s">
        <v>950</v>
      </c>
      <c r="C523" s="48"/>
      <c r="D523" s="49" t="s">
        <v>14</v>
      </c>
      <c r="E523" s="49">
        <v>256</v>
      </c>
      <c r="F523" s="49"/>
      <c r="G523" s="49"/>
    </row>
    <row r="524" spans="1:7" x14ac:dyDescent="0.3">
      <c r="A524" s="32"/>
      <c r="B524" s="46" t="s">
        <v>951</v>
      </c>
      <c r="C524" s="48"/>
      <c r="D524" s="49" t="s">
        <v>682</v>
      </c>
      <c r="E524" s="49">
        <v>39.799999999999997</v>
      </c>
      <c r="F524" s="49"/>
      <c r="G524" s="49"/>
    </row>
    <row r="525" spans="1:7" x14ac:dyDescent="0.3">
      <c r="A525" s="32"/>
      <c r="B525" s="46" t="s">
        <v>952</v>
      </c>
      <c r="C525" s="48"/>
      <c r="D525" s="49" t="s">
        <v>682</v>
      </c>
      <c r="E525" s="49">
        <v>0.98</v>
      </c>
      <c r="F525" s="49"/>
      <c r="G525" s="49"/>
    </row>
    <row r="526" spans="1:7" x14ac:dyDescent="0.3">
      <c r="A526" s="32"/>
      <c r="B526" s="46" t="s">
        <v>923</v>
      </c>
      <c r="C526" s="48"/>
      <c r="D526" s="49" t="s">
        <v>682</v>
      </c>
      <c r="E526" s="49">
        <v>103.4</v>
      </c>
      <c r="F526" s="49"/>
      <c r="G526" s="49"/>
    </row>
    <row r="527" spans="1:7" x14ac:dyDescent="0.3">
      <c r="A527" s="32"/>
      <c r="B527" s="46" t="s">
        <v>924</v>
      </c>
      <c r="C527" s="48"/>
      <c r="D527" s="49" t="s">
        <v>10</v>
      </c>
      <c r="E527" s="49">
        <v>60.2</v>
      </c>
      <c r="F527" s="49"/>
      <c r="G527" s="49"/>
    </row>
    <row r="528" spans="1:7" x14ac:dyDescent="0.3">
      <c r="A528" s="31"/>
      <c r="B528" s="41" t="s">
        <v>953</v>
      </c>
      <c r="C528" s="31"/>
      <c r="D528" s="42"/>
      <c r="E528" s="42"/>
      <c r="F528" s="42"/>
      <c r="G528" s="42"/>
    </row>
    <row r="529" spans="1:7" ht="31.2" x14ac:dyDescent="0.3">
      <c r="A529" s="32"/>
      <c r="B529" s="46" t="s">
        <v>954</v>
      </c>
      <c r="C529" s="48"/>
      <c r="D529" s="49" t="s">
        <v>682</v>
      </c>
      <c r="E529" s="49">
        <v>29.8</v>
      </c>
      <c r="F529" s="49"/>
      <c r="G529" s="49"/>
    </row>
    <row r="530" spans="1:7" ht="31.2" x14ac:dyDescent="0.3">
      <c r="A530" s="32"/>
      <c r="B530" s="46" t="s">
        <v>955</v>
      </c>
      <c r="C530" s="48"/>
      <c r="D530" s="49" t="s">
        <v>682</v>
      </c>
      <c r="E530" s="49">
        <v>11.6</v>
      </c>
      <c r="F530" s="49"/>
      <c r="G530" s="49"/>
    </row>
    <row r="531" spans="1:7" x14ac:dyDescent="0.3">
      <c r="A531" s="32"/>
      <c r="B531" s="46" t="s">
        <v>956</v>
      </c>
      <c r="C531" s="48"/>
      <c r="D531" s="49" t="s">
        <v>682</v>
      </c>
      <c r="E531" s="49">
        <v>14.9</v>
      </c>
      <c r="F531" s="49"/>
      <c r="G531" s="49"/>
    </row>
    <row r="532" spans="1:7" x14ac:dyDescent="0.3">
      <c r="A532" s="32"/>
      <c r="B532" s="46" t="s">
        <v>924</v>
      </c>
      <c r="C532" s="48"/>
      <c r="D532" s="49" t="s">
        <v>10</v>
      </c>
      <c r="E532" s="49">
        <v>1.4</v>
      </c>
      <c r="F532" s="49"/>
      <c r="G532" s="49"/>
    </row>
    <row r="533" spans="1:7" x14ac:dyDescent="0.3">
      <c r="A533" s="32"/>
      <c r="B533" s="46" t="s">
        <v>957</v>
      </c>
      <c r="C533" s="48"/>
      <c r="D533" s="49" t="s">
        <v>14</v>
      </c>
      <c r="E533" s="49">
        <v>52</v>
      </c>
      <c r="F533" s="49"/>
      <c r="G533" s="49"/>
    </row>
    <row r="534" spans="1:7" x14ac:dyDescent="0.3">
      <c r="A534" s="31"/>
      <c r="B534" s="41" t="s">
        <v>958</v>
      </c>
      <c r="C534" s="31"/>
      <c r="D534" s="42"/>
      <c r="E534" s="42"/>
      <c r="F534" s="42"/>
      <c r="G534" s="42"/>
    </row>
    <row r="535" spans="1:7" ht="31.2" x14ac:dyDescent="0.3">
      <c r="A535" s="32"/>
      <c r="B535" s="46" t="s">
        <v>959</v>
      </c>
      <c r="C535" s="48"/>
      <c r="D535" s="49" t="s">
        <v>682</v>
      </c>
      <c r="E535" s="49">
        <v>92.9</v>
      </c>
      <c r="F535" s="49"/>
      <c r="G535" s="49"/>
    </row>
    <row r="536" spans="1:7" x14ac:dyDescent="0.3">
      <c r="A536" s="32"/>
      <c r="B536" s="46" t="s">
        <v>941</v>
      </c>
      <c r="C536" s="48"/>
      <c r="D536" s="49" t="s">
        <v>682</v>
      </c>
      <c r="E536" s="49">
        <v>1.337</v>
      </c>
      <c r="F536" s="49"/>
      <c r="G536" s="49"/>
    </row>
    <row r="537" spans="1:7" x14ac:dyDescent="0.3">
      <c r="A537" s="31"/>
      <c r="B537" s="41" t="s">
        <v>960</v>
      </c>
      <c r="C537" s="31"/>
      <c r="D537" s="42"/>
      <c r="E537" s="42"/>
      <c r="F537" s="42"/>
      <c r="G537" s="42"/>
    </row>
    <row r="538" spans="1:7" x14ac:dyDescent="0.3">
      <c r="A538" s="32"/>
      <c r="B538" s="46" t="s">
        <v>884</v>
      </c>
      <c r="C538" s="48"/>
      <c r="D538" s="49" t="s">
        <v>682</v>
      </c>
      <c r="E538" s="49">
        <f>13.4*4</f>
        <v>53.6</v>
      </c>
      <c r="F538" s="49"/>
      <c r="G538" s="49"/>
    </row>
    <row r="539" spans="1:7" x14ac:dyDescent="0.3">
      <c r="A539" s="32"/>
      <c r="B539" s="46" t="s">
        <v>814</v>
      </c>
      <c r="C539" s="48"/>
      <c r="D539" s="49" t="s">
        <v>72</v>
      </c>
      <c r="E539" s="49">
        <f>47.55*4</f>
        <v>190.2</v>
      </c>
      <c r="F539" s="49"/>
      <c r="G539" s="49"/>
    </row>
    <row r="540" spans="1:7" x14ac:dyDescent="0.3">
      <c r="A540" s="32"/>
      <c r="B540" s="46" t="s">
        <v>961</v>
      </c>
      <c r="C540" s="48"/>
      <c r="D540" s="49" t="s">
        <v>14</v>
      </c>
      <c r="E540" s="49">
        <f>16*4</f>
        <v>64</v>
      </c>
      <c r="F540" s="49"/>
      <c r="G540" s="49"/>
    </row>
    <row r="541" spans="1:7" x14ac:dyDescent="0.3">
      <c r="A541" s="32"/>
      <c r="B541" s="46" t="s">
        <v>944</v>
      </c>
      <c r="C541" s="48"/>
      <c r="D541" s="49" t="s">
        <v>14</v>
      </c>
      <c r="E541" s="49">
        <f>3*4</f>
        <v>12</v>
      </c>
      <c r="F541" s="49"/>
      <c r="G541" s="49"/>
    </row>
    <row r="542" spans="1:7" x14ac:dyDescent="0.3">
      <c r="A542" s="32"/>
      <c r="B542" s="46" t="s">
        <v>962</v>
      </c>
      <c r="C542" s="48"/>
      <c r="D542" s="49" t="s">
        <v>14</v>
      </c>
      <c r="E542" s="49">
        <f>49*4</f>
        <v>196</v>
      </c>
      <c r="F542" s="49"/>
      <c r="G542" s="49"/>
    </row>
    <row r="543" spans="1:7" x14ac:dyDescent="0.3">
      <c r="A543" s="32"/>
      <c r="B543" s="46" t="s">
        <v>963</v>
      </c>
      <c r="C543" s="48"/>
      <c r="D543" s="49" t="s">
        <v>14</v>
      </c>
      <c r="E543" s="49">
        <f>52*4</f>
        <v>208</v>
      </c>
      <c r="F543" s="49"/>
      <c r="G543" s="49"/>
    </row>
    <row r="544" spans="1:7" x14ac:dyDescent="0.3">
      <c r="A544" s="32"/>
      <c r="B544" s="46" t="s">
        <v>924</v>
      </c>
      <c r="C544" s="48"/>
      <c r="D544" s="49" t="s">
        <v>10</v>
      </c>
      <c r="E544" s="49">
        <f>4.6*4</f>
        <v>18.399999999999999</v>
      </c>
      <c r="F544" s="49"/>
      <c r="G544" s="49"/>
    </row>
    <row r="545" spans="1:7" x14ac:dyDescent="0.3">
      <c r="A545" s="31"/>
      <c r="B545" s="41" t="s">
        <v>964</v>
      </c>
      <c r="C545" s="31"/>
      <c r="D545" s="42"/>
      <c r="E545" s="42"/>
      <c r="F545" s="42"/>
      <c r="G545" s="42"/>
    </row>
    <row r="546" spans="1:7" x14ac:dyDescent="0.3">
      <c r="A546" s="32"/>
      <c r="B546" s="46" t="s">
        <v>939</v>
      </c>
      <c r="C546" s="48"/>
      <c r="D546" s="49" t="s">
        <v>10</v>
      </c>
      <c r="E546" s="49">
        <v>0.4</v>
      </c>
      <c r="F546" s="49"/>
      <c r="G546" s="49"/>
    </row>
    <row r="547" spans="1:7" x14ac:dyDescent="0.3">
      <c r="A547" s="32"/>
      <c r="B547" s="46" t="s">
        <v>884</v>
      </c>
      <c r="C547" s="48"/>
      <c r="D547" s="49" t="s">
        <v>682</v>
      </c>
      <c r="E547" s="49">
        <v>22.5</v>
      </c>
      <c r="F547" s="49"/>
      <c r="G547" s="49"/>
    </row>
    <row r="548" spans="1:7" x14ac:dyDescent="0.3">
      <c r="A548" s="32"/>
      <c r="B548" s="46" t="s">
        <v>922</v>
      </c>
      <c r="C548" s="48"/>
      <c r="D548" s="49" t="s">
        <v>72</v>
      </c>
      <c r="E548" s="49">
        <v>316.8</v>
      </c>
      <c r="F548" s="49"/>
      <c r="G548" s="49"/>
    </row>
    <row r="549" spans="1:7" x14ac:dyDescent="0.3">
      <c r="A549" s="32"/>
      <c r="B549" s="46" t="s">
        <v>965</v>
      </c>
      <c r="C549" s="48"/>
      <c r="D549" s="49" t="s">
        <v>10</v>
      </c>
      <c r="E549" s="49">
        <v>0.1</v>
      </c>
      <c r="F549" s="49"/>
      <c r="G549" s="49"/>
    </row>
    <row r="550" spans="1:7" x14ac:dyDescent="0.3">
      <c r="A550" s="32"/>
      <c r="B550" s="46" t="s">
        <v>942</v>
      </c>
      <c r="C550" s="48"/>
      <c r="D550" s="49" t="s">
        <v>14</v>
      </c>
      <c r="E550" s="49">
        <v>128</v>
      </c>
      <c r="F550" s="49"/>
      <c r="G550" s="49"/>
    </row>
    <row r="551" spans="1:7" x14ac:dyDescent="0.3">
      <c r="A551" s="32"/>
      <c r="B551" s="46" t="s">
        <v>961</v>
      </c>
      <c r="C551" s="48"/>
      <c r="D551" s="49" t="s">
        <v>14</v>
      </c>
      <c r="E551" s="49">
        <v>64</v>
      </c>
      <c r="F551" s="49"/>
      <c r="G551" s="49"/>
    </row>
    <row r="552" spans="1:7" x14ac:dyDescent="0.3">
      <c r="A552" s="32"/>
      <c r="B552" s="46" t="s">
        <v>944</v>
      </c>
      <c r="C552" s="48"/>
      <c r="D552" s="49" t="s">
        <v>14</v>
      </c>
      <c r="E552" s="49">
        <v>16</v>
      </c>
      <c r="F552" s="49"/>
      <c r="G552" s="49"/>
    </row>
    <row r="553" spans="1:7" x14ac:dyDescent="0.3">
      <c r="A553" s="32"/>
      <c r="B553" s="46" t="s">
        <v>945</v>
      </c>
      <c r="C553" s="48"/>
      <c r="D553" s="49" t="s">
        <v>69</v>
      </c>
      <c r="E553" s="49">
        <v>3.6</v>
      </c>
      <c r="F553" s="49"/>
      <c r="G553" s="49"/>
    </row>
    <row r="554" spans="1:7" x14ac:dyDescent="0.3">
      <c r="A554" s="31"/>
      <c r="B554" s="41" t="s">
        <v>966</v>
      </c>
      <c r="C554" s="31"/>
      <c r="D554" s="42"/>
      <c r="E554" s="42"/>
      <c r="F554" s="42"/>
      <c r="G554" s="42"/>
    </row>
    <row r="555" spans="1:7" x14ac:dyDescent="0.3">
      <c r="A555" s="32"/>
      <c r="B555" s="46" t="s">
        <v>918</v>
      </c>
      <c r="C555" s="48"/>
      <c r="D555" s="49" t="s">
        <v>10</v>
      </c>
      <c r="E555" s="49">
        <v>12.9</v>
      </c>
      <c r="F555" s="49"/>
      <c r="G555" s="49"/>
    </row>
    <row r="556" spans="1:7" x14ac:dyDescent="0.3">
      <c r="A556" s="32"/>
      <c r="B556" s="46" t="s">
        <v>843</v>
      </c>
      <c r="C556" s="48"/>
      <c r="D556" s="49" t="s">
        <v>14</v>
      </c>
      <c r="E556" s="49">
        <v>6</v>
      </c>
      <c r="F556" s="49"/>
      <c r="G556" s="49"/>
    </row>
    <row r="557" spans="1:7" x14ac:dyDescent="0.3">
      <c r="A557" s="32"/>
      <c r="B557" s="46" t="s">
        <v>923</v>
      </c>
      <c r="C557" s="48"/>
      <c r="D557" s="49" t="s">
        <v>682</v>
      </c>
      <c r="E557" s="49">
        <v>5.4</v>
      </c>
      <c r="F557" s="49"/>
      <c r="G557" s="49"/>
    </row>
    <row r="558" spans="1:7" x14ac:dyDescent="0.3">
      <c r="A558" s="32"/>
      <c r="B558" s="46" t="s">
        <v>921</v>
      </c>
      <c r="C558" s="48"/>
      <c r="D558" s="49" t="s">
        <v>682</v>
      </c>
      <c r="E558" s="49">
        <v>4.0999999999999996</v>
      </c>
      <c r="F558" s="49"/>
      <c r="G558" s="49"/>
    </row>
    <row r="559" spans="1:7" x14ac:dyDescent="0.3">
      <c r="A559" s="32"/>
      <c r="B559" s="46" t="s">
        <v>924</v>
      </c>
      <c r="C559" s="48"/>
      <c r="D559" s="49" t="s">
        <v>10</v>
      </c>
      <c r="E559" s="49">
        <v>6.9</v>
      </c>
      <c r="F559" s="49"/>
      <c r="G559" s="49"/>
    </row>
    <row r="560" spans="1:7" x14ac:dyDescent="0.3">
      <c r="A560" s="32"/>
      <c r="B560" s="46" t="s">
        <v>938</v>
      </c>
      <c r="C560" s="48"/>
      <c r="D560" s="49" t="s">
        <v>14</v>
      </c>
      <c r="E560" s="49">
        <v>108</v>
      </c>
      <c r="F560" s="49"/>
      <c r="G560" s="49"/>
    </row>
    <row r="561" spans="1:7" x14ac:dyDescent="0.3">
      <c r="A561" s="32"/>
      <c r="B561" s="46" t="s">
        <v>939</v>
      </c>
      <c r="C561" s="48"/>
      <c r="D561" s="49" t="s">
        <v>10</v>
      </c>
      <c r="E561" s="49">
        <v>0.1</v>
      </c>
      <c r="F561" s="49"/>
      <c r="G561" s="49"/>
    </row>
    <row r="562" spans="1:7" ht="31.2" x14ac:dyDescent="0.3">
      <c r="A562" s="32"/>
      <c r="B562" s="46" t="s">
        <v>967</v>
      </c>
      <c r="C562" s="48"/>
      <c r="D562" s="49" t="s">
        <v>682</v>
      </c>
      <c r="E562" s="49">
        <v>7.6</v>
      </c>
      <c r="F562" s="49"/>
      <c r="G562" s="49"/>
    </row>
    <row r="563" spans="1:7" x14ac:dyDescent="0.3">
      <c r="A563" s="32"/>
      <c r="B563" s="46" t="s">
        <v>943</v>
      </c>
      <c r="C563" s="48"/>
      <c r="D563" s="49" t="s">
        <v>14</v>
      </c>
      <c r="E563" s="49">
        <v>48</v>
      </c>
      <c r="F563" s="49"/>
      <c r="G563" s="49"/>
    </row>
    <row r="564" spans="1:7" x14ac:dyDescent="0.3">
      <c r="A564" s="32"/>
      <c r="B564" s="46" t="s">
        <v>944</v>
      </c>
      <c r="C564" s="48"/>
      <c r="D564" s="49" t="s">
        <v>14</v>
      </c>
      <c r="E564" s="49">
        <v>6</v>
      </c>
      <c r="F564" s="49"/>
      <c r="G564" s="49"/>
    </row>
    <row r="565" spans="1:7" x14ac:dyDescent="0.3">
      <c r="A565" s="31"/>
      <c r="B565" s="41" t="s">
        <v>968</v>
      </c>
      <c r="C565" s="31"/>
      <c r="D565" s="42"/>
      <c r="E565" s="42"/>
      <c r="F565" s="42"/>
      <c r="G565" s="42"/>
    </row>
    <row r="566" spans="1:7" ht="31.2" x14ac:dyDescent="0.3">
      <c r="A566" s="32"/>
      <c r="B566" s="46" t="s">
        <v>969</v>
      </c>
      <c r="C566" s="48"/>
      <c r="D566" s="49" t="s">
        <v>682</v>
      </c>
      <c r="E566" s="49">
        <v>25.4</v>
      </c>
      <c r="F566" s="49"/>
      <c r="G566" s="49"/>
    </row>
    <row r="567" spans="1:7" x14ac:dyDescent="0.3">
      <c r="A567" s="32"/>
      <c r="B567" s="46" t="s">
        <v>970</v>
      </c>
      <c r="C567" s="48"/>
      <c r="D567" s="49" t="s">
        <v>69</v>
      </c>
      <c r="E567" s="49">
        <v>336</v>
      </c>
      <c r="F567" s="49"/>
      <c r="G567" s="49"/>
    </row>
    <row r="568" spans="1:7" x14ac:dyDescent="0.3">
      <c r="A568" s="32"/>
      <c r="B568" s="46" t="s">
        <v>924</v>
      </c>
      <c r="C568" s="48"/>
      <c r="D568" s="49" t="s">
        <v>10</v>
      </c>
      <c r="E568" s="49">
        <v>46.3</v>
      </c>
      <c r="F568" s="49"/>
      <c r="G568" s="49"/>
    </row>
    <row r="569" spans="1:7" x14ac:dyDescent="0.3">
      <c r="A569" s="31"/>
      <c r="B569" s="41" t="s">
        <v>971</v>
      </c>
      <c r="C569" s="31"/>
      <c r="D569" s="42"/>
      <c r="E569" s="42"/>
      <c r="F569" s="42"/>
      <c r="G569" s="42"/>
    </row>
    <row r="570" spans="1:7" ht="31.2" x14ac:dyDescent="0.3">
      <c r="A570" s="32"/>
      <c r="B570" s="46" t="s">
        <v>972</v>
      </c>
      <c r="C570" s="48"/>
      <c r="D570" s="49" t="s">
        <v>682</v>
      </c>
      <c r="E570" s="49">
        <v>14</v>
      </c>
      <c r="F570" s="49"/>
      <c r="G570" s="49"/>
    </row>
    <row r="571" spans="1:7" x14ac:dyDescent="0.3">
      <c r="A571" s="32"/>
      <c r="B571" s="46" t="s">
        <v>973</v>
      </c>
      <c r="C571" s="48"/>
      <c r="D571" s="49" t="s">
        <v>72</v>
      </c>
      <c r="E571" s="49">
        <v>142</v>
      </c>
      <c r="F571" s="49"/>
      <c r="G571" s="49"/>
    </row>
    <row r="572" spans="1:7" x14ac:dyDescent="0.3">
      <c r="A572" s="32"/>
      <c r="B572" s="46" t="s">
        <v>924</v>
      </c>
      <c r="C572" s="48"/>
      <c r="D572" s="49" t="s">
        <v>10</v>
      </c>
      <c r="E572" s="49">
        <v>153</v>
      </c>
      <c r="F572" s="49"/>
      <c r="G572" s="49"/>
    </row>
    <row r="573" spans="1:7" x14ac:dyDescent="0.3">
      <c r="A573" s="31"/>
      <c r="B573" s="41" t="s">
        <v>974</v>
      </c>
      <c r="C573" s="31"/>
      <c r="D573" s="42"/>
      <c r="E573" s="42"/>
      <c r="F573" s="42"/>
      <c r="G573" s="42"/>
    </row>
    <row r="574" spans="1:7" x14ac:dyDescent="0.3">
      <c r="A574" s="32"/>
      <c r="B574" s="46" t="s">
        <v>975</v>
      </c>
      <c r="C574" s="48"/>
      <c r="D574" s="49" t="s">
        <v>682</v>
      </c>
      <c r="E574" s="49">
        <v>1.2</v>
      </c>
      <c r="F574" s="49"/>
      <c r="G574" s="49"/>
    </row>
    <row r="575" spans="1:7" ht="31.2" x14ac:dyDescent="0.3">
      <c r="A575" s="32"/>
      <c r="B575" s="46" t="s">
        <v>976</v>
      </c>
      <c r="C575" s="48"/>
      <c r="D575" s="49" t="s">
        <v>682</v>
      </c>
      <c r="E575" s="49">
        <v>34.5</v>
      </c>
      <c r="F575" s="49"/>
      <c r="G575" s="49"/>
    </row>
    <row r="576" spans="1:7" x14ac:dyDescent="0.3">
      <c r="A576" s="32"/>
      <c r="B576" s="46" t="s">
        <v>977</v>
      </c>
      <c r="C576" s="48"/>
      <c r="D576" s="49" t="s">
        <v>72</v>
      </c>
      <c r="E576" s="49">
        <v>427</v>
      </c>
      <c r="F576" s="49"/>
      <c r="G576" s="49"/>
    </row>
    <row r="577" spans="1:7" x14ac:dyDescent="0.3">
      <c r="A577" s="32"/>
      <c r="B577" s="46" t="s">
        <v>835</v>
      </c>
      <c r="C577" s="48"/>
      <c r="D577" s="49" t="s">
        <v>69</v>
      </c>
      <c r="E577" s="49">
        <v>1753</v>
      </c>
      <c r="F577" s="49"/>
      <c r="G577" s="49"/>
    </row>
    <row r="578" spans="1:7" x14ac:dyDescent="0.3">
      <c r="A578" s="32"/>
      <c r="B578" s="46" t="s">
        <v>928</v>
      </c>
      <c r="C578" s="48"/>
      <c r="D578" s="49" t="s">
        <v>69</v>
      </c>
      <c r="E578" s="49">
        <v>3120</v>
      </c>
      <c r="F578" s="49"/>
      <c r="G578" s="49"/>
    </row>
    <row r="579" spans="1:7" ht="31.2" x14ac:dyDescent="0.3">
      <c r="A579" s="52"/>
      <c r="B579" s="56" t="s">
        <v>978</v>
      </c>
      <c r="C579" s="52"/>
      <c r="D579" s="52"/>
      <c r="E579" s="53"/>
      <c r="F579" s="53"/>
      <c r="G579" s="53"/>
    </row>
    <row r="580" spans="1:7" x14ac:dyDescent="0.3">
      <c r="A580" s="31"/>
      <c r="B580" s="41" t="s">
        <v>979</v>
      </c>
      <c r="C580" s="31"/>
      <c r="D580" s="42"/>
      <c r="E580" s="42"/>
      <c r="F580" s="42"/>
      <c r="G580" s="42"/>
    </row>
    <row r="581" spans="1:7" ht="31.2" x14ac:dyDescent="0.3">
      <c r="A581" s="31"/>
      <c r="B581" s="41" t="s">
        <v>980</v>
      </c>
      <c r="C581" s="31"/>
      <c r="D581" s="42"/>
      <c r="E581" s="57"/>
      <c r="F581" s="57"/>
      <c r="G581" s="57"/>
    </row>
    <row r="582" spans="1:7" x14ac:dyDescent="0.3">
      <c r="A582" s="32"/>
      <c r="B582" s="46" t="s">
        <v>981</v>
      </c>
      <c r="C582" s="48"/>
      <c r="D582" s="49" t="s">
        <v>682</v>
      </c>
      <c r="E582" s="54">
        <f>229.992/2</f>
        <v>114.996</v>
      </c>
      <c r="F582" s="54"/>
      <c r="G582" s="54"/>
    </row>
    <row r="583" spans="1:7" x14ac:dyDescent="0.3">
      <c r="A583" s="32"/>
      <c r="B583" s="46" t="s">
        <v>887</v>
      </c>
      <c r="C583" s="48"/>
      <c r="D583" s="49" t="s">
        <v>682</v>
      </c>
      <c r="E583" s="54">
        <f>105.376/2</f>
        <v>52.688000000000002</v>
      </c>
      <c r="F583" s="54"/>
      <c r="G583" s="54"/>
    </row>
    <row r="584" spans="1:7" x14ac:dyDescent="0.3">
      <c r="A584" s="32"/>
      <c r="B584" s="46" t="s">
        <v>914</v>
      </c>
      <c r="C584" s="48"/>
      <c r="D584" s="49" t="s">
        <v>682</v>
      </c>
      <c r="E584" s="49">
        <v>161.458</v>
      </c>
      <c r="F584" s="49"/>
      <c r="G584" s="49"/>
    </row>
    <row r="585" spans="1:7" x14ac:dyDescent="0.3">
      <c r="A585" s="32"/>
      <c r="B585" s="46" t="s">
        <v>845</v>
      </c>
      <c r="C585" s="48"/>
      <c r="D585" s="49" t="s">
        <v>682</v>
      </c>
      <c r="E585" s="49">
        <v>424.4</v>
      </c>
      <c r="F585" s="49"/>
      <c r="G585" s="49"/>
    </row>
    <row r="586" spans="1:7" x14ac:dyDescent="0.3">
      <c r="A586" s="32"/>
      <c r="B586" s="46" t="s">
        <v>982</v>
      </c>
      <c r="C586" s="48"/>
      <c r="D586" s="49" t="s">
        <v>682</v>
      </c>
      <c r="E586" s="54">
        <f>56/2</f>
        <v>28</v>
      </c>
      <c r="F586" s="54"/>
      <c r="G586" s="54"/>
    </row>
    <row r="587" spans="1:7" ht="31.2" x14ac:dyDescent="0.3">
      <c r="A587" s="32"/>
      <c r="B587" s="46" t="s">
        <v>983</v>
      </c>
      <c r="C587" s="48"/>
      <c r="D587" s="49" t="s">
        <v>682</v>
      </c>
      <c r="E587" s="54">
        <f>39.8/2</f>
        <v>19.899999999999999</v>
      </c>
      <c r="F587" s="54"/>
      <c r="G587" s="54"/>
    </row>
    <row r="588" spans="1:7" x14ac:dyDescent="0.3">
      <c r="A588" s="32"/>
      <c r="B588" s="46" t="s">
        <v>984</v>
      </c>
      <c r="C588" s="48"/>
      <c r="D588" s="49" t="s">
        <v>10</v>
      </c>
      <c r="E588" s="54">
        <f>165.6/2</f>
        <v>82.8</v>
      </c>
      <c r="F588" s="54"/>
      <c r="G588" s="54"/>
    </row>
    <row r="589" spans="1:7" x14ac:dyDescent="0.3">
      <c r="A589" s="32"/>
      <c r="B589" s="46" t="s">
        <v>985</v>
      </c>
      <c r="C589" s="48"/>
      <c r="D589" s="49" t="s">
        <v>682</v>
      </c>
      <c r="E589" s="54">
        <v>117.1</v>
      </c>
      <c r="F589" s="54"/>
      <c r="G589" s="54"/>
    </row>
    <row r="590" spans="1:7" x14ac:dyDescent="0.3">
      <c r="A590" s="32"/>
      <c r="B590" s="46" t="s">
        <v>986</v>
      </c>
      <c r="C590" s="48"/>
      <c r="D590" s="49" t="s">
        <v>682</v>
      </c>
      <c r="E590" s="54">
        <f>149.4/2</f>
        <v>74.7</v>
      </c>
      <c r="F590" s="54"/>
      <c r="G590" s="54"/>
    </row>
    <row r="591" spans="1:7" x14ac:dyDescent="0.3">
      <c r="A591" s="32"/>
      <c r="B591" s="46" t="s">
        <v>814</v>
      </c>
      <c r="C591" s="48"/>
      <c r="D591" s="49" t="s">
        <v>682</v>
      </c>
      <c r="E591" s="54">
        <v>1.1000000000000001</v>
      </c>
      <c r="F591" s="54"/>
      <c r="G591" s="54"/>
    </row>
    <row r="592" spans="1:7" ht="31.2" x14ac:dyDescent="0.3">
      <c r="A592" s="31"/>
      <c r="B592" s="41" t="s">
        <v>987</v>
      </c>
      <c r="C592" s="31"/>
      <c r="D592" s="42"/>
      <c r="E592" s="57"/>
      <c r="F592" s="57"/>
      <c r="G592" s="57"/>
    </row>
    <row r="593" spans="1:7" x14ac:dyDescent="0.3">
      <c r="A593" s="32"/>
      <c r="B593" s="46" t="s">
        <v>884</v>
      </c>
      <c r="C593" s="48"/>
      <c r="D593" s="49" t="s">
        <v>682</v>
      </c>
      <c r="E593" s="54">
        <f>3.2/2</f>
        <v>1.6</v>
      </c>
      <c r="F593" s="54"/>
      <c r="G593" s="54"/>
    </row>
    <row r="594" spans="1:7" x14ac:dyDescent="0.3">
      <c r="A594" s="32"/>
      <c r="B594" s="46" t="s">
        <v>988</v>
      </c>
      <c r="C594" s="48"/>
      <c r="D594" s="49" t="s">
        <v>682</v>
      </c>
      <c r="E594" s="54">
        <f>4.34/2</f>
        <v>2.17</v>
      </c>
      <c r="F594" s="54"/>
      <c r="G594" s="54"/>
    </row>
    <row r="595" spans="1:7" ht="31.2" x14ac:dyDescent="0.3">
      <c r="A595" s="31"/>
      <c r="B595" s="41" t="s">
        <v>989</v>
      </c>
      <c r="C595" s="31"/>
      <c r="D595" s="42"/>
      <c r="E595" s="57"/>
      <c r="F595" s="57"/>
      <c r="G595" s="57"/>
    </row>
    <row r="596" spans="1:7" x14ac:dyDescent="0.3">
      <c r="A596" s="32"/>
      <c r="B596" s="46" t="s">
        <v>884</v>
      </c>
      <c r="C596" s="48"/>
      <c r="D596" s="49" t="s">
        <v>682</v>
      </c>
      <c r="E596" s="54">
        <f>2.2/2</f>
        <v>1.1000000000000001</v>
      </c>
      <c r="F596" s="54"/>
      <c r="G596" s="54"/>
    </row>
    <row r="597" spans="1:7" x14ac:dyDescent="0.3">
      <c r="A597" s="32"/>
      <c r="B597" s="46" t="s">
        <v>990</v>
      </c>
      <c r="C597" s="48"/>
      <c r="D597" s="49" t="s">
        <v>69</v>
      </c>
      <c r="E597" s="54">
        <v>36.5</v>
      </c>
      <c r="F597" s="54"/>
      <c r="G597" s="54"/>
    </row>
    <row r="598" spans="1:7" x14ac:dyDescent="0.3">
      <c r="A598" s="32"/>
      <c r="B598" s="46" t="s">
        <v>991</v>
      </c>
      <c r="C598" s="48"/>
      <c r="D598" s="49" t="s">
        <v>14</v>
      </c>
      <c r="E598" s="54">
        <v>4</v>
      </c>
      <c r="F598" s="54"/>
      <c r="G598" s="54"/>
    </row>
    <row r="599" spans="1:7" x14ac:dyDescent="0.3">
      <c r="A599" s="31"/>
      <c r="B599" s="41" t="s">
        <v>992</v>
      </c>
      <c r="C599" s="31"/>
      <c r="D599" s="42"/>
      <c r="E599" s="57"/>
      <c r="F599" s="57"/>
      <c r="G599" s="57"/>
    </row>
    <row r="600" spans="1:7" x14ac:dyDescent="0.3">
      <c r="A600" s="32"/>
      <c r="B600" s="46" t="s">
        <v>993</v>
      </c>
      <c r="C600" s="48"/>
      <c r="D600" s="49" t="s">
        <v>682</v>
      </c>
      <c r="E600" s="54">
        <f>12.6/2</f>
        <v>6.3</v>
      </c>
      <c r="F600" s="54"/>
      <c r="G600" s="54"/>
    </row>
    <row r="601" spans="1:7" x14ac:dyDescent="0.3">
      <c r="A601" s="32"/>
      <c r="B601" s="46" t="s">
        <v>994</v>
      </c>
      <c r="C601" s="48"/>
      <c r="D601" s="49" t="s">
        <v>682</v>
      </c>
      <c r="E601" s="54">
        <f>18.9/2</f>
        <v>9.4499999999999993</v>
      </c>
      <c r="F601" s="54"/>
      <c r="G601" s="54"/>
    </row>
    <row r="602" spans="1:7" x14ac:dyDescent="0.3">
      <c r="A602" s="32"/>
      <c r="B602" s="46" t="s">
        <v>984</v>
      </c>
      <c r="C602" s="48"/>
      <c r="D602" s="49" t="s">
        <v>10</v>
      </c>
      <c r="E602" s="49">
        <f>10</f>
        <v>10</v>
      </c>
      <c r="F602" s="49"/>
      <c r="G602" s="49"/>
    </row>
    <row r="603" spans="1:7" x14ac:dyDescent="0.3">
      <c r="A603" s="31"/>
      <c r="B603" s="41" t="s">
        <v>995</v>
      </c>
      <c r="C603" s="31"/>
      <c r="D603" s="42"/>
      <c r="E603" s="42"/>
      <c r="F603" s="42"/>
      <c r="G603" s="42"/>
    </row>
    <row r="604" spans="1:7" ht="31.2" x14ac:dyDescent="0.3">
      <c r="A604" s="31"/>
      <c r="B604" s="41" t="s">
        <v>980</v>
      </c>
      <c r="C604" s="31"/>
      <c r="D604" s="42"/>
      <c r="E604" s="57"/>
      <c r="F604" s="57"/>
      <c r="G604" s="57"/>
    </row>
    <row r="605" spans="1:7" x14ac:dyDescent="0.3">
      <c r="A605" s="32"/>
      <c r="B605" s="46" t="s">
        <v>981</v>
      </c>
      <c r="C605" s="48"/>
      <c r="D605" s="49" t="s">
        <v>682</v>
      </c>
      <c r="E605" s="54">
        <f>229.992/2</f>
        <v>114.996</v>
      </c>
      <c r="F605" s="54"/>
      <c r="G605" s="54"/>
    </row>
    <row r="606" spans="1:7" x14ac:dyDescent="0.3">
      <c r="A606" s="32"/>
      <c r="B606" s="46" t="s">
        <v>887</v>
      </c>
      <c r="C606" s="48"/>
      <c r="D606" s="49" t="s">
        <v>682</v>
      </c>
      <c r="E606" s="54">
        <f>105.376/2</f>
        <v>52.688000000000002</v>
      </c>
      <c r="F606" s="54"/>
      <c r="G606" s="54"/>
    </row>
    <row r="607" spans="1:7" x14ac:dyDescent="0.3">
      <c r="A607" s="32"/>
      <c r="B607" s="46" t="s">
        <v>914</v>
      </c>
      <c r="C607" s="48"/>
      <c r="D607" s="49" t="s">
        <v>682</v>
      </c>
      <c r="E607" s="49">
        <v>155.31200000000001</v>
      </c>
      <c r="F607" s="49"/>
      <c r="G607" s="49"/>
    </row>
    <row r="608" spans="1:7" x14ac:dyDescent="0.3">
      <c r="A608" s="32"/>
      <c r="B608" s="46" t="s">
        <v>845</v>
      </c>
      <c r="C608" s="48"/>
      <c r="D608" s="49" t="s">
        <v>682</v>
      </c>
      <c r="E608" s="49">
        <v>424.4</v>
      </c>
      <c r="F608" s="49"/>
      <c r="G608" s="49"/>
    </row>
    <row r="609" spans="1:7" x14ac:dyDescent="0.3">
      <c r="A609" s="32"/>
      <c r="B609" s="46" t="s">
        <v>982</v>
      </c>
      <c r="C609" s="48"/>
      <c r="D609" s="49" t="s">
        <v>682</v>
      </c>
      <c r="E609" s="54">
        <f>56/2</f>
        <v>28</v>
      </c>
      <c r="F609" s="54"/>
      <c r="G609" s="54"/>
    </row>
    <row r="610" spans="1:7" ht="31.2" x14ac:dyDescent="0.3">
      <c r="A610" s="32"/>
      <c r="B610" s="46" t="s">
        <v>983</v>
      </c>
      <c r="C610" s="48"/>
      <c r="D610" s="49" t="s">
        <v>682</v>
      </c>
      <c r="E610" s="54">
        <f>39.8/2</f>
        <v>19.899999999999999</v>
      </c>
      <c r="F610" s="54"/>
      <c r="G610" s="54"/>
    </row>
    <row r="611" spans="1:7" x14ac:dyDescent="0.3">
      <c r="A611" s="32"/>
      <c r="B611" s="46" t="s">
        <v>984</v>
      </c>
      <c r="C611" s="48"/>
      <c r="D611" s="49" t="s">
        <v>10</v>
      </c>
      <c r="E611" s="54">
        <f>165.6/2</f>
        <v>82.8</v>
      </c>
      <c r="F611" s="54"/>
      <c r="G611" s="54"/>
    </row>
    <row r="612" spans="1:7" x14ac:dyDescent="0.3">
      <c r="A612" s="32"/>
      <c r="B612" s="46" t="s">
        <v>985</v>
      </c>
      <c r="C612" s="48"/>
      <c r="D612" s="49" t="s">
        <v>682</v>
      </c>
      <c r="E612" s="54">
        <v>118.6</v>
      </c>
      <c r="F612" s="54"/>
      <c r="G612" s="54"/>
    </row>
    <row r="613" spans="1:7" x14ac:dyDescent="0.3">
      <c r="A613" s="32"/>
      <c r="B613" s="46" t="s">
        <v>986</v>
      </c>
      <c r="C613" s="48"/>
      <c r="D613" s="49" t="s">
        <v>682</v>
      </c>
      <c r="E613" s="54">
        <f>149.4/2</f>
        <v>74.7</v>
      </c>
      <c r="F613" s="54"/>
      <c r="G613" s="54"/>
    </row>
    <row r="614" spans="1:7" x14ac:dyDescent="0.3">
      <c r="A614" s="32"/>
      <c r="B614" s="46" t="s">
        <v>814</v>
      </c>
      <c r="C614" s="48"/>
      <c r="D614" s="49" t="s">
        <v>682</v>
      </c>
      <c r="E614" s="54">
        <v>1.1000000000000001</v>
      </c>
      <c r="F614" s="54"/>
      <c r="G614" s="54"/>
    </row>
    <row r="615" spans="1:7" ht="31.2" x14ac:dyDescent="0.3">
      <c r="A615" s="31"/>
      <c r="B615" s="41" t="s">
        <v>987</v>
      </c>
      <c r="C615" s="31"/>
      <c r="D615" s="42" t="s">
        <v>682</v>
      </c>
      <c r="E615" s="57"/>
      <c r="F615" s="57"/>
      <c r="G615" s="57"/>
    </row>
    <row r="616" spans="1:7" x14ac:dyDescent="0.3">
      <c r="A616" s="32"/>
      <c r="B616" s="46" t="s">
        <v>884</v>
      </c>
      <c r="C616" s="48"/>
      <c r="D616" s="49" t="s">
        <v>682</v>
      </c>
      <c r="E616" s="54">
        <f>3.2/2</f>
        <v>1.6</v>
      </c>
      <c r="F616" s="54"/>
      <c r="G616" s="54"/>
    </row>
    <row r="617" spans="1:7" x14ac:dyDescent="0.3">
      <c r="A617" s="32"/>
      <c r="B617" s="46" t="s">
        <v>988</v>
      </c>
      <c r="C617" s="48"/>
      <c r="D617" s="49" t="s">
        <v>682</v>
      </c>
      <c r="E617" s="54">
        <f>4.34/2</f>
        <v>2.17</v>
      </c>
      <c r="F617" s="54"/>
      <c r="G617" s="54"/>
    </row>
    <row r="618" spans="1:7" ht="31.2" x14ac:dyDescent="0.3">
      <c r="A618" s="31"/>
      <c r="B618" s="41" t="s">
        <v>989</v>
      </c>
      <c r="C618" s="31"/>
      <c r="D618" s="42"/>
      <c r="E618" s="57"/>
      <c r="F618" s="57"/>
      <c r="G618" s="57"/>
    </row>
    <row r="619" spans="1:7" x14ac:dyDescent="0.3">
      <c r="A619" s="32"/>
      <c r="B619" s="46" t="s">
        <v>884</v>
      </c>
      <c r="C619" s="48"/>
      <c r="D619" s="49" t="s">
        <v>682</v>
      </c>
      <c r="E619" s="54">
        <f>2.2/2</f>
        <v>1.1000000000000001</v>
      </c>
      <c r="F619" s="54"/>
      <c r="G619" s="54"/>
    </row>
    <row r="620" spans="1:7" x14ac:dyDescent="0.3">
      <c r="A620" s="32"/>
      <c r="B620" s="46" t="s">
        <v>990</v>
      </c>
      <c r="C620" s="48"/>
      <c r="D620" s="49" t="s">
        <v>69</v>
      </c>
      <c r="E620" s="54">
        <v>36.5</v>
      </c>
      <c r="F620" s="54"/>
      <c r="G620" s="54"/>
    </row>
    <row r="621" spans="1:7" x14ac:dyDescent="0.3">
      <c r="A621" s="32"/>
      <c r="B621" s="46" t="s">
        <v>991</v>
      </c>
      <c r="C621" s="48"/>
      <c r="D621" s="49" t="s">
        <v>14</v>
      </c>
      <c r="E621" s="54">
        <v>4</v>
      </c>
      <c r="F621" s="54"/>
      <c r="G621" s="54"/>
    </row>
    <row r="622" spans="1:7" x14ac:dyDescent="0.3">
      <c r="A622" s="31"/>
      <c r="B622" s="41" t="s">
        <v>992</v>
      </c>
      <c r="C622" s="31"/>
      <c r="D622" s="42"/>
      <c r="E622" s="57"/>
      <c r="F622" s="57"/>
      <c r="G622" s="57"/>
    </row>
    <row r="623" spans="1:7" x14ac:dyDescent="0.3">
      <c r="A623" s="32"/>
      <c r="B623" s="46" t="s">
        <v>993</v>
      </c>
      <c r="C623" s="48"/>
      <c r="D623" s="49" t="s">
        <v>682</v>
      </c>
      <c r="E623" s="54">
        <f>12.6/2</f>
        <v>6.3</v>
      </c>
      <c r="F623" s="54"/>
      <c r="G623" s="54"/>
    </row>
    <row r="624" spans="1:7" x14ac:dyDescent="0.3">
      <c r="A624" s="32"/>
      <c r="B624" s="46" t="s">
        <v>994</v>
      </c>
      <c r="C624" s="48"/>
      <c r="D624" s="49" t="s">
        <v>682</v>
      </c>
      <c r="E624" s="54">
        <f>18.9/2</f>
        <v>9.4499999999999993</v>
      </c>
      <c r="F624" s="54"/>
      <c r="G624" s="54"/>
    </row>
    <row r="625" spans="1:7" x14ac:dyDescent="0.3">
      <c r="A625" s="32"/>
      <c r="B625" s="46" t="s">
        <v>984</v>
      </c>
      <c r="C625" s="48"/>
      <c r="D625" s="49" t="s">
        <v>10</v>
      </c>
      <c r="E625" s="49">
        <f>10</f>
        <v>10</v>
      </c>
      <c r="F625" s="49"/>
      <c r="G625" s="49"/>
    </row>
    <row r="626" spans="1:7" ht="31.2" x14ac:dyDescent="0.3">
      <c r="A626" s="31"/>
      <c r="B626" s="41" t="s">
        <v>996</v>
      </c>
      <c r="C626" s="31"/>
      <c r="D626" s="42"/>
      <c r="E626" s="57"/>
      <c r="F626" s="57"/>
      <c r="G626" s="57"/>
    </row>
    <row r="627" spans="1:7" x14ac:dyDescent="0.3">
      <c r="A627" s="32"/>
      <c r="B627" s="46" t="s">
        <v>607</v>
      </c>
      <c r="C627" s="48"/>
      <c r="D627" s="49" t="s">
        <v>10</v>
      </c>
      <c r="E627" s="54">
        <v>40216.400000000001</v>
      </c>
      <c r="F627" s="54"/>
      <c r="G627" s="54"/>
    </row>
    <row r="628" spans="1:7" x14ac:dyDescent="0.3">
      <c r="A628" s="32"/>
      <c r="B628" s="46" t="s">
        <v>997</v>
      </c>
      <c r="C628" s="48"/>
      <c r="D628" s="49" t="s">
        <v>10</v>
      </c>
      <c r="E628" s="54">
        <v>5465.12</v>
      </c>
      <c r="F628" s="54"/>
      <c r="G628" s="54"/>
    </row>
    <row r="629" spans="1:7" x14ac:dyDescent="0.3">
      <c r="A629" s="32"/>
      <c r="B629" s="46" t="s">
        <v>998</v>
      </c>
      <c r="C629" s="48"/>
      <c r="D629" s="49" t="s">
        <v>69</v>
      </c>
      <c r="E629" s="54">
        <v>9326.4</v>
      </c>
      <c r="F629" s="54"/>
      <c r="G629" s="54"/>
    </row>
    <row r="630" spans="1:7" x14ac:dyDescent="0.3">
      <c r="A630" s="32"/>
      <c r="B630" s="46" t="s">
        <v>999</v>
      </c>
      <c r="C630" s="48"/>
      <c r="D630" s="49" t="s">
        <v>10</v>
      </c>
      <c r="E630" s="54">
        <v>6543.9</v>
      </c>
      <c r="F630" s="54"/>
      <c r="G630" s="54"/>
    </row>
    <row r="631" spans="1:7" x14ac:dyDescent="0.3">
      <c r="A631" s="32"/>
      <c r="B631" s="46" t="s">
        <v>608</v>
      </c>
      <c r="C631" s="48"/>
      <c r="D631" s="49" t="s">
        <v>14</v>
      </c>
      <c r="E631" s="54">
        <v>445</v>
      </c>
      <c r="F631" s="54"/>
      <c r="G631" s="54"/>
    </row>
    <row r="632" spans="1:7" x14ac:dyDescent="0.3">
      <c r="A632" s="31"/>
      <c r="B632" s="41" t="s">
        <v>1000</v>
      </c>
      <c r="C632" s="31"/>
      <c r="D632" s="42"/>
      <c r="E632" s="42"/>
      <c r="F632" s="42"/>
      <c r="G632" s="42"/>
    </row>
    <row r="633" spans="1:7" x14ac:dyDescent="0.3">
      <c r="A633" s="31"/>
      <c r="B633" s="41" t="s">
        <v>1001</v>
      </c>
      <c r="C633" s="31"/>
      <c r="D633" s="42"/>
      <c r="E633" s="57"/>
      <c r="F633" s="57"/>
      <c r="G633" s="57"/>
    </row>
    <row r="634" spans="1:7" x14ac:dyDescent="0.3">
      <c r="A634" s="32"/>
      <c r="B634" s="46" t="s">
        <v>1002</v>
      </c>
      <c r="C634" s="48"/>
      <c r="D634" s="49" t="s">
        <v>682</v>
      </c>
      <c r="E634" s="54">
        <f>80.81+74.59+26.42</f>
        <v>181.82</v>
      </c>
      <c r="F634" s="54"/>
      <c r="G634" s="54"/>
    </row>
    <row r="635" spans="1:7" x14ac:dyDescent="0.3">
      <c r="A635" s="32"/>
      <c r="B635" s="46" t="s">
        <v>1003</v>
      </c>
      <c r="C635" s="48"/>
      <c r="D635" s="49" t="s">
        <v>682</v>
      </c>
      <c r="E635" s="54">
        <f>68.35+51.26+17.09</f>
        <v>136.69999999999999</v>
      </c>
      <c r="F635" s="54"/>
      <c r="G635" s="54"/>
    </row>
    <row r="636" spans="1:7" x14ac:dyDescent="0.3">
      <c r="A636" s="32"/>
      <c r="B636" s="46" t="s">
        <v>985</v>
      </c>
      <c r="C636" s="48"/>
      <c r="D636" s="49" t="s">
        <v>682</v>
      </c>
      <c r="E636" s="49">
        <v>622.24</v>
      </c>
      <c r="F636" s="49"/>
      <c r="G636" s="49"/>
    </row>
    <row r="637" spans="1:7" x14ac:dyDescent="0.3">
      <c r="A637" s="32"/>
      <c r="B637" s="46" t="s">
        <v>1004</v>
      </c>
      <c r="C637" s="48"/>
      <c r="D637" s="49" t="s">
        <v>682</v>
      </c>
      <c r="E637" s="54">
        <v>335.8</v>
      </c>
      <c r="F637" s="54"/>
      <c r="G637" s="54"/>
    </row>
    <row r="638" spans="1:7" ht="31.2" x14ac:dyDescent="0.3">
      <c r="A638" s="32"/>
      <c r="B638" s="46" t="s">
        <v>1005</v>
      </c>
      <c r="C638" s="48"/>
      <c r="D638" s="49" t="s">
        <v>682</v>
      </c>
      <c r="E638" s="54">
        <f>214.85</f>
        <v>214.85</v>
      </c>
      <c r="F638" s="54"/>
      <c r="G638" s="54"/>
    </row>
    <row r="639" spans="1:7" x14ac:dyDescent="0.3">
      <c r="A639" s="32"/>
      <c r="B639" s="46" t="s">
        <v>1006</v>
      </c>
      <c r="C639" s="48"/>
      <c r="D639" s="49" t="s">
        <v>682</v>
      </c>
      <c r="E639" s="54">
        <v>76.7</v>
      </c>
      <c r="F639" s="54"/>
      <c r="G639" s="54"/>
    </row>
    <row r="640" spans="1:7" ht="31.2" x14ac:dyDescent="0.3">
      <c r="A640" s="32"/>
      <c r="B640" s="46" t="s">
        <v>1007</v>
      </c>
      <c r="C640" s="48"/>
      <c r="D640" s="49" t="s">
        <v>682</v>
      </c>
      <c r="E640" s="54">
        <v>14.78</v>
      </c>
      <c r="F640" s="54"/>
      <c r="G640" s="54"/>
    </row>
    <row r="641" spans="1:7" x14ac:dyDescent="0.3">
      <c r="A641" s="32"/>
      <c r="B641" s="46" t="s">
        <v>1008</v>
      </c>
      <c r="C641" s="48"/>
      <c r="D641" s="49" t="s">
        <v>682</v>
      </c>
      <c r="E641" s="54">
        <v>61.3</v>
      </c>
      <c r="F641" s="54"/>
      <c r="G641" s="54"/>
    </row>
    <row r="642" spans="1:7" x14ac:dyDescent="0.3">
      <c r="A642" s="32"/>
      <c r="B642" s="46" t="s">
        <v>1009</v>
      </c>
      <c r="C642" s="48"/>
      <c r="D642" s="49" t="s">
        <v>682</v>
      </c>
      <c r="E642" s="54">
        <v>3.4</v>
      </c>
      <c r="F642" s="54"/>
      <c r="G642" s="54"/>
    </row>
    <row r="643" spans="1:7" x14ac:dyDescent="0.3">
      <c r="A643" s="31"/>
      <c r="B643" s="41" t="s">
        <v>1010</v>
      </c>
      <c r="C643" s="31"/>
      <c r="D643" s="42"/>
      <c r="E643" s="57"/>
      <c r="F643" s="57"/>
      <c r="G643" s="57"/>
    </row>
    <row r="644" spans="1:7" x14ac:dyDescent="0.3">
      <c r="A644" s="32"/>
      <c r="B644" s="46" t="s">
        <v>1011</v>
      </c>
      <c r="C644" s="48"/>
      <c r="D644" s="49" t="s">
        <v>682</v>
      </c>
      <c r="E644" s="54">
        <v>452.9</v>
      </c>
      <c r="F644" s="54"/>
      <c r="G644" s="54"/>
    </row>
    <row r="645" spans="1:7" x14ac:dyDescent="0.3">
      <c r="A645" s="32"/>
      <c r="B645" s="46" t="s">
        <v>754</v>
      </c>
      <c r="C645" s="48"/>
      <c r="D645" s="49" t="s">
        <v>682</v>
      </c>
      <c r="E645" s="54">
        <v>4.3899999999999997</v>
      </c>
      <c r="F645" s="54"/>
      <c r="G645" s="54"/>
    </row>
    <row r="646" spans="1:7" x14ac:dyDescent="0.3">
      <c r="A646" s="32"/>
      <c r="B646" s="46" t="s">
        <v>1012</v>
      </c>
      <c r="C646" s="48"/>
      <c r="D646" s="49" t="s">
        <v>14</v>
      </c>
      <c r="E646" s="49">
        <v>1836</v>
      </c>
      <c r="F646" s="49"/>
      <c r="G646" s="49"/>
    </row>
    <row r="647" spans="1:7" x14ac:dyDescent="0.3">
      <c r="A647" s="32"/>
      <c r="B647" s="46" t="s">
        <v>984</v>
      </c>
      <c r="C647" s="48"/>
      <c r="D647" s="49" t="s">
        <v>10</v>
      </c>
      <c r="E647" s="54">
        <v>52.4</v>
      </c>
      <c r="F647" s="54"/>
      <c r="G647" s="54"/>
    </row>
    <row r="648" spans="1:7" ht="31.2" x14ac:dyDescent="0.3">
      <c r="A648" s="31"/>
      <c r="B648" s="41" t="s">
        <v>1013</v>
      </c>
      <c r="C648" s="31"/>
      <c r="D648" s="42"/>
      <c r="E648" s="42"/>
      <c r="F648" s="42"/>
      <c r="G648" s="42"/>
    </row>
    <row r="649" spans="1:7" ht="31.2" x14ac:dyDescent="0.3">
      <c r="A649" s="32"/>
      <c r="B649" s="46" t="s">
        <v>1014</v>
      </c>
      <c r="C649" s="48"/>
      <c r="D649" s="49" t="s">
        <v>682</v>
      </c>
      <c r="E649" s="49">
        <v>79.2</v>
      </c>
      <c r="F649" s="49"/>
      <c r="G649" s="49"/>
    </row>
    <row r="650" spans="1:7" x14ac:dyDescent="0.3">
      <c r="A650" s="32"/>
      <c r="B650" s="46" t="s">
        <v>1015</v>
      </c>
      <c r="C650" s="48"/>
      <c r="D650" s="49" t="s">
        <v>682</v>
      </c>
      <c r="E650" s="49">
        <v>1158</v>
      </c>
      <c r="F650" s="49"/>
      <c r="G650" s="49"/>
    </row>
    <row r="651" spans="1:7" x14ac:dyDescent="0.3">
      <c r="A651" s="32"/>
      <c r="B651" s="46" t="s">
        <v>1016</v>
      </c>
      <c r="C651" s="48"/>
      <c r="D651" s="49" t="s">
        <v>682</v>
      </c>
      <c r="E651" s="49">
        <v>323</v>
      </c>
      <c r="F651" s="49"/>
      <c r="G651" s="49"/>
    </row>
    <row r="652" spans="1:7" ht="31.2" x14ac:dyDescent="0.3">
      <c r="A652" s="31"/>
      <c r="B652" s="41" t="s">
        <v>1017</v>
      </c>
      <c r="C652" s="31"/>
      <c r="D652" s="42"/>
      <c r="E652" s="42"/>
      <c r="F652" s="42"/>
      <c r="G652" s="42"/>
    </row>
    <row r="653" spans="1:7" x14ac:dyDescent="0.3">
      <c r="A653" s="32"/>
      <c r="B653" s="46" t="s">
        <v>1018</v>
      </c>
      <c r="C653" s="48"/>
      <c r="D653" s="49" t="s">
        <v>682</v>
      </c>
      <c r="E653" s="49">
        <v>9.32</v>
      </c>
      <c r="F653" s="49"/>
      <c r="G653" s="49"/>
    </row>
    <row r="654" spans="1:7" x14ac:dyDescent="0.3">
      <c r="A654" s="32"/>
      <c r="B654" s="46" t="s">
        <v>1019</v>
      </c>
      <c r="C654" s="48"/>
      <c r="D654" s="49" t="s">
        <v>682</v>
      </c>
      <c r="E654" s="49">
        <v>5.52</v>
      </c>
      <c r="F654" s="49"/>
      <c r="G654" s="49"/>
    </row>
    <row r="655" spans="1:7" ht="31.2" x14ac:dyDescent="0.3">
      <c r="A655" s="32"/>
      <c r="B655" s="46" t="s">
        <v>1020</v>
      </c>
      <c r="C655" s="48"/>
      <c r="D655" s="49" t="s">
        <v>682</v>
      </c>
      <c r="E655" s="49">
        <f>21.89-2.85</f>
        <v>19.04</v>
      </c>
      <c r="F655" s="49"/>
      <c r="G655" s="49"/>
    </row>
    <row r="656" spans="1:7" x14ac:dyDescent="0.3">
      <c r="A656" s="32"/>
      <c r="B656" s="46" t="s">
        <v>1021</v>
      </c>
      <c r="C656" s="48"/>
      <c r="D656" s="49" t="s">
        <v>682</v>
      </c>
      <c r="E656" s="49">
        <f>2.85+7.6</f>
        <v>10.45</v>
      </c>
      <c r="F656" s="49"/>
      <c r="G656" s="49"/>
    </row>
    <row r="657" spans="1:7" x14ac:dyDescent="0.3">
      <c r="A657" s="32"/>
      <c r="B657" s="46" t="s">
        <v>856</v>
      </c>
      <c r="C657" s="48"/>
      <c r="D657" s="49" t="s">
        <v>682</v>
      </c>
      <c r="E657" s="49">
        <f>56.3-7.6</f>
        <v>48.699999999999996</v>
      </c>
      <c r="F657" s="49"/>
      <c r="G657" s="49"/>
    </row>
    <row r="658" spans="1:7" x14ac:dyDescent="0.3">
      <c r="A658" s="32"/>
      <c r="B658" s="46" t="s">
        <v>984</v>
      </c>
      <c r="C658" s="48"/>
      <c r="D658" s="49" t="s">
        <v>10</v>
      </c>
      <c r="E658" s="49">
        <v>4.2</v>
      </c>
      <c r="F658" s="49"/>
      <c r="G658" s="49"/>
    </row>
    <row r="659" spans="1:7" x14ac:dyDescent="0.3">
      <c r="A659" s="31"/>
      <c r="B659" s="41" t="s">
        <v>1022</v>
      </c>
      <c r="C659" s="31"/>
      <c r="D659" s="42"/>
      <c r="E659" s="42"/>
      <c r="F659" s="42"/>
      <c r="G659" s="42"/>
    </row>
    <row r="660" spans="1:7" ht="46.8" x14ac:dyDescent="0.3">
      <c r="A660" s="32"/>
      <c r="B660" s="46" t="s">
        <v>1023</v>
      </c>
      <c r="C660" s="48"/>
      <c r="D660" s="49" t="s">
        <v>682</v>
      </c>
      <c r="E660" s="49">
        <v>46</v>
      </c>
      <c r="F660" s="49"/>
      <c r="G660" s="49"/>
    </row>
    <row r="661" spans="1:7" x14ac:dyDescent="0.3">
      <c r="A661" s="32"/>
      <c r="B661" s="46" t="s">
        <v>1024</v>
      </c>
      <c r="C661" s="48"/>
      <c r="D661" s="49" t="s">
        <v>682</v>
      </c>
      <c r="E661" s="49">
        <v>60</v>
      </c>
      <c r="F661" s="49"/>
      <c r="G661" s="49"/>
    </row>
    <row r="662" spans="1:7" ht="31.2" x14ac:dyDescent="0.3">
      <c r="A662" s="31"/>
      <c r="B662" s="41" t="s">
        <v>989</v>
      </c>
      <c r="C662" s="31"/>
      <c r="D662" s="42"/>
      <c r="E662" s="57"/>
      <c r="F662" s="57"/>
      <c r="G662" s="57"/>
    </row>
    <row r="663" spans="1:7" x14ac:dyDescent="0.3">
      <c r="A663" s="32"/>
      <c r="B663" s="46" t="s">
        <v>884</v>
      </c>
      <c r="C663" s="48"/>
      <c r="D663" s="49" t="s">
        <v>682</v>
      </c>
      <c r="E663" s="54">
        <f>1.1*6</f>
        <v>6.6000000000000005</v>
      </c>
      <c r="F663" s="54"/>
      <c r="G663" s="54"/>
    </row>
    <row r="664" spans="1:7" x14ac:dyDescent="0.3">
      <c r="A664" s="32"/>
      <c r="B664" s="46" t="s">
        <v>990</v>
      </c>
      <c r="C664" s="48"/>
      <c r="D664" s="49" t="s">
        <v>69</v>
      </c>
      <c r="E664" s="54">
        <v>219</v>
      </c>
      <c r="F664" s="54"/>
      <c r="G664" s="54"/>
    </row>
    <row r="665" spans="1:7" x14ac:dyDescent="0.3">
      <c r="A665" s="32"/>
      <c r="B665" s="46" t="s">
        <v>991</v>
      </c>
      <c r="C665" s="48"/>
      <c r="D665" s="49" t="s">
        <v>14</v>
      </c>
      <c r="E665" s="54">
        <v>24</v>
      </c>
      <c r="F665" s="54"/>
      <c r="G665" s="54"/>
    </row>
    <row r="666" spans="1:7" x14ac:dyDescent="0.3">
      <c r="A666" s="31"/>
      <c r="B666" s="41" t="s">
        <v>1025</v>
      </c>
      <c r="C666" s="31"/>
      <c r="D666" s="42"/>
      <c r="E666" s="57"/>
      <c r="F666" s="57"/>
      <c r="G666" s="57"/>
    </row>
    <row r="667" spans="1:7" x14ac:dyDescent="0.3">
      <c r="A667" s="32"/>
      <c r="B667" s="46" t="s">
        <v>1026</v>
      </c>
      <c r="C667" s="48"/>
      <c r="D667" s="49" t="s">
        <v>682</v>
      </c>
      <c r="E667" s="49">
        <f>23.857+7.757</f>
        <v>31.613999999999997</v>
      </c>
      <c r="F667" s="49"/>
      <c r="G667" s="49"/>
    </row>
    <row r="668" spans="1:7" x14ac:dyDescent="0.3">
      <c r="A668" s="32"/>
      <c r="B668" s="46" t="s">
        <v>1027</v>
      </c>
      <c r="C668" s="48"/>
      <c r="D668" s="49" t="s">
        <v>682</v>
      </c>
      <c r="E668" s="49">
        <f>14.324</f>
        <v>14.324</v>
      </c>
      <c r="F668" s="49"/>
      <c r="G668" s="49"/>
    </row>
    <row r="669" spans="1:7" x14ac:dyDescent="0.3">
      <c r="A669" s="32"/>
      <c r="B669" s="46" t="s">
        <v>887</v>
      </c>
      <c r="C669" s="48"/>
      <c r="D669" s="49" t="s">
        <v>682</v>
      </c>
      <c r="E669" s="49">
        <f>1.908+0.66</f>
        <v>2.5680000000000001</v>
      </c>
      <c r="F669" s="49"/>
      <c r="G669" s="49"/>
    </row>
    <row r="670" spans="1:7" x14ac:dyDescent="0.3">
      <c r="A670" s="32"/>
      <c r="B670" s="46" t="s">
        <v>1028</v>
      </c>
      <c r="C670" s="48"/>
      <c r="D670" s="49" t="s">
        <v>682</v>
      </c>
      <c r="E670" s="49">
        <v>6.5990000000000002</v>
      </c>
      <c r="F670" s="49"/>
      <c r="G670" s="49"/>
    </row>
    <row r="671" spans="1:7" x14ac:dyDescent="0.3">
      <c r="A671" s="32"/>
      <c r="B671" s="46" t="s">
        <v>1029</v>
      </c>
      <c r="C671" s="48"/>
      <c r="D671" s="49" t="s">
        <v>682</v>
      </c>
      <c r="E671" s="49">
        <v>1.91</v>
      </c>
      <c r="F671" s="49"/>
      <c r="G671" s="49"/>
    </row>
    <row r="672" spans="1:7" x14ac:dyDescent="0.3">
      <c r="A672" s="32"/>
      <c r="B672" s="46" t="s">
        <v>1030</v>
      </c>
      <c r="C672" s="48"/>
      <c r="D672" s="49" t="s">
        <v>682</v>
      </c>
      <c r="E672" s="49">
        <v>0.61</v>
      </c>
      <c r="F672" s="49"/>
      <c r="G672" s="49"/>
    </row>
    <row r="673" spans="1:7" x14ac:dyDescent="0.3">
      <c r="A673" s="32"/>
      <c r="B673" s="46" t="s">
        <v>1031</v>
      </c>
      <c r="C673" s="48"/>
      <c r="D673" s="49" t="s">
        <v>682</v>
      </c>
      <c r="E673" s="49">
        <v>10.095000000000001</v>
      </c>
      <c r="F673" s="49"/>
      <c r="G673" s="49"/>
    </row>
    <row r="674" spans="1:7" x14ac:dyDescent="0.3">
      <c r="A674" s="32"/>
      <c r="B674" s="46" t="s">
        <v>1032</v>
      </c>
      <c r="C674" s="48"/>
      <c r="D674" s="49" t="s">
        <v>682</v>
      </c>
      <c r="E674" s="49">
        <v>121.4</v>
      </c>
      <c r="F674" s="49"/>
      <c r="G674" s="49"/>
    </row>
    <row r="675" spans="1:7" x14ac:dyDescent="0.3">
      <c r="A675" s="32"/>
      <c r="B675" s="46" t="s">
        <v>814</v>
      </c>
      <c r="C675" s="48"/>
      <c r="D675" s="49" t="s">
        <v>682</v>
      </c>
      <c r="E675" s="49">
        <v>3.6419999999999999</v>
      </c>
      <c r="F675" s="49"/>
      <c r="G675" s="49"/>
    </row>
    <row r="676" spans="1:7" x14ac:dyDescent="0.3">
      <c r="A676" s="32"/>
      <c r="B676" s="46" t="s">
        <v>1033</v>
      </c>
      <c r="C676" s="48"/>
      <c r="D676" s="49" t="s">
        <v>682</v>
      </c>
      <c r="E676" s="49">
        <v>6.3410000000000002</v>
      </c>
      <c r="F676" s="49"/>
      <c r="G676" s="49"/>
    </row>
    <row r="677" spans="1:7" x14ac:dyDescent="0.3">
      <c r="A677" s="32"/>
      <c r="B677" s="46" t="s">
        <v>1034</v>
      </c>
      <c r="C677" s="48"/>
      <c r="D677" s="49" t="s">
        <v>682</v>
      </c>
      <c r="E677" s="49">
        <v>132</v>
      </c>
      <c r="F677" s="49"/>
      <c r="G677" s="49"/>
    </row>
    <row r="678" spans="1:7" x14ac:dyDescent="0.3">
      <c r="A678" s="32"/>
      <c r="B678" s="46" t="s">
        <v>984</v>
      </c>
      <c r="C678" s="48"/>
      <c r="D678" s="49" t="s">
        <v>10</v>
      </c>
      <c r="E678" s="49">
        <v>49.3</v>
      </c>
      <c r="F678" s="49"/>
      <c r="G678" s="49"/>
    </row>
    <row r="679" spans="1:7" ht="31.2" x14ac:dyDescent="0.3">
      <c r="A679" s="31"/>
      <c r="B679" s="41" t="s">
        <v>1035</v>
      </c>
      <c r="C679" s="31"/>
      <c r="D679" s="42"/>
      <c r="E679" s="42"/>
      <c r="F679" s="42"/>
      <c r="G679" s="42"/>
    </row>
    <row r="680" spans="1:7" x14ac:dyDescent="0.3">
      <c r="A680" s="32"/>
      <c r="B680" s="46" t="s">
        <v>607</v>
      </c>
      <c r="C680" s="48"/>
      <c r="D680" s="49" t="s">
        <v>10</v>
      </c>
      <c r="E680" s="49">
        <v>366.9</v>
      </c>
      <c r="F680" s="49"/>
      <c r="G680" s="49"/>
    </row>
    <row r="681" spans="1:7" x14ac:dyDescent="0.3">
      <c r="A681" s="32"/>
      <c r="B681" s="46" t="s">
        <v>608</v>
      </c>
      <c r="C681" s="48"/>
      <c r="D681" s="49" t="s">
        <v>14</v>
      </c>
      <c r="E681" s="49">
        <v>36</v>
      </c>
      <c r="F681" s="49"/>
      <c r="G681" s="49"/>
    </row>
    <row r="682" spans="1:7" x14ac:dyDescent="0.3">
      <c r="A682" s="32"/>
      <c r="B682" s="46" t="s">
        <v>884</v>
      </c>
      <c r="C682" s="48"/>
      <c r="D682" s="49" t="s">
        <v>682</v>
      </c>
      <c r="E682" s="49">
        <v>35.4</v>
      </c>
      <c r="F682" s="49"/>
      <c r="G682" s="49"/>
    </row>
    <row r="683" spans="1:7" x14ac:dyDescent="0.3">
      <c r="A683" s="32"/>
      <c r="B683" s="46" t="s">
        <v>1004</v>
      </c>
      <c r="C683" s="48"/>
      <c r="D683" s="49" t="s">
        <v>682</v>
      </c>
      <c r="E683" s="49">
        <v>104.4</v>
      </c>
      <c r="F683" s="49"/>
      <c r="G683" s="49"/>
    </row>
    <row r="684" spans="1:7" x14ac:dyDescent="0.3">
      <c r="A684" s="32"/>
      <c r="B684" s="46" t="s">
        <v>754</v>
      </c>
      <c r="C684" s="48"/>
      <c r="D684" s="49" t="s">
        <v>682</v>
      </c>
      <c r="E684" s="49">
        <v>0.56499999999999995</v>
      </c>
      <c r="F684" s="49"/>
      <c r="G684" s="49"/>
    </row>
    <row r="685" spans="1:7" x14ac:dyDescent="0.3">
      <c r="A685" s="32"/>
      <c r="B685" s="46" t="s">
        <v>1036</v>
      </c>
      <c r="C685" s="48"/>
      <c r="D685" s="49" t="s">
        <v>14</v>
      </c>
      <c r="E685" s="49">
        <v>12</v>
      </c>
      <c r="F685" s="49"/>
      <c r="G685" s="49"/>
    </row>
    <row r="686" spans="1:7" x14ac:dyDescent="0.3">
      <c r="A686" s="31"/>
      <c r="B686" s="41" t="s">
        <v>1037</v>
      </c>
      <c r="C686" s="31"/>
      <c r="D686" s="42"/>
      <c r="E686" s="42"/>
      <c r="F686" s="42"/>
      <c r="G686" s="42"/>
    </row>
    <row r="687" spans="1:7" x14ac:dyDescent="0.3">
      <c r="A687" s="32"/>
      <c r="B687" s="46" t="s">
        <v>1038</v>
      </c>
      <c r="C687" s="48"/>
      <c r="D687" s="49" t="s">
        <v>10</v>
      </c>
      <c r="E687" s="49">
        <v>148.80000000000001</v>
      </c>
      <c r="F687" s="49"/>
      <c r="G687" s="49"/>
    </row>
    <row r="688" spans="1:7" ht="31.2" x14ac:dyDescent="0.3">
      <c r="A688" s="31"/>
      <c r="B688" s="41" t="s">
        <v>1039</v>
      </c>
      <c r="C688" s="31"/>
      <c r="D688" s="42"/>
      <c r="E688" s="42"/>
      <c r="F688" s="42"/>
      <c r="G688" s="42"/>
    </row>
    <row r="689" spans="1:7" x14ac:dyDescent="0.3">
      <c r="A689" s="32"/>
      <c r="B689" s="46" t="s">
        <v>1040</v>
      </c>
      <c r="C689" s="48"/>
      <c r="D689" s="49" t="s">
        <v>10</v>
      </c>
      <c r="E689" s="49">
        <f>3156+7200+3156</f>
        <v>13512</v>
      </c>
      <c r="F689" s="49"/>
      <c r="G689" s="49"/>
    </row>
    <row r="690" spans="1:7" x14ac:dyDescent="0.3">
      <c r="A690" s="32"/>
      <c r="B690" s="46" t="s">
        <v>1041</v>
      </c>
      <c r="C690" s="48"/>
      <c r="D690" s="49" t="s">
        <v>10</v>
      </c>
      <c r="E690" s="49">
        <f>1295+2567+1295</f>
        <v>5157</v>
      </c>
      <c r="F690" s="49"/>
      <c r="G690" s="49"/>
    </row>
    <row r="691" spans="1:7" x14ac:dyDescent="0.3">
      <c r="A691" s="32"/>
      <c r="B691" s="46" t="s">
        <v>984</v>
      </c>
      <c r="C691" s="48"/>
      <c r="D691" s="49" t="s">
        <v>10</v>
      </c>
      <c r="E691" s="49">
        <f>996+2046+996</f>
        <v>4038</v>
      </c>
      <c r="F691" s="49"/>
      <c r="G691" s="49"/>
    </row>
    <row r="692" spans="1:7" x14ac:dyDescent="0.3">
      <c r="A692" s="32"/>
      <c r="B692" s="46" t="s">
        <v>1042</v>
      </c>
      <c r="C692" s="48"/>
      <c r="D692" s="49" t="s">
        <v>682</v>
      </c>
      <c r="E692" s="49">
        <f>0.65+1.28+0.65</f>
        <v>2.58</v>
      </c>
      <c r="F692" s="49"/>
      <c r="G692" s="49"/>
    </row>
    <row r="693" spans="1:7" x14ac:dyDescent="0.3">
      <c r="A693" s="31"/>
      <c r="B693" s="41" t="s">
        <v>1043</v>
      </c>
      <c r="C693" s="31"/>
      <c r="D693" s="42"/>
      <c r="E693" s="42"/>
      <c r="F693" s="42"/>
      <c r="G693" s="42"/>
    </row>
    <row r="694" spans="1:7" x14ac:dyDescent="0.3">
      <c r="A694" s="32"/>
      <c r="B694" s="46" t="s">
        <v>1044</v>
      </c>
      <c r="C694" s="48"/>
      <c r="D694" s="49" t="s">
        <v>10</v>
      </c>
      <c r="E694" s="49">
        <v>390.3</v>
      </c>
      <c r="F694" s="49"/>
      <c r="G694" s="49"/>
    </row>
    <row r="695" spans="1:7" x14ac:dyDescent="0.3">
      <c r="A695" s="32"/>
      <c r="B695" s="46" t="s">
        <v>1045</v>
      </c>
      <c r="C695" s="48"/>
      <c r="D695" s="49" t="s">
        <v>682</v>
      </c>
      <c r="E695" s="49">
        <f>31.065+21.357</f>
        <v>52.421999999999997</v>
      </c>
      <c r="F695" s="49"/>
      <c r="G695" s="49"/>
    </row>
    <row r="696" spans="1:7" ht="31.2" x14ac:dyDescent="0.3">
      <c r="A696" s="32"/>
      <c r="B696" s="46" t="s">
        <v>1046</v>
      </c>
      <c r="C696" s="48"/>
      <c r="D696" s="49" t="s">
        <v>14</v>
      </c>
      <c r="E696" s="49">
        <v>90</v>
      </c>
      <c r="F696" s="49"/>
      <c r="G696" s="49"/>
    </row>
    <row r="697" spans="1:7" x14ac:dyDescent="0.3">
      <c r="A697" s="32"/>
      <c r="B697" s="46" t="s">
        <v>1047</v>
      </c>
      <c r="C697" s="48"/>
      <c r="D697" s="49" t="s">
        <v>682</v>
      </c>
      <c r="E697" s="49">
        <v>16</v>
      </c>
      <c r="F697" s="49"/>
      <c r="G697" s="49"/>
    </row>
    <row r="698" spans="1:7" x14ac:dyDescent="0.3">
      <c r="A698" s="32"/>
      <c r="B698" s="46" t="s">
        <v>1048</v>
      </c>
      <c r="C698" s="48"/>
      <c r="D698" s="49" t="s">
        <v>14</v>
      </c>
      <c r="E698" s="49">
        <v>408</v>
      </c>
      <c r="F698" s="49"/>
      <c r="G698" s="49"/>
    </row>
    <row r="699" spans="1:7" x14ac:dyDescent="0.3">
      <c r="A699" s="32"/>
      <c r="B699" s="46" t="s">
        <v>1049</v>
      </c>
      <c r="C699" s="48"/>
      <c r="D699" s="49" t="s">
        <v>14</v>
      </c>
      <c r="E699" s="49">
        <v>414</v>
      </c>
      <c r="F699" s="49"/>
      <c r="G699" s="49"/>
    </row>
    <row r="700" spans="1:7" x14ac:dyDescent="0.3">
      <c r="A700" s="32"/>
      <c r="B700" s="46" t="s">
        <v>1050</v>
      </c>
      <c r="C700" s="48"/>
      <c r="D700" s="49" t="s">
        <v>682</v>
      </c>
      <c r="E700" s="49">
        <v>69.344999999999999</v>
      </c>
      <c r="F700" s="49"/>
      <c r="G700" s="49"/>
    </row>
    <row r="701" spans="1:7" x14ac:dyDescent="0.3">
      <c r="A701" s="32"/>
      <c r="B701" s="46" t="s">
        <v>1051</v>
      </c>
      <c r="C701" s="48"/>
      <c r="D701" s="49" t="s">
        <v>682</v>
      </c>
      <c r="E701" s="49">
        <v>97.2</v>
      </c>
      <c r="F701" s="49"/>
      <c r="G701" s="49"/>
    </row>
    <row r="702" spans="1:7" x14ac:dyDescent="0.3">
      <c r="A702" s="32"/>
      <c r="B702" s="46" t="s">
        <v>791</v>
      </c>
      <c r="C702" s="48"/>
      <c r="D702" s="49" t="s">
        <v>682</v>
      </c>
      <c r="E702" s="49">
        <v>0.192</v>
      </c>
      <c r="F702" s="49"/>
      <c r="G702" s="49"/>
    </row>
    <row r="703" spans="1:7" x14ac:dyDescent="0.3">
      <c r="A703" s="32"/>
      <c r="B703" s="46" t="s">
        <v>1052</v>
      </c>
      <c r="C703" s="48"/>
      <c r="D703" s="49" t="s">
        <v>69</v>
      </c>
      <c r="E703" s="49">
        <v>6783</v>
      </c>
      <c r="F703" s="49"/>
      <c r="G703" s="49"/>
    </row>
    <row r="704" spans="1:7" x14ac:dyDescent="0.3">
      <c r="A704" s="32"/>
      <c r="B704" s="46" t="s">
        <v>1053</v>
      </c>
      <c r="C704" s="48"/>
      <c r="D704" s="49" t="s">
        <v>69</v>
      </c>
      <c r="E704" s="49">
        <v>6783</v>
      </c>
      <c r="F704" s="49"/>
      <c r="G704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Основные материалы</vt:lpstr>
      <vt:lpstr>Лист1</vt:lpstr>
      <vt:lpstr>СВСиУ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2024-05-03T09:43:25Z</dcterms:modified>
</cp:coreProperties>
</file>