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neyh\Desktop\Гараевой по дороге 955м2\"/>
    </mc:Choice>
  </mc:AlternateContent>
  <bookViews>
    <workbookView xWindow="0" yWindow="0" windowWidth="21570" windowHeight="10215"/>
  </bookViews>
  <sheets>
    <sheet name="Смета 12 гр. по ФЕР" sheetId="6" r:id="rId1"/>
    <sheet name="Source" sheetId="1" r:id="rId2"/>
    <sheet name="SourceObSm" sheetId="2" r:id="rId3"/>
    <sheet name="SmtRes" sheetId="3" r:id="rId4"/>
    <sheet name="EtalonRes" sheetId="4" r:id="rId5"/>
    <sheet name="SrcKA" sheetId="5" r:id="rId6"/>
  </sheets>
  <definedNames>
    <definedName name="_xlnm.Print_Titles" localSheetId="0">'Смета 12 гр. по ФЕР'!$32:$32</definedName>
    <definedName name="_xlnm.Print_Area" localSheetId="0">'Смета 12 гр. по ФЕР'!$A$1:$L$166</definedName>
  </definedNames>
  <calcPr calcId="191029"/>
</workbook>
</file>

<file path=xl/calcChain.xml><?xml version="1.0" encoding="utf-8"?>
<calcChain xmlns="http://schemas.openxmlformats.org/spreadsheetml/2006/main">
  <c r="I164" i="6" l="1"/>
  <c r="I161" i="6"/>
  <c r="D164" i="6"/>
  <c r="D161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Z132" i="6"/>
  <c r="Y132" i="6"/>
  <c r="X132" i="6"/>
  <c r="J130" i="6"/>
  <c r="G130" i="6"/>
  <c r="F130" i="6"/>
  <c r="D130" i="6"/>
  <c r="I130" i="6"/>
  <c r="B130" i="6"/>
  <c r="Z129" i="6"/>
  <c r="Y129" i="6"/>
  <c r="X129" i="6"/>
  <c r="G128" i="6"/>
  <c r="E128" i="6"/>
  <c r="J127" i="6"/>
  <c r="F127" i="6"/>
  <c r="E127" i="6"/>
  <c r="J126" i="6"/>
  <c r="E126" i="6"/>
  <c r="J125" i="6"/>
  <c r="G125" i="6"/>
  <c r="F125" i="6"/>
  <c r="J124" i="6"/>
  <c r="G124" i="6"/>
  <c r="F124" i="6"/>
  <c r="J123" i="6"/>
  <c r="G123" i="6"/>
  <c r="F123" i="6"/>
  <c r="J122" i="6"/>
  <c r="G122" i="6"/>
  <c r="F122" i="6"/>
  <c r="F120" i="6"/>
  <c r="D120" i="6"/>
  <c r="I120" i="6"/>
  <c r="C120" i="6"/>
  <c r="B120" i="6"/>
  <c r="Z119" i="6"/>
  <c r="Y119" i="6"/>
  <c r="X119" i="6"/>
  <c r="J118" i="6"/>
  <c r="G118" i="6"/>
  <c r="F118" i="6"/>
  <c r="D118" i="6"/>
  <c r="I118" i="6"/>
  <c r="B118" i="6"/>
  <c r="Z117" i="6"/>
  <c r="Y117" i="6"/>
  <c r="X117" i="6"/>
  <c r="J115" i="6"/>
  <c r="G115" i="6"/>
  <c r="F115" i="6"/>
  <c r="D115" i="6"/>
  <c r="I115" i="6"/>
  <c r="B115" i="6"/>
  <c r="Z114" i="6"/>
  <c r="Y114" i="6"/>
  <c r="X114" i="6"/>
  <c r="G113" i="6"/>
  <c r="E113" i="6"/>
  <c r="J112" i="6"/>
  <c r="F112" i="6"/>
  <c r="E112" i="6"/>
  <c r="J111" i="6"/>
  <c r="E111" i="6"/>
  <c r="J110" i="6"/>
  <c r="G110" i="6"/>
  <c r="F110" i="6"/>
  <c r="J109" i="6"/>
  <c r="G109" i="6"/>
  <c r="F109" i="6"/>
  <c r="J108" i="6"/>
  <c r="G108" i="6"/>
  <c r="F108" i="6"/>
  <c r="F106" i="6"/>
  <c r="D106" i="6"/>
  <c r="I106" i="6"/>
  <c r="C106" i="6"/>
  <c r="B106" i="6"/>
  <c r="Z105" i="6"/>
  <c r="Y105" i="6"/>
  <c r="X105" i="6"/>
  <c r="J104" i="6"/>
  <c r="G104" i="6"/>
  <c r="F104" i="6"/>
  <c r="D104" i="6"/>
  <c r="I104" i="6"/>
  <c r="B104" i="6"/>
  <c r="Z103" i="6"/>
  <c r="Y103" i="6"/>
  <c r="X103" i="6"/>
  <c r="G102" i="6"/>
  <c r="E102" i="6"/>
  <c r="J101" i="6"/>
  <c r="F101" i="6"/>
  <c r="E101" i="6"/>
  <c r="J100" i="6"/>
  <c r="E100" i="6"/>
  <c r="J99" i="6"/>
  <c r="G99" i="6"/>
  <c r="F99" i="6"/>
  <c r="J98" i="6"/>
  <c r="G98" i="6"/>
  <c r="F98" i="6"/>
  <c r="J97" i="6"/>
  <c r="G97" i="6"/>
  <c r="F97" i="6"/>
  <c r="J96" i="6"/>
  <c r="G96" i="6"/>
  <c r="F96" i="6"/>
  <c r="F95" i="6"/>
  <c r="D95" i="6"/>
  <c r="I95" i="6"/>
  <c r="C95" i="6"/>
  <c r="B95" i="6"/>
  <c r="Z94" i="6"/>
  <c r="Y94" i="6"/>
  <c r="X94" i="6"/>
  <c r="J93" i="6"/>
  <c r="G93" i="6"/>
  <c r="F93" i="6"/>
  <c r="D93" i="6"/>
  <c r="I93" i="6"/>
  <c r="B93" i="6"/>
  <c r="Z92" i="6"/>
  <c r="Y92" i="6"/>
  <c r="X92" i="6"/>
  <c r="G91" i="6"/>
  <c r="E91" i="6"/>
  <c r="J90" i="6"/>
  <c r="F90" i="6"/>
  <c r="E90" i="6"/>
  <c r="J89" i="6"/>
  <c r="E89" i="6"/>
  <c r="J88" i="6"/>
  <c r="G88" i="6"/>
  <c r="F88" i="6"/>
  <c r="J87" i="6"/>
  <c r="G87" i="6"/>
  <c r="F87" i="6"/>
  <c r="J86" i="6"/>
  <c r="G86" i="6"/>
  <c r="F86" i="6"/>
  <c r="J85" i="6"/>
  <c r="G85" i="6"/>
  <c r="F85" i="6"/>
  <c r="F84" i="6"/>
  <c r="D84" i="6"/>
  <c r="I84" i="6"/>
  <c r="C84" i="6"/>
  <c r="B84" i="6"/>
  <c r="Z83" i="6"/>
  <c r="Y83" i="6"/>
  <c r="X83" i="6"/>
  <c r="G82" i="6"/>
  <c r="E82" i="6"/>
  <c r="J81" i="6"/>
  <c r="F81" i="6"/>
  <c r="E81" i="6"/>
  <c r="J80" i="6"/>
  <c r="E80" i="6"/>
  <c r="J79" i="6"/>
  <c r="G79" i="6"/>
  <c r="F79" i="6"/>
  <c r="J78" i="6"/>
  <c r="G78" i="6"/>
  <c r="F78" i="6"/>
  <c r="J77" i="6"/>
  <c r="G77" i="6"/>
  <c r="F77" i="6"/>
  <c r="F76" i="6"/>
  <c r="D76" i="6"/>
  <c r="I76" i="6"/>
  <c r="C76" i="6"/>
  <c r="B76" i="6"/>
  <c r="Z75" i="6"/>
  <c r="Y75" i="6"/>
  <c r="X75" i="6"/>
  <c r="J74" i="6"/>
  <c r="G74" i="6"/>
  <c r="F74" i="6"/>
  <c r="D74" i="6"/>
  <c r="I74" i="6"/>
  <c r="B74" i="6"/>
  <c r="Z73" i="6"/>
  <c r="Y73" i="6"/>
  <c r="X73" i="6"/>
  <c r="J72" i="6"/>
  <c r="G72" i="6"/>
  <c r="F72" i="6"/>
  <c r="D72" i="6"/>
  <c r="I72" i="6"/>
  <c r="C72" i="6"/>
  <c r="B72" i="6"/>
  <c r="Z71" i="6"/>
  <c r="Y71" i="6"/>
  <c r="X71" i="6"/>
  <c r="J70" i="6"/>
  <c r="G70" i="6"/>
  <c r="F70" i="6"/>
  <c r="D70" i="6"/>
  <c r="I70" i="6"/>
  <c r="C70" i="6"/>
  <c r="B70" i="6"/>
  <c r="Z69" i="6"/>
  <c r="Y69" i="6"/>
  <c r="X69" i="6"/>
  <c r="J68" i="6"/>
  <c r="G68" i="6"/>
  <c r="F68" i="6"/>
  <c r="D68" i="6"/>
  <c r="I68" i="6"/>
  <c r="C68" i="6"/>
  <c r="B68" i="6"/>
  <c r="Z67" i="6"/>
  <c r="Y67" i="6"/>
  <c r="X67" i="6"/>
  <c r="G66" i="6"/>
  <c r="E66" i="6"/>
  <c r="J65" i="6"/>
  <c r="E65" i="6"/>
  <c r="J64" i="6"/>
  <c r="E64" i="6"/>
  <c r="J63" i="6"/>
  <c r="G63" i="6"/>
  <c r="F63" i="6"/>
  <c r="J62" i="6"/>
  <c r="G62" i="6"/>
  <c r="F62" i="6"/>
  <c r="J61" i="6"/>
  <c r="G61" i="6"/>
  <c r="F61" i="6"/>
  <c r="F60" i="6"/>
  <c r="D60" i="6"/>
  <c r="I60" i="6"/>
  <c r="C60" i="6"/>
  <c r="B60" i="6"/>
  <c r="Z59" i="6"/>
  <c r="Y59" i="6"/>
  <c r="X59" i="6"/>
  <c r="G58" i="6"/>
  <c r="E58" i="6"/>
  <c r="J57" i="6"/>
  <c r="E57" i="6"/>
  <c r="J56" i="6"/>
  <c r="E56" i="6"/>
  <c r="J55" i="6"/>
  <c r="G55" i="6"/>
  <c r="F55" i="6"/>
  <c r="J54" i="6"/>
  <c r="G54" i="6"/>
  <c r="F54" i="6"/>
  <c r="J53" i="6"/>
  <c r="G53" i="6"/>
  <c r="F53" i="6"/>
  <c r="F52" i="6"/>
  <c r="D52" i="6"/>
  <c r="I52" i="6"/>
  <c r="C52" i="6"/>
  <c r="B52" i="6"/>
  <c r="Z51" i="6"/>
  <c r="Y51" i="6"/>
  <c r="X51" i="6"/>
  <c r="G50" i="6"/>
  <c r="E50" i="6"/>
  <c r="J49" i="6"/>
  <c r="E49" i="6"/>
  <c r="J48" i="6"/>
  <c r="E48" i="6"/>
  <c r="J47" i="6"/>
  <c r="G47" i="6"/>
  <c r="F47" i="6"/>
  <c r="J46" i="6"/>
  <c r="G46" i="6"/>
  <c r="F46" i="6"/>
  <c r="J45" i="6"/>
  <c r="G45" i="6"/>
  <c r="F45" i="6"/>
  <c r="F43" i="6"/>
  <c r="D43" i="6"/>
  <c r="I43" i="6"/>
  <c r="C43" i="6"/>
  <c r="B43" i="6"/>
  <c r="Z42" i="6"/>
  <c r="Y42" i="6"/>
  <c r="X42" i="6"/>
  <c r="G41" i="6"/>
  <c r="E41" i="6"/>
  <c r="J40" i="6"/>
  <c r="E40" i="6"/>
  <c r="J39" i="6"/>
  <c r="E39" i="6"/>
  <c r="J38" i="6"/>
  <c r="G38" i="6"/>
  <c r="F38" i="6"/>
  <c r="J37" i="6"/>
  <c r="G37" i="6"/>
  <c r="F37" i="6"/>
  <c r="J36" i="6"/>
  <c r="G36" i="6"/>
  <c r="F36" i="6"/>
  <c r="J35" i="6"/>
  <c r="G35" i="6"/>
  <c r="F35" i="6"/>
  <c r="F33" i="6"/>
  <c r="D33" i="6"/>
  <c r="I33" i="6"/>
  <c r="C33" i="6"/>
  <c r="B33" i="6"/>
  <c r="A20" i="6"/>
  <c r="B17" i="6"/>
  <c r="B13" i="6"/>
  <c r="H6" i="6"/>
  <c r="B6" i="6"/>
  <c r="A1" i="6"/>
  <c r="A1" i="4" l="1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1" i="3"/>
  <c r="Y1" i="3"/>
  <c r="CY1" i="3"/>
  <c r="CZ1" i="3"/>
  <c r="DA1" i="3"/>
  <c r="DB1" i="3"/>
  <c r="DC1" i="3"/>
  <c r="A2" i="3"/>
  <c r="Y2" i="3"/>
  <c r="CX2" i="3" s="1"/>
  <c r="CY2" i="3"/>
  <c r="CZ2" i="3"/>
  <c r="DB2" i="3" s="1"/>
  <c r="DA2" i="3"/>
  <c r="DC2" i="3"/>
  <c r="A3" i="3"/>
  <c r="Y3" i="3"/>
  <c r="CY3" i="3"/>
  <c r="CZ3" i="3"/>
  <c r="DA3" i="3"/>
  <c r="DB3" i="3"/>
  <c r="DC3" i="3"/>
  <c r="A4" i="3"/>
  <c r="Y4" i="3"/>
  <c r="CY4" i="3"/>
  <c r="CZ4" i="3"/>
  <c r="DB4" i="3" s="1"/>
  <c r="DA4" i="3"/>
  <c r="DC4" i="3"/>
  <c r="A5" i="3"/>
  <c r="Y5" i="3"/>
  <c r="CY5" i="3"/>
  <c r="CZ5" i="3"/>
  <c r="DB5" i="3" s="1"/>
  <c r="DA5" i="3"/>
  <c r="DC5" i="3"/>
  <c r="A6" i="3"/>
  <c r="Y6" i="3"/>
  <c r="CX6" i="3" s="1"/>
  <c r="DH6" i="3" s="1"/>
  <c r="CY6" i="3"/>
  <c r="CZ6" i="3"/>
  <c r="DB6" i="3" s="1"/>
  <c r="DA6" i="3"/>
  <c r="DC6" i="3"/>
  <c r="A7" i="3"/>
  <c r="Y7" i="3"/>
  <c r="CX7" i="3" s="1"/>
  <c r="DH7" i="3" s="1"/>
  <c r="CY7" i="3"/>
  <c r="CZ7" i="3"/>
  <c r="DA7" i="3"/>
  <c r="DB7" i="3"/>
  <c r="DC7" i="3"/>
  <c r="A8" i="3"/>
  <c r="Y8" i="3"/>
  <c r="CX8" i="3" s="1"/>
  <c r="CY8" i="3"/>
  <c r="CZ8" i="3"/>
  <c r="DB8" i="3" s="1"/>
  <c r="DA8" i="3"/>
  <c r="DC8" i="3"/>
  <c r="A9" i="3"/>
  <c r="Y9" i="3"/>
  <c r="CX9" i="3" s="1"/>
  <c r="DH9" i="3" s="1"/>
  <c r="CY9" i="3"/>
  <c r="CZ9" i="3"/>
  <c r="DA9" i="3"/>
  <c r="DB9" i="3"/>
  <c r="DC9" i="3"/>
  <c r="A10" i="3"/>
  <c r="Y10" i="3"/>
  <c r="CX10" i="3" s="1"/>
  <c r="CY10" i="3"/>
  <c r="CZ10" i="3"/>
  <c r="DB10" i="3" s="1"/>
  <c r="DA10" i="3"/>
  <c r="DC10" i="3"/>
  <c r="A11" i="3"/>
  <c r="Y11" i="3"/>
  <c r="CY11" i="3"/>
  <c r="CZ11" i="3"/>
  <c r="DA11" i="3"/>
  <c r="DB11" i="3"/>
  <c r="DC11" i="3"/>
  <c r="A12" i="3"/>
  <c r="Y12" i="3"/>
  <c r="CY12" i="3"/>
  <c r="CZ12" i="3"/>
  <c r="DB12" i="3" s="1"/>
  <c r="DA12" i="3"/>
  <c r="DC12" i="3"/>
  <c r="A13" i="3"/>
  <c r="Y13" i="3"/>
  <c r="CY13" i="3"/>
  <c r="CZ13" i="3"/>
  <c r="DB13" i="3" s="1"/>
  <c r="DA13" i="3"/>
  <c r="DC13" i="3"/>
  <c r="A14" i="3"/>
  <c r="Y14" i="3"/>
  <c r="CY14" i="3"/>
  <c r="CZ14" i="3"/>
  <c r="DA14" i="3"/>
  <c r="DB14" i="3"/>
  <c r="DC14" i="3"/>
  <c r="A15" i="3"/>
  <c r="Y15" i="3"/>
  <c r="CY15" i="3"/>
  <c r="CZ15" i="3"/>
  <c r="DA15" i="3"/>
  <c r="DB15" i="3"/>
  <c r="DC15" i="3"/>
  <c r="A16" i="3"/>
  <c r="Y16" i="3"/>
  <c r="CY16" i="3"/>
  <c r="CZ16" i="3"/>
  <c r="DA16" i="3"/>
  <c r="DB16" i="3"/>
  <c r="DC16" i="3"/>
  <c r="A17" i="3"/>
  <c r="Y17" i="3"/>
  <c r="CY17" i="3"/>
  <c r="CZ17" i="3"/>
  <c r="DB17" i="3" s="1"/>
  <c r="DA17" i="3"/>
  <c r="DC17" i="3"/>
  <c r="A18" i="3"/>
  <c r="Y18" i="3"/>
  <c r="CY18" i="3"/>
  <c r="CZ18" i="3"/>
  <c r="DB18" i="3" s="1"/>
  <c r="DA18" i="3"/>
  <c r="DC18" i="3"/>
  <c r="A19" i="3"/>
  <c r="Y19" i="3"/>
  <c r="CY19" i="3"/>
  <c r="CZ19" i="3"/>
  <c r="DB19" i="3" s="1"/>
  <c r="DA19" i="3"/>
  <c r="DC19" i="3"/>
  <c r="A20" i="3"/>
  <c r="Y20" i="3"/>
  <c r="CY20" i="3"/>
  <c r="CZ20" i="3"/>
  <c r="DB20" i="3" s="1"/>
  <c r="DA20" i="3"/>
  <c r="DC20" i="3"/>
  <c r="A21" i="3"/>
  <c r="Y21" i="3"/>
  <c r="CY21" i="3"/>
  <c r="CZ21" i="3"/>
  <c r="DB21" i="3" s="1"/>
  <c r="DA21" i="3"/>
  <c r="DC21" i="3"/>
  <c r="A22" i="3"/>
  <c r="Y22" i="3"/>
  <c r="CY22" i="3"/>
  <c r="CZ22" i="3"/>
  <c r="DB22" i="3" s="1"/>
  <c r="DA22" i="3"/>
  <c r="DC22" i="3"/>
  <c r="A23" i="3"/>
  <c r="Y23" i="3"/>
  <c r="CX23" i="3" s="1"/>
  <c r="CY23" i="3"/>
  <c r="CZ23" i="3"/>
  <c r="DA23" i="3"/>
  <c r="DB23" i="3"/>
  <c r="DC23" i="3"/>
  <c r="A24" i="3"/>
  <c r="Y24" i="3"/>
  <c r="CY24" i="3"/>
  <c r="CZ24" i="3"/>
  <c r="DB24" i="3" s="1"/>
  <c r="DA24" i="3"/>
  <c r="DC24" i="3"/>
  <c r="A25" i="3"/>
  <c r="Y25" i="3"/>
  <c r="CY25" i="3"/>
  <c r="CZ25" i="3"/>
  <c r="DB25" i="3" s="1"/>
  <c r="DA25" i="3"/>
  <c r="DC25" i="3"/>
  <c r="A26" i="3"/>
  <c r="Y26" i="3"/>
  <c r="CY26" i="3"/>
  <c r="CZ26" i="3"/>
  <c r="DA26" i="3"/>
  <c r="DB26" i="3"/>
  <c r="DC26" i="3"/>
  <c r="A27" i="3"/>
  <c r="Y27" i="3"/>
  <c r="CY27" i="3"/>
  <c r="CZ27" i="3"/>
  <c r="DB27" i="3" s="1"/>
  <c r="DA27" i="3"/>
  <c r="DC27" i="3"/>
  <c r="A28" i="3"/>
  <c r="Y28" i="3"/>
  <c r="CY28" i="3"/>
  <c r="CZ28" i="3"/>
  <c r="DB28" i="3" s="1"/>
  <c r="DA28" i="3"/>
  <c r="DC28" i="3"/>
  <c r="A29" i="3"/>
  <c r="Y29" i="3"/>
  <c r="CY29" i="3"/>
  <c r="CZ29" i="3"/>
  <c r="DB29" i="3" s="1"/>
  <c r="DA29" i="3"/>
  <c r="DC29" i="3"/>
  <c r="A30" i="3"/>
  <c r="Y30" i="3"/>
  <c r="CY30" i="3"/>
  <c r="CZ30" i="3"/>
  <c r="DB30" i="3" s="1"/>
  <c r="DA30" i="3"/>
  <c r="DC30" i="3"/>
  <c r="A31" i="3"/>
  <c r="Y31" i="3"/>
  <c r="CY31" i="3"/>
  <c r="CZ31" i="3"/>
  <c r="DA31" i="3"/>
  <c r="DB31" i="3"/>
  <c r="DC31" i="3"/>
  <c r="A32" i="3"/>
  <c r="Y32" i="3"/>
  <c r="CY32" i="3"/>
  <c r="CZ32" i="3"/>
  <c r="DA32" i="3"/>
  <c r="DB32" i="3"/>
  <c r="DC32" i="3"/>
  <c r="A33" i="3"/>
  <c r="Y33" i="3"/>
  <c r="CY33" i="3"/>
  <c r="CZ33" i="3"/>
  <c r="DB33" i="3" s="1"/>
  <c r="DA33" i="3"/>
  <c r="DC33" i="3"/>
  <c r="A34" i="3"/>
  <c r="Y34" i="3"/>
  <c r="CY34" i="3"/>
  <c r="CZ34" i="3"/>
  <c r="DB34" i="3" s="1"/>
  <c r="DA34" i="3"/>
  <c r="DC34" i="3"/>
  <c r="A35" i="3"/>
  <c r="Y35" i="3"/>
  <c r="CY35" i="3"/>
  <c r="CZ35" i="3"/>
  <c r="DB35" i="3" s="1"/>
  <c r="DA35" i="3"/>
  <c r="DC35" i="3"/>
  <c r="A36" i="3"/>
  <c r="Y36" i="3"/>
  <c r="CY36" i="3"/>
  <c r="CZ36" i="3"/>
  <c r="DB36" i="3" s="1"/>
  <c r="DA36" i="3"/>
  <c r="DC36" i="3"/>
  <c r="A37" i="3"/>
  <c r="Y37" i="3"/>
  <c r="CY37" i="3"/>
  <c r="CZ37" i="3"/>
  <c r="DB37" i="3" s="1"/>
  <c r="DA37" i="3"/>
  <c r="DC37" i="3"/>
  <c r="A38" i="3"/>
  <c r="Y38" i="3"/>
  <c r="CY38" i="3"/>
  <c r="CZ38" i="3"/>
  <c r="DB38" i="3" s="1"/>
  <c r="DA38" i="3"/>
  <c r="DC38" i="3"/>
  <c r="A39" i="3"/>
  <c r="Y39" i="3"/>
  <c r="CY39" i="3"/>
  <c r="CZ39" i="3"/>
  <c r="DA39" i="3"/>
  <c r="DB39" i="3"/>
  <c r="DC39" i="3"/>
  <c r="A40" i="3"/>
  <c r="Y40" i="3"/>
  <c r="CY40" i="3"/>
  <c r="CZ40" i="3"/>
  <c r="DB40" i="3" s="1"/>
  <c r="DA40" i="3"/>
  <c r="DC40" i="3"/>
  <c r="A41" i="3"/>
  <c r="Y41" i="3"/>
  <c r="CY41" i="3"/>
  <c r="CZ41" i="3"/>
  <c r="DB41" i="3" s="1"/>
  <c r="DA41" i="3"/>
  <c r="DC41" i="3"/>
  <c r="A42" i="3"/>
  <c r="Y42" i="3"/>
  <c r="CY42" i="3"/>
  <c r="CZ42" i="3"/>
  <c r="DA42" i="3"/>
  <c r="DB42" i="3"/>
  <c r="DC42" i="3"/>
  <c r="A43" i="3"/>
  <c r="Y43" i="3"/>
  <c r="CY43" i="3"/>
  <c r="CZ43" i="3"/>
  <c r="DB43" i="3" s="1"/>
  <c r="DA43" i="3"/>
  <c r="DC43" i="3"/>
  <c r="A44" i="3"/>
  <c r="Y44" i="3"/>
  <c r="CY44" i="3"/>
  <c r="CZ44" i="3"/>
  <c r="DB44" i="3" s="1"/>
  <c r="DA44" i="3"/>
  <c r="DC44" i="3"/>
  <c r="A45" i="3"/>
  <c r="Y45" i="3"/>
  <c r="CY45" i="3"/>
  <c r="CZ45" i="3"/>
  <c r="DB45" i="3" s="1"/>
  <c r="DA45" i="3"/>
  <c r="DC45" i="3"/>
  <c r="A46" i="3"/>
  <c r="Y46" i="3"/>
  <c r="CY46" i="3"/>
  <c r="CZ46" i="3"/>
  <c r="DB46" i="3" s="1"/>
  <c r="DA46" i="3"/>
  <c r="DC46" i="3"/>
  <c r="A47" i="3"/>
  <c r="Y47" i="3"/>
  <c r="CY47" i="3"/>
  <c r="CZ47" i="3"/>
  <c r="DA47" i="3"/>
  <c r="DB47" i="3"/>
  <c r="DC47" i="3"/>
  <c r="A48" i="3"/>
  <c r="Y48" i="3"/>
  <c r="CY48" i="3"/>
  <c r="CZ48" i="3"/>
  <c r="DA48" i="3"/>
  <c r="DB48" i="3"/>
  <c r="DC48" i="3"/>
  <c r="A49" i="3"/>
  <c r="Y49" i="3"/>
  <c r="CY49" i="3"/>
  <c r="CZ49" i="3"/>
  <c r="DB49" i="3" s="1"/>
  <c r="DA49" i="3"/>
  <c r="DC49" i="3"/>
  <c r="A50" i="3"/>
  <c r="Y50" i="3"/>
  <c r="CY50" i="3"/>
  <c r="CZ50" i="3"/>
  <c r="DB50" i="3" s="1"/>
  <c r="DA50" i="3"/>
  <c r="DC50" i="3"/>
  <c r="A51" i="3"/>
  <c r="Y51" i="3"/>
  <c r="CY51" i="3"/>
  <c r="CZ51" i="3"/>
  <c r="DB51" i="3" s="1"/>
  <c r="DA51" i="3"/>
  <c r="DC51" i="3"/>
  <c r="A52" i="3"/>
  <c r="Y52" i="3"/>
  <c r="CY52" i="3"/>
  <c r="CZ52" i="3"/>
  <c r="DB52" i="3" s="1"/>
  <c r="DA52" i="3"/>
  <c r="DC52" i="3"/>
  <c r="A53" i="3"/>
  <c r="Y53" i="3"/>
  <c r="CY53" i="3"/>
  <c r="CZ53" i="3"/>
  <c r="DB53" i="3" s="1"/>
  <c r="DA53" i="3"/>
  <c r="DC53" i="3"/>
  <c r="A54" i="3"/>
  <c r="Y54" i="3"/>
  <c r="CY54" i="3"/>
  <c r="CZ54" i="3"/>
  <c r="DB54" i="3" s="1"/>
  <c r="DA54" i="3"/>
  <c r="DC54" i="3"/>
  <c r="A55" i="3"/>
  <c r="Y55" i="3"/>
  <c r="CY55" i="3"/>
  <c r="CZ55" i="3"/>
  <c r="DB55" i="3" s="1"/>
  <c r="DA55" i="3"/>
  <c r="DC55" i="3"/>
  <c r="A56" i="3"/>
  <c r="Y56" i="3"/>
  <c r="CY56" i="3"/>
  <c r="CZ56" i="3"/>
  <c r="DB56" i="3" s="1"/>
  <c r="DA56" i="3"/>
  <c r="DC56" i="3"/>
  <c r="A57" i="3"/>
  <c r="Y57" i="3"/>
  <c r="CY57" i="3"/>
  <c r="CZ57" i="3"/>
  <c r="DB57" i="3" s="1"/>
  <c r="DA57" i="3"/>
  <c r="DC57" i="3"/>
  <c r="A58" i="3"/>
  <c r="Y58" i="3"/>
  <c r="CY58" i="3"/>
  <c r="CZ58" i="3"/>
  <c r="DA58" i="3"/>
  <c r="DB58" i="3"/>
  <c r="DC58" i="3"/>
  <c r="A59" i="3"/>
  <c r="Y59" i="3"/>
  <c r="CY59" i="3"/>
  <c r="CZ59" i="3"/>
  <c r="DA59" i="3"/>
  <c r="DB59" i="3"/>
  <c r="DC59" i="3"/>
  <c r="A60" i="3"/>
  <c r="Y60" i="3"/>
  <c r="CY60" i="3"/>
  <c r="CZ60" i="3"/>
  <c r="DB60" i="3" s="1"/>
  <c r="DA60" i="3"/>
  <c r="DC60" i="3"/>
  <c r="A61" i="3"/>
  <c r="Y61" i="3"/>
  <c r="CY61" i="3"/>
  <c r="CZ61" i="3"/>
  <c r="DB61" i="3" s="1"/>
  <c r="DA61" i="3"/>
  <c r="DC61" i="3"/>
  <c r="A62" i="3"/>
  <c r="Y62" i="3"/>
  <c r="CY62" i="3"/>
  <c r="CZ62" i="3"/>
  <c r="DB62" i="3" s="1"/>
  <c r="DA62" i="3"/>
  <c r="DC62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I24" i="1"/>
  <c r="K24" i="1"/>
  <c r="T24" i="1"/>
  <c r="AC24" i="1"/>
  <c r="H38" i="6" s="1"/>
  <c r="AD24" i="1"/>
  <c r="AE24" i="1"/>
  <c r="AF24" i="1"/>
  <c r="AG24" i="1"/>
  <c r="AH24" i="1"/>
  <c r="CV24" i="1" s="1"/>
  <c r="U24" i="1" s="1"/>
  <c r="AI24" i="1"/>
  <c r="AJ24" i="1"/>
  <c r="CX24" i="1" s="1"/>
  <c r="W24" i="1" s="1"/>
  <c r="CQ24" i="1"/>
  <c r="P24" i="1" s="1"/>
  <c r="K38" i="6" s="1"/>
  <c r="CR24" i="1"/>
  <c r="Q24" i="1" s="1"/>
  <c r="K36" i="6" s="1"/>
  <c r="CS24" i="1"/>
  <c r="R24" i="1" s="1"/>
  <c r="K37" i="6" s="1"/>
  <c r="CT24" i="1"/>
  <c r="S24" i="1" s="1"/>
  <c r="K35" i="6" s="1"/>
  <c r="CU24" i="1"/>
  <c r="CW24" i="1"/>
  <c r="V24" i="1" s="1"/>
  <c r="FR24" i="1"/>
  <c r="GL24" i="1"/>
  <c r="GO24" i="1"/>
  <c r="GP24" i="1"/>
  <c r="GV24" i="1"/>
  <c r="HC24" i="1"/>
  <c r="GX24" i="1" s="1"/>
  <c r="C25" i="1"/>
  <c r="D25" i="1"/>
  <c r="I25" i="1"/>
  <c r="K25" i="1"/>
  <c r="AC25" i="1"/>
  <c r="H47" i="6" s="1"/>
  <c r="AD25" i="1"/>
  <c r="AE25" i="1"/>
  <c r="H46" i="6" s="1"/>
  <c r="AF25" i="1"/>
  <c r="AG25" i="1"/>
  <c r="CU25" i="1" s="1"/>
  <c r="T25" i="1" s="1"/>
  <c r="AH25" i="1"/>
  <c r="CV25" i="1" s="1"/>
  <c r="U25" i="1" s="1"/>
  <c r="AI25" i="1"/>
  <c r="AJ25" i="1"/>
  <c r="CX25" i="1" s="1"/>
  <c r="W25" i="1" s="1"/>
  <c r="CR25" i="1"/>
  <c r="Q25" i="1" s="1"/>
  <c r="K46" i="6" s="1"/>
  <c r="CS25" i="1"/>
  <c r="R25" i="1" s="1"/>
  <c r="CW25" i="1"/>
  <c r="V25" i="1" s="1"/>
  <c r="FR25" i="1"/>
  <c r="GL25" i="1"/>
  <c r="GO25" i="1"/>
  <c r="GP25" i="1"/>
  <c r="GV25" i="1"/>
  <c r="HC25" i="1"/>
  <c r="GX25" i="1" s="1"/>
  <c r="C26" i="1"/>
  <c r="D26" i="1"/>
  <c r="K26" i="1"/>
  <c r="AC26" i="1"/>
  <c r="AD26" i="1"/>
  <c r="AE26" i="1"/>
  <c r="AF26" i="1"/>
  <c r="AB26" i="1" s="1"/>
  <c r="AG26" i="1"/>
  <c r="AH26" i="1"/>
  <c r="CV26" i="1" s="1"/>
  <c r="AI26" i="1"/>
  <c r="AJ26" i="1"/>
  <c r="CX26" i="1" s="1"/>
  <c r="CQ26" i="1"/>
  <c r="CR26" i="1"/>
  <c r="CS26" i="1"/>
  <c r="CU26" i="1"/>
  <c r="CW26" i="1"/>
  <c r="FR26" i="1"/>
  <c r="BY43" i="1" s="1"/>
  <c r="BY22" i="1" s="1"/>
  <c r="GL26" i="1"/>
  <c r="GO26" i="1"/>
  <c r="GP26" i="1"/>
  <c r="GV26" i="1"/>
  <c r="HC26" i="1" s="1"/>
  <c r="C27" i="1"/>
  <c r="D27" i="1"/>
  <c r="I27" i="1"/>
  <c r="E60" i="6" s="1"/>
  <c r="K27" i="1"/>
  <c r="AC27" i="1"/>
  <c r="CQ27" i="1" s="1"/>
  <c r="P27" i="1" s="1"/>
  <c r="AE27" i="1"/>
  <c r="AF27" i="1"/>
  <c r="AG27" i="1"/>
  <c r="CU27" i="1" s="1"/>
  <c r="AH27" i="1"/>
  <c r="CV27" i="1" s="1"/>
  <c r="AI27" i="1"/>
  <c r="CW27" i="1" s="1"/>
  <c r="V27" i="1" s="1"/>
  <c r="AJ27" i="1"/>
  <c r="CT27" i="1"/>
  <c r="S27" i="1" s="1"/>
  <c r="CX27" i="1"/>
  <c r="FR27" i="1"/>
  <c r="GL27" i="1"/>
  <c r="GO27" i="1"/>
  <c r="GP27" i="1"/>
  <c r="GV27" i="1"/>
  <c r="HC27" i="1"/>
  <c r="GX27" i="1" s="1"/>
  <c r="I28" i="1"/>
  <c r="K28" i="1"/>
  <c r="O28" i="1"/>
  <c r="P28" i="1"/>
  <c r="Q28" i="1"/>
  <c r="R28" i="1"/>
  <c r="S28" i="1"/>
  <c r="T28" i="1"/>
  <c r="U28" i="1"/>
  <c r="L69" i="6" s="1"/>
  <c r="Q69" i="6" s="1"/>
  <c r="V28" i="1"/>
  <c r="W28" i="1"/>
  <c r="X28" i="1"/>
  <c r="T68" i="6" s="1"/>
  <c r="Y28" i="1"/>
  <c r="V68" i="6" s="1"/>
  <c r="AB28" i="1"/>
  <c r="AC28" i="1"/>
  <c r="AD28" i="1"/>
  <c r="AE28" i="1"/>
  <c r="AF28" i="1"/>
  <c r="AG28" i="1"/>
  <c r="AH28" i="1"/>
  <c r="AI28" i="1"/>
  <c r="AJ28" i="1"/>
  <c r="FR28" i="1"/>
  <c r="GL28" i="1"/>
  <c r="GO28" i="1"/>
  <c r="GP28" i="1"/>
  <c r="GV28" i="1"/>
  <c r="GX28" i="1"/>
  <c r="I29" i="1"/>
  <c r="K29" i="1"/>
  <c r="O29" i="1"/>
  <c r="P29" i="1"/>
  <c r="Q29" i="1"/>
  <c r="R29" i="1"/>
  <c r="S29" i="1"/>
  <c r="T29" i="1"/>
  <c r="U29" i="1"/>
  <c r="L71" i="6" s="1"/>
  <c r="Q71" i="6" s="1"/>
  <c r="V29" i="1"/>
  <c r="W29" i="1"/>
  <c r="X29" i="1"/>
  <c r="T70" i="6" s="1"/>
  <c r="Y29" i="1"/>
  <c r="V70" i="6" s="1"/>
  <c r="AB29" i="1"/>
  <c r="AC29" i="1"/>
  <c r="AD29" i="1"/>
  <c r="AE29" i="1"/>
  <c r="AF29" i="1"/>
  <c r="AG29" i="1"/>
  <c r="AH29" i="1"/>
  <c r="AI29" i="1"/>
  <c r="AJ29" i="1"/>
  <c r="FR29" i="1"/>
  <c r="GL29" i="1"/>
  <c r="GO29" i="1"/>
  <c r="GP29" i="1"/>
  <c r="GV29" i="1"/>
  <c r="GX29" i="1"/>
  <c r="I30" i="1"/>
  <c r="K30" i="1"/>
  <c r="O30" i="1"/>
  <c r="P30" i="1"/>
  <c r="Q30" i="1"/>
  <c r="R30" i="1"/>
  <c r="S30" i="1"/>
  <c r="T30" i="1"/>
  <c r="U30" i="1"/>
  <c r="L73" i="6" s="1"/>
  <c r="Q73" i="6" s="1"/>
  <c r="V30" i="1"/>
  <c r="W30" i="1"/>
  <c r="X30" i="1"/>
  <c r="T72" i="6" s="1"/>
  <c r="Y30" i="1"/>
  <c r="V72" i="6" s="1"/>
  <c r="AB30" i="1"/>
  <c r="AC30" i="1"/>
  <c r="AD30" i="1"/>
  <c r="AE30" i="1"/>
  <c r="AF30" i="1"/>
  <c r="AG30" i="1"/>
  <c r="AH30" i="1"/>
  <c r="AI30" i="1"/>
  <c r="AJ30" i="1"/>
  <c r="FR30" i="1"/>
  <c r="GL30" i="1"/>
  <c r="GO30" i="1"/>
  <c r="GP30" i="1"/>
  <c r="GV30" i="1"/>
  <c r="GX30" i="1"/>
  <c r="I31" i="1"/>
  <c r="K31" i="1"/>
  <c r="AB31" i="1"/>
  <c r="AC31" i="1"/>
  <c r="AE31" i="1"/>
  <c r="AD31" i="1" s="1"/>
  <c r="AF31" i="1"/>
  <c r="AG31" i="1"/>
  <c r="CU31" i="1" s="1"/>
  <c r="T31" i="1" s="1"/>
  <c r="AH31" i="1"/>
  <c r="CV31" i="1" s="1"/>
  <c r="AI31" i="1"/>
  <c r="CW31" i="1" s="1"/>
  <c r="V31" i="1" s="1"/>
  <c r="AJ31" i="1"/>
  <c r="CX31" i="1" s="1"/>
  <c r="CQ31" i="1"/>
  <c r="FR31" i="1"/>
  <c r="GL31" i="1"/>
  <c r="GO31" i="1"/>
  <c r="GP31" i="1"/>
  <c r="GV31" i="1"/>
  <c r="HC31" i="1"/>
  <c r="GX31" i="1" s="1"/>
  <c r="C32" i="1"/>
  <c r="D32" i="1"/>
  <c r="I32" i="1"/>
  <c r="K32" i="1"/>
  <c r="AC32" i="1"/>
  <c r="AE32" i="1"/>
  <c r="CR32" i="1" s="1"/>
  <c r="Q32" i="1" s="1"/>
  <c r="K78" i="6" s="1"/>
  <c r="AF32" i="1"/>
  <c r="AG32" i="1"/>
  <c r="CU32" i="1" s="1"/>
  <c r="T32" i="1" s="1"/>
  <c r="AH32" i="1"/>
  <c r="AI32" i="1"/>
  <c r="CW32" i="1" s="1"/>
  <c r="V32" i="1" s="1"/>
  <c r="AJ32" i="1"/>
  <c r="CQ32" i="1"/>
  <c r="P32" i="1" s="1"/>
  <c r="CT32" i="1"/>
  <c r="CV32" i="1"/>
  <c r="U32" i="1" s="1"/>
  <c r="CX32" i="1"/>
  <c r="W32" i="1" s="1"/>
  <c r="FR32" i="1"/>
  <c r="GL32" i="1"/>
  <c r="GO32" i="1"/>
  <c r="GP32" i="1"/>
  <c r="GV32" i="1"/>
  <c r="HC32" i="1"/>
  <c r="GX32" i="1" s="1"/>
  <c r="C33" i="1"/>
  <c r="D33" i="1"/>
  <c r="I33" i="1"/>
  <c r="K33" i="1"/>
  <c r="W33" i="1"/>
  <c r="AC33" i="1"/>
  <c r="AE33" i="1"/>
  <c r="AF33" i="1"/>
  <c r="AG33" i="1"/>
  <c r="CU33" i="1" s="1"/>
  <c r="T33" i="1" s="1"/>
  <c r="AH33" i="1"/>
  <c r="AI33" i="1"/>
  <c r="CW33" i="1" s="1"/>
  <c r="V33" i="1" s="1"/>
  <c r="AJ33" i="1"/>
  <c r="CR33" i="1"/>
  <c r="Q33" i="1" s="1"/>
  <c r="K86" i="6" s="1"/>
  <c r="CT33" i="1"/>
  <c r="S33" i="1" s="1"/>
  <c r="K85" i="6" s="1"/>
  <c r="CV33" i="1"/>
  <c r="U33" i="1" s="1"/>
  <c r="CX33" i="1"/>
  <c r="FR33" i="1"/>
  <c r="GL33" i="1"/>
  <c r="GO33" i="1"/>
  <c r="GP33" i="1"/>
  <c r="GV33" i="1"/>
  <c r="HC33" i="1"/>
  <c r="GX33" i="1" s="1"/>
  <c r="I34" i="1"/>
  <c r="E93" i="6" s="1"/>
  <c r="K34" i="1"/>
  <c r="U34" i="1"/>
  <c r="L94" i="6" s="1"/>
  <c r="Q94" i="6" s="1"/>
  <c r="W34" i="1"/>
  <c r="AC34" i="1"/>
  <c r="H93" i="6" s="1"/>
  <c r="AE34" i="1"/>
  <c r="AD34" i="1" s="1"/>
  <c r="AF34" i="1"/>
  <c r="AG34" i="1"/>
  <c r="CU34" i="1" s="1"/>
  <c r="T34" i="1" s="1"/>
  <c r="AH34" i="1"/>
  <c r="AI34" i="1"/>
  <c r="CW34" i="1" s="1"/>
  <c r="V34" i="1" s="1"/>
  <c r="AJ34" i="1"/>
  <c r="CQ34" i="1"/>
  <c r="P34" i="1" s="1"/>
  <c r="K93" i="6" s="1"/>
  <c r="J94" i="6" s="1"/>
  <c r="P94" i="6" s="1"/>
  <c r="CT34" i="1"/>
  <c r="S34" i="1" s="1"/>
  <c r="CV34" i="1"/>
  <c r="CX34" i="1"/>
  <c r="FR34" i="1"/>
  <c r="GL34" i="1"/>
  <c r="GO34" i="1"/>
  <c r="GP34" i="1"/>
  <c r="GV34" i="1"/>
  <c r="HC34" i="1" s="1"/>
  <c r="GX34" i="1" s="1"/>
  <c r="C35" i="1"/>
  <c r="D35" i="1"/>
  <c r="I35" i="1"/>
  <c r="E95" i="6" s="1"/>
  <c r="K35" i="1"/>
  <c r="AC35" i="1"/>
  <c r="AE35" i="1"/>
  <c r="AF35" i="1"/>
  <c r="AG35" i="1"/>
  <c r="CU35" i="1" s="1"/>
  <c r="T35" i="1" s="1"/>
  <c r="AH35" i="1"/>
  <c r="AI35" i="1"/>
  <c r="CW35" i="1" s="1"/>
  <c r="AJ35" i="1"/>
  <c r="CQ35" i="1"/>
  <c r="P35" i="1" s="1"/>
  <c r="K99" i="6" s="1"/>
  <c r="CT35" i="1"/>
  <c r="S35" i="1" s="1"/>
  <c r="K96" i="6" s="1"/>
  <c r="CV35" i="1"/>
  <c r="U35" i="1" s="1"/>
  <c r="CX35" i="1"/>
  <c r="FR35" i="1"/>
  <c r="GL35" i="1"/>
  <c r="GO35" i="1"/>
  <c r="GP35" i="1"/>
  <c r="GV35" i="1"/>
  <c r="HC35" i="1" s="1"/>
  <c r="GX35" i="1"/>
  <c r="AC36" i="1"/>
  <c r="AE36" i="1"/>
  <c r="AD36" i="1" s="1"/>
  <c r="AF36" i="1"/>
  <c r="AG36" i="1"/>
  <c r="AH36" i="1"/>
  <c r="CV36" i="1" s="1"/>
  <c r="AI36" i="1"/>
  <c r="AJ36" i="1"/>
  <c r="CX36" i="1" s="1"/>
  <c r="CR36" i="1"/>
  <c r="CS36" i="1"/>
  <c r="CU36" i="1"/>
  <c r="CW36" i="1"/>
  <c r="FR36" i="1"/>
  <c r="GL36" i="1"/>
  <c r="GO36" i="1"/>
  <c r="GP36" i="1"/>
  <c r="GV36" i="1"/>
  <c r="HC36" i="1" s="1"/>
  <c r="C37" i="1"/>
  <c r="D37" i="1"/>
  <c r="I37" i="1"/>
  <c r="K37" i="1"/>
  <c r="AC37" i="1"/>
  <c r="AE37" i="1"/>
  <c r="AF37" i="1"/>
  <c r="AG37" i="1"/>
  <c r="CU37" i="1" s="1"/>
  <c r="T37" i="1" s="1"/>
  <c r="AH37" i="1"/>
  <c r="AI37" i="1"/>
  <c r="CW37" i="1" s="1"/>
  <c r="V37" i="1" s="1"/>
  <c r="AJ37" i="1"/>
  <c r="CQ37" i="1"/>
  <c r="CS37" i="1"/>
  <c r="R37" i="1" s="1"/>
  <c r="K110" i="6" s="1"/>
  <c r="CT37" i="1"/>
  <c r="CV37" i="1"/>
  <c r="CX37" i="1"/>
  <c r="FR37" i="1"/>
  <c r="GL37" i="1"/>
  <c r="GO37" i="1"/>
  <c r="GP37" i="1"/>
  <c r="GV37" i="1"/>
  <c r="HC37" i="1"/>
  <c r="GX37" i="1" s="1"/>
  <c r="AC38" i="1"/>
  <c r="AE38" i="1"/>
  <c r="CS38" i="1" s="1"/>
  <c r="AF38" i="1"/>
  <c r="AG38" i="1"/>
  <c r="CU38" i="1" s="1"/>
  <c r="AH38" i="1"/>
  <c r="AI38" i="1"/>
  <c r="CW38" i="1" s="1"/>
  <c r="AJ38" i="1"/>
  <c r="CQ38" i="1"/>
  <c r="CT38" i="1"/>
  <c r="CV38" i="1"/>
  <c r="CX38" i="1"/>
  <c r="FR38" i="1"/>
  <c r="GL38" i="1"/>
  <c r="GO38" i="1"/>
  <c r="GP38" i="1"/>
  <c r="GV38" i="1"/>
  <c r="HC38" i="1" s="1"/>
  <c r="I39" i="1"/>
  <c r="E118" i="6" s="1"/>
  <c r="K39" i="1"/>
  <c r="AC39" i="1"/>
  <c r="AE39" i="1"/>
  <c r="AD39" i="1" s="1"/>
  <c r="AF39" i="1"/>
  <c r="AG39" i="1"/>
  <c r="AH39" i="1"/>
  <c r="CV39" i="1" s="1"/>
  <c r="AI39" i="1"/>
  <c r="AJ39" i="1"/>
  <c r="CX39" i="1" s="1"/>
  <c r="W39" i="1" s="1"/>
  <c r="CQ39" i="1"/>
  <c r="P39" i="1" s="1"/>
  <c r="K118" i="6" s="1"/>
  <c r="J119" i="6" s="1"/>
  <c r="P119" i="6" s="1"/>
  <c r="CR39" i="1"/>
  <c r="Q39" i="1" s="1"/>
  <c r="CS39" i="1"/>
  <c r="CT39" i="1"/>
  <c r="S39" i="1" s="1"/>
  <c r="CU39" i="1"/>
  <c r="CW39" i="1"/>
  <c r="FR39" i="1"/>
  <c r="GL39" i="1"/>
  <c r="GO39" i="1"/>
  <c r="GP39" i="1"/>
  <c r="GV39" i="1"/>
  <c r="HC39" i="1" s="1"/>
  <c r="GX39" i="1" s="1"/>
  <c r="C40" i="1"/>
  <c r="D40" i="1"/>
  <c r="I40" i="1"/>
  <c r="K40" i="1"/>
  <c r="AC40" i="1"/>
  <c r="H125" i="6" s="1"/>
  <c r="AE40" i="1"/>
  <c r="AF40" i="1"/>
  <c r="AG40" i="1"/>
  <c r="CU40" i="1" s="1"/>
  <c r="T40" i="1" s="1"/>
  <c r="AH40" i="1"/>
  <c r="CV40" i="1" s="1"/>
  <c r="U40" i="1" s="1"/>
  <c r="AI40" i="1"/>
  <c r="CW40" i="1" s="1"/>
  <c r="V40" i="1" s="1"/>
  <c r="AJ40" i="1"/>
  <c r="CR40" i="1"/>
  <c r="Q40" i="1" s="1"/>
  <c r="K123" i="6" s="1"/>
  <c r="CS40" i="1"/>
  <c r="R40" i="1" s="1"/>
  <c r="K124" i="6" s="1"/>
  <c r="CT40" i="1"/>
  <c r="CX40" i="1"/>
  <c r="W40" i="1" s="1"/>
  <c r="FR40" i="1"/>
  <c r="GL40" i="1"/>
  <c r="GO40" i="1"/>
  <c r="GP40" i="1"/>
  <c r="GV40" i="1"/>
  <c r="HC40" i="1" s="1"/>
  <c r="GX40" i="1" s="1"/>
  <c r="I41" i="1"/>
  <c r="K41" i="1"/>
  <c r="AC41" i="1"/>
  <c r="H130" i="6" s="1"/>
  <c r="AE41" i="1"/>
  <c r="AD41" i="1" s="1"/>
  <c r="AF41" i="1"/>
  <c r="AG41" i="1"/>
  <c r="CU41" i="1" s="1"/>
  <c r="AH41" i="1"/>
  <c r="CV41" i="1" s="1"/>
  <c r="AI41" i="1"/>
  <c r="AJ41" i="1"/>
  <c r="CQ41" i="1"/>
  <c r="P41" i="1" s="1"/>
  <c r="K130" i="6" s="1"/>
  <c r="J132" i="6" s="1"/>
  <c r="P132" i="6" s="1"/>
  <c r="CR41" i="1"/>
  <c r="Q41" i="1" s="1"/>
  <c r="CW41" i="1"/>
  <c r="CX41" i="1"/>
  <c r="W41" i="1" s="1"/>
  <c r="FR41" i="1"/>
  <c r="GL41" i="1"/>
  <c r="GO41" i="1"/>
  <c r="GP41" i="1"/>
  <c r="GV41" i="1"/>
  <c r="HC41" i="1" s="1"/>
  <c r="GX41" i="1" s="1"/>
  <c r="B43" i="1"/>
  <c r="B22" i="1" s="1"/>
  <c r="C43" i="1"/>
  <c r="C22" i="1" s="1"/>
  <c r="D43" i="1"/>
  <c r="D22" i="1" s="1"/>
  <c r="F43" i="1"/>
  <c r="F22" i="1" s="1"/>
  <c r="G43" i="1"/>
  <c r="BX43" i="1"/>
  <c r="BX22" i="1" s="1"/>
  <c r="CK43" i="1"/>
  <c r="CK22" i="1" s="1"/>
  <c r="CL43" i="1"/>
  <c r="CL22" i="1" s="1"/>
  <c r="B75" i="1"/>
  <c r="B18" i="1" s="1"/>
  <c r="C75" i="1"/>
  <c r="C18" i="1" s="1"/>
  <c r="D75" i="1"/>
  <c r="D18" i="1" s="1"/>
  <c r="F75" i="1"/>
  <c r="F18" i="1" s="1"/>
  <c r="G75" i="1"/>
  <c r="K61" i="6" l="1"/>
  <c r="DG10" i="3"/>
  <c r="DI10" i="3"/>
  <c r="DH10" i="3"/>
  <c r="DF10" i="3"/>
  <c r="DJ10" i="3" s="1"/>
  <c r="V36" i="1"/>
  <c r="L83" i="6"/>
  <c r="Q83" i="6" s="1"/>
  <c r="L82" i="6"/>
  <c r="L102" i="6"/>
  <c r="L103" i="6"/>
  <c r="Q103" i="6" s="1"/>
  <c r="DG2" i="3"/>
  <c r="DI2" i="3"/>
  <c r="DJ2" i="3" s="1"/>
  <c r="L129" i="6"/>
  <c r="Q129" i="6" s="1"/>
  <c r="L128" i="6"/>
  <c r="U118" i="6"/>
  <c r="S118" i="6"/>
  <c r="R39" i="1"/>
  <c r="L92" i="6"/>
  <c r="Q92" i="6" s="1"/>
  <c r="L91" i="6"/>
  <c r="CS32" i="1"/>
  <c r="R32" i="1" s="1"/>
  <c r="K79" i="6" s="1"/>
  <c r="H63" i="6"/>
  <c r="R63" i="6" s="1"/>
  <c r="H62" i="6"/>
  <c r="L42" i="6"/>
  <c r="Q42" i="6" s="1"/>
  <c r="L41" i="6"/>
  <c r="CX17" i="3"/>
  <c r="G22" i="1"/>
  <c r="A134" i="6"/>
  <c r="CT41" i="1"/>
  <c r="S41" i="1" s="1"/>
  <c r="U130" i="6"/>
  <c r="S130" i="6"/>
  <c r="T41" i="1"/>
  <c r="C131" i="6"/>
  <c r="E130" i="6"/>
  <c r="CQ40" i="1"/>
  <c r="P40" i="1" s="1"/>
  <c r="K125" i="6" s="1"/>
  <c r="E120" i="6"/>
  <c r="C121" i="6"/>
  <c r="CD43" i="1"/>
  <c r="S37" i="1"/>
  <c r="K108" i="6" s="1"/>
  <c r="U106" i="6"/>
  <c r="H112" i="6" s="1"/>
  <c r="S106" i="6"/>
  <c r="H111" i="6" s="1"/>
  <c r="H108" i="6"/>
  <c r="H96" i="6"/>
  <c r="U95" i="6"/>
  <c r="H101" i="6" s="1"/>
  <c r="S95" i="6"/>
  <c r="H100" i="6" s="1"/>
  <c r="CS34" i="1"/>
  <c r="R34" i="1" s="1"/>
  <c r="W94" i="6"/>
  <c r="G94" i="6"/>
  <c r="O94" i="6" s="1"/>
  <c r="U84" i="6"/>
  <c r="H90" i="6" s="1"/>
  <c r="S84" i="6"/>
  <c r="H89" i="6" s="1"/>
  <c r="H85" i="6"/>
  <c r="CX18" i="3"/>
  <c r="DH18" i="3" s="1"/>
  <c r="E76" i="6"/>
  <c r="W31" i="1"/>
  <c r="CT31" i="1"/>
  <c r="S74" i="6"/>
  <c r="U74" i="6"/>
  <c r="CP30" i="1"/>
  <c r="GN30" i="1" s="1"/>
  <c r="H72" i="6"/>
  <c r="CP29" i="1"/>
  <c r="GM29" i="1" s="1"/>
  <c r="H70" i="6"/>
  <c r="CS27" i="1"/>
  <c r="R27" i="1" s="1"/>
  <c r="K63" i="6" s="1"/>
  <c r="U27" i="1"/>
  <c r="AD27" i="1"/>
  <c r="CX54" i="3"/>
  <c r="CX16" i="3"/>
  <c r="CX15" i="3"/>
  <c r="DG15" i="3" s="1"/>
  <c r="CX14" i="3"/>
  <c r="DF14" i="3" s="1"/>
  <c r="CX3" i="3"/>
  <c r="CX1" i="3"/>
  <c r="G18" i="1"/>
  <c r="CQ36" i="1"/>
  <c r="H104" i="6"/>
  <c r="CY34" i="1"/>
  <c r="X34" i="1" s="1"/>
  <c r="T93" i="6" s="1"/>
  <c r="AD32" i="1"/>
  <c r="AB32" i="1" s="1"/>
  <c r="H79" i="6"/>
  <c r="R79" i="6" s="1"/>
  <c r="H78" i="6"/>
  <c r="BZ43" i="1"/>
  <c r="CG43" i="1" s="1"/>
  <c r="S40" i="1"/>
  <c r="K122" i="6" s="1"/>
  <c r="U120" i="6"/>
  <c r="H127" i="6" s="1"/>
  <c r="S120" i="6"/>
  <c r="H126" i="6" s="1"/>
  <c r="H122" i="6"/>
  <c r="V39" i="1"/>
  <c r="U39" i="1"/>
  <c r="L119" i="6" s="1"/>
  <c r="Q119" i="6" s="1"/>
  <c r="H118" i="6"/>
  <c r="AD37" i="1"/>
  <c r="AB37" i="1" s="1"/>
  <c r="H110" i="6"/>
  <c r="R110" i="6" s="1"/>
  <c r="H109" i="6"/>
  <c r="W37" i="1"/>
  <c r="C107" i="6"/>
  <c r="E106" i="6"/>
  <c r="S104" i="6"/>
  <c r="K36" i="1"/>
  <c r="W35" i="1"/>
  <c r="CS35" i="1"/>
  <c r="R35" i="1" s="1"/>
  <c r="H98" i="6"/>
  <c r="R98" i="6" s="1"/>
  <c r="H97" i="6"/>
  <c r="AD33" i="1"/>
  <c r="H87" i="6"/>
  <c r="R87" i="6" s="1"/>
  <c r="H86" i="6"/>
  <c r="P31" i="1"/>
  <c r="K74" i="6" s="1"/>
  <c r="J75" i="6" s="1"/>
  <c r="P75" i="6" s="1"/>
  <c r="E74" i="6"/>
  <c r="U72" i="6"/>
  <c r="S72" i="6"/>
  <c r="E72" i="6"/>
  <c r="E70" i="6"/>
  <c r="U70" i="6"/>
  <c r="S70" i="6"/>
  <c r="CP28" i="1"/>
  <c r="GM28" i="1" s="1"/>
  <c r="H68" i="6"/>
  <c r="W27" i="1"/>
  <c r="CR27" i="1"/>
  <c r="Q27" i="1" s="1"/>
  <c r="K62" i="6" s="1"/>
  <c r="CT25" i="1"/>
  <c r="S25" i="1" s="1"/>
  <c r="K45" i="6" s="1"/>
  <c r="U43" i="6"/>
  <c r="H49" i="6" s="1"/>
  <c r="S43" i="6"/>
  <c r="H48" i="6" s="1"/>
  <c r="H45" i="6"/>
  <c r="U33" i="6"/>
  <c r="H40" i="6" s="1"/>
  <c r="S33" i="6"/>
  <c r="H39" i="6" s="1"/>
  <c r="H35" i="6"/>
  <c r="CX19" i="3"/>
  <c r="DI9" i="3"/>
  <c r="CX4" i="3"/>
  <c r="T27" i="1"/>
  <c r="CT26" i="1"/>
  <c r="L51" i="6"/>
  <c r="Q51" i="6" s="1"/>
  <c r="L50" i="6"/>
  <c r="G132" i="6"/>
  <c r="O132" i="6" s="1"/>
  <c r="W132" i="6"/>
  <c r="AD40" i="1"/>
  <c r="H124" i="6"/>
  <c r="R124" i="6" s="1"/>
  <c r="H123" i="6"/>
  <c r="T39" i="1"/>
  <c r="AB39" i="1"/>
  <c r="CC43" i="1"/>
  <c r="CR38" i="1"/>
  <c r="CR37" i="1"/>
  <c r="Q37" i="1" s="1"/>
  <c r="K109" i="6" s="1"/>
  <c r="CT36" i="1"/>
  <c r="I36" i="1"/>
  <c r="CR35" i="1"/>
  <c r="Q35" i="1" s="1"/>
  <c r="K97" i="6" s="1"/>
  <c r="H99" i="6"/>
  <c r="U93" i="6"/>
  <c r="S93" i="6"/>
  <c r="CS33" i="1"/>
  <c r="R33" i="1" s="1"/>
  <c r="K87" i="6" s="1"/>
  <c r="CQ33" i="1"/>
  <c r="P33" i="1" s="1"/>
  <c r="K88" i="6" s="1"/>
  <c r="H88" i="6"/>
  <c r="CX24" i="3"/>
  <c r="E84" i="6"/>
  <c r="S32" i="1"/>
  <c r="K77" i="6" s="1"/>
  <c r="S76" i="6"/>
  <c r="H80" i="6" s="1"/>
  <c r="H77" i="6"/>
  <c r="U76" i="6"/>
  <c r="H81" i="6" s="1"/>
  <c r="CS31" i="1"/>
  <c r="U31" i="1"/>
  <c r="L75" i="6" s="1"/>
  <c r="Q75" i="6" s="1"/>
  <c r="H74" i="6"/>
  <c r="U68" i="6"/>
  <c r="S68" i="6"/>
  <c r="E68" i="6"/>
  <c r="H61" i="6"/>
  <c r="U60" i="6"/>
  <c r="H65" i="6" s="1"/>
  <c r="S60" i="6"/>
  <c r="H64" i="6" s="1"/>
  <c r="I26" i="1"/>
  <c r="C44" i="6"/>
  <c r="E43" i="6"/>
  <c r="H37" i="6"/>
  <c r="R37" i="6" s="1"/>
  <c r="H36" i="6"/>
  <c r="E33" i="6"/>
  <c r="C34" i="6"/>
  <c r="CX28" i="3"/>
  <c r="CX20" i="3"/>
  <c r="DI20" i="3" s="1"/>
  <c r="CX5" i="3"/>
  <c r="DG5" i="3" s="1"/>
  <c r="DJ5" i="3" s="1"/>
  <c r="CY37" i="1"/>
  <c r="X37" i="1" s="1"/>
  <c r="T106" i="6" s="1"/>
  <c r="K111" i="6" s="1"/>
  <c r="CZ37" i="1"/>
  <c r="Y37" i="1" s="1"/>
  <c r="V106" i="6" s="1"/>
  <c r="K112" i="6" s="1"/>
  <c r="CY40" i="1"/>
  <c r="X40" i="1" s="1"/>
  <c r="T120" i="6" s="1"/>
  <c r="K126" i="6" s="1"/>
  <c r="CZ40" i="1"/>
  <c r="Y40" i="1" s="1"/>
  <c r="V120" i="6" s="1"/>
  <c r="K127" i="6" s="1"/>
  <c r="CP35" i="1"/>
  <c r="O35" i="1" s="1"/>
  <c r="CD22" i="1"/>
  <c r="AU43" i="1"/>
  <c r="CY35" i="1"/>
  <c r="X35" i="1" s="1"/>
  <c r="T95" i="6" s="1"/>
  <c r="K100" i="6" s="1"/>
  <c r="CY33" i="1"/>
  <c r="X33" i="1" s="1"/>
  <c r="T84" i="6" s="1"/>
  <c r="K89" i="6" s="1"/>
  <c r="CZ25" i="1"/>
  <c r="Y25" i="1" s="1"/>
  <c r="V43" i="6" s="1"/>
  <c r="K49" i="6" s="1"/>
  <c r="CY25" i="1"/>
  <c r="X25" i="1" s="1"/>
  <c r="T43" i="6" s="1"/>
  <c r="K48" i="6" s="1"/>
  <c r="CZ39" i="1"/>
  <c r="Y39" i="1" s="1"/>
  <c r="V118" i="6" s="1"/>
  <c r="CP39" i="1"/>
  <c r="O39" i="1" s="1"/>
  <c r="CY39" i="1"/>
  <c r="X39" i="1" s="1"/>
  <c r="T118" i="6" s="1"/>
  <c r="BZ22" i="1"/>
  <c r="AB41" i="1"/>
  <c r="CP40" i="1"/>
  <c r="O40" i="1" s="1"/>
  <c r="CC22" i="1"/>
  <c r="AT43" i="1"/>
  <c r="CP33" i="1"/>
  <c r="O33" i="1" s="1"/>
  <c r="CY32" i="1"/>
  <c r="X32" i="1" s="1"/>
  <c r="CZ32" i="1"/>
  <c r="Y32" i="1" s="1"/>
  <c r="V76" i="6" s="1"/>
  <c r="K81" i="6" s="1"/>
  <c r="AB40" i="1"/>
  <c r="CP41" i="1"/>
  <c r="O41" i="1" s="1"/>
  <c r="CS41" i="1"/>
  <c r="R41" i="1" s="1"/>
  <c r="CZ41" i="1" s="1"/>
  <c r="Y41" i="1" s="1"/>
  <c r="V130" i="6" s="1"/>
  <c r="V41" i="1"/>
  <c r="W36" i="1"/>
  <c r="CX30" i="3"/>
  <c r="CX34" i="3"/>
  <c r="CX32" i="3"/>
  <c r="CY27" i="1"/>
  <c r="X27" i="1" s="1"/>
  <c r="CX52" i="3"/>
  <c r="CX51" i="3"/>
  <c r="DF19" i="3"/>
  <c r="DH19" i="3"/>
  <c r="DG19" i="3"/>
  <c r="DI19" i="3"/>
  <c r="DJ19" i="3" s="1"/>
  <c r="K38" i="1"/>
  <c r="CX40" i="3"/>
  <c r="CX38" i="3"/>
  <c r="CX42" i="3"/>
  <c r="DG54" i="3"/>
  <c r="DI54" i="3"/>
  <c r="DF54" i="3"/>
  <c r="DJ54" i="3" s="1"/>
  <c r="DH54" i="3"/>
  <c r="CX41" i="3"/>
  <c r="U41" i="1"/>
  <c r="L132" i="6" s="1"/>
  <c r="Q132" i="6" s="1"/>
  <c r="U37" i="1"/>
  <c r="AD35" i="1"/>
  <c r="AB35" i="1" s="1"/>
  <c r="DG24" i="3"/>
  <c r="DJ24" i="3" s="1"/>
  <c r="DI24" i="3"/>
  <c r="DF24" i="3"/>
  <c r="DH24" i="3"/>
  <c r="CX55" i="3"/>
  <c r="CX35" i="3"/>
  <c r="DI28" i="3"/>
  <c r="DF28" i="3"/>
  <c r="DJ28" i="3" s="1"/>
  <c r="DG28" i="3"/>
  <c r="DH28" i="3"/>
  <c r="AP43" i="1"/>
  <c r="CX46" i="3"/>
  <c r="CX62" i="3"/>
  <c r="CX50" i="3"/>
  <c r="CX56" i="3"/>
  <c r="CX48" i="3"/>
  <c r="CX58" i="3"/>
  <c r="I38" i="1"/>
  <c r="U115" i="6" s="1"/>
  <c r="CR34" i="1"/>
  <c r="Q34" i="1" s="1"/>
  <c r="CP34" i="1" s="1"/>
  <c r="O34" i="1" s="1"/>
  <c r="CX44" i="3"/>
  <c r="CX36" i="3"/>
  <c r="DF20" i="3"/>
  <c r="AO43" i="1"/>
  <c r="P37" i="1"/>
  <c r="CP37" i="1" s="1"/>
  <c r="O37" i="1" s="1"/>
  <c r="CZ34" i="1"/>
  <c r="Y34" i="1" s="1"/>
  <c r="V93" i="6" s="1"/>
  <c r="AB34" i="1"/>
  <c r="AB25" i="1"/>
  <c r="CZ24" i="1"/>
  <c r="Y24" i="1" s="1"/>
  <c r="V33" i="6" s="1"/>
  <c r="K40" i="6" s="1"/>
  <c r="CY24" i="1"/>
  <c r="X24" i="1" s="1"/>
  <c r="T33" i="6" s="1"/>
  <c r="K39" i="6" s="1"/>
  <c r="CX57" i="3"/>
  <c r="AB36" i="1"/>
  <c r="V35" i="1"/>
  <c r="S31" i="1"/>
  <c r="CX47" i="3"/>
  <c r="DF23" i="3"/>
  <c r="DI23" i="3"/>
  <c r="DH23" i="3"/>
  <c r="DI4" i="3"/>
  <c r="DF4" i="3"/>
  <c r="DG4" i="3"/>
  <c r="DJ4" i="3" s="1"/>
  <c r="DH4" i="3"/>
  <c r="BC43" i="1"/>
  <c r="AD38" i="1"/>
  <c r="AB38" i="1" s="1"/>
  <c r="R31" i="1"/>
  <c r="GM30" i="1"/>
  <c r="GN29" i="1"/>
  <c r="AB24" i="1"/>
  <c r="CX60" i="3"/>
  <c r="CX31" i="3"/>
  <c r="BB43" i="1"/>
  <c r="AB33" i="1"/>
  <c r="DF18" i="3"/>
  <c r="CR31" i="1"/>
  <c r="Q31" i="1" s="1"/>
  <c r="AB27" i="1"/>
  <c r="CX39" i="3"/>
  <c r="DG23" i="3"/>
  <c r="DJ23" i="3" s="1"/>
  <c r="DF15" i="3"/>
  <c r="DF7" i="3"/>
  <c r="DJ7" i="3" s="1"/>
  <c r="DG7" i="3"/>
  <c r="DI7" i="3"/>
  <c r="CX61" i="3"/>
  <c r="CX45" i="3"/>
  <c r="CX29" i="3"/>
  <c r="CX26" i="3"/>
  <c r="DG16" i="3"/>
  <c r="DJ16" i="3" s="1"/>
  <c r="DI16" i="3"/>
  <c r="CX25" i="3"/>
  <c r="CX22" i="3"/>
  <c r="DF3" i="3"/>
  <c r="DH3" i="3"/>
  <c r="CQ25" i="1"/>
  <c r="P25" i="1" s="1"/>
  <c r="K47" i="6" s="1"/>
  <c r="DG6" i="3"/>
  <c r="DJ6" i="3" s="1"/>
  <c r="DI6" i="3"/>
  <c r="DI3" i="3"/>
  <c r="CP24" i="1"/>
  <c r="O24" i="1" s="1"/>
  <c r="CX53" i="3"/>
  <c r="CX37" i="3"/>
  <c r="CX21" i="3"/>
  <c r="DG9" i="3"/>
  <c r="DJ9" i="3" s="1"/>
  <c r="DG3" i="3"/>
  <c r="DJ3" i="3" s="1"/>
  <c r="CX59" i="3"/>
  <c r="CX43" i="3"/>
  <c r="CX27" i="3"/>
  <c r="DF9" i="3"/>
  <c r="DG8" i="3"/>
  <c r="DI8" i="3"/>
  <c r="DJ8" i="3" s="1"/>
  <c r="DF6" i="3"/>
  <c r="DF5" i="3"/>
  <c r="DH5" i="3"/>
  <c r="CX49" i="3"/>
  <c r="CX33" i="3"/>
  <c r="DG14" i="3"/>
  <c r="DI14" i="3"/>
  <c r="DJ14" i="3" s="1"/>
  <c r="DH8" i="3"/>
  <c r="DH2" i="3"/>
  <c r="GN28" i="1"/>
  <c r="DI17" i="3"/>
  <c r="DH14" i="3"/>
  <c r="DF8" i="3"/>
  <c r="DI5" i="3"/>
  <c r="DF2" i="3"/>
  <c r="J42" i="6" l="1"/>
  <c r="P42" i="6" s="1"/>
  <c r="HD29" i="1"/>
  <c r="K70" i="6"/>
  <c r="J71" i="6" s="1"/>
  <c r="P71" i="6" s="1"/>
  <c r="Q26" i="1"/>
  <c r="K54" i="6" s="1"/>
  <c r="E52" i="6"/>
  <c r="P26" i="1"/>
  <c r="S26" i="1"/>
  <c r="G105" i="6"/>
  <c r="O105" i="6" s="1"/>
  <c r="W105" i="6"/>
  <c r="S115" i="6"/>
  <c r="GX26" i="1"/>
  <c r="CX11" i="3"/>
  <c r="DI11" i="3" s="1"/>
  <c r="DJ11" i="3" s="1"/>
  <c r="DI15" i="3"/>
  <c r="DJ15" i="3" s="1"/>
  <c r="DG18" i="3"/>
  <c r="HD30" i="1"/>
  <c r="K72" i="6"/>
  <c r="J73" i="6" s="1"/>
  <c r="P73" i="6" s="1"/>
  <c r="DG20" i="3"/>
  <c r="DJ20" i="3" s="1"/>
  <c r="CI43" i="1"/>
  <c r="H55" i="6"/>
  <c r="R61" i="6"/>
  <c r="G67" i="6"/>
  <c r="O67" i="6" s="1"/>
  <c r="G75" i="6"/>
  <c r="O75" i="6" s="1"/>
  <c r="W75" i="6"/>
  <c r="R77" i="6"/>
  <c r="G83" i="6"/>
  <c r="O83" i="6" s="1"/>
  <c r="U36" i="1"/>
  <c r="L105" i="6" s="1"/>
  <c r="Q105" i="6" s="1"/>
  <c r="E104" i="6"/>
  <c r="CX12" i="3"/>
  <c r="J51" i="6"/>
  <c r="P51" i="6" s="1"/>
  <c r="G69" i="6"/>
  <c r="O69" i="6" s="1"/>
  <c r="W69" i="6"/>
  <c r="CZ35" i="1"/>
  <c r="Y35" i="1" s="1"/>
  <c r="V95" i="6" s="1"/>
  <c r="K101" i="6" s="1"/>
  <c r="J103" i="6" s="1"/>
  <c r="P103" i="6" s="1"/>
  <c r="K98" i="6"/>
  <c r="U104" i="6"/>
  <c r="G119" i="6"/>
  <c r="O119" i="6" s="1"/>
  <c r="W119" i="6"/>
  <c r="H53" i="6"/>
  <c r="P36" i="1"/>
  <c r="DH1" i="3"/>
  <c r="DF1" i="3"/>
  <c r="DG1" i="3"/>
  <c r="DI1" i="3"/>
  <c r="DJ1" i="3" s="1"/>
  <c r="DF16" i="3"/>
  <c r="DH16" i="3"/>
  <c r="L67" i="6"/>
  <c r="Q67" i="6" s="1"/>
  <c r="L66" i="6"/>
  <c r="G73" i="6"/>
  <c r="O73" i="6" s="1"/>
  <c r="W73" i="6"/>
  <c r="R26" i="1"/>
  <c r="W26" i="1"/>
  <c r="U38" i="1"/>
  <c r="C116" i="6"/>
  <c r="E115" i="6"/>
  <c r="R38" i="1"/>
  <c r="H115" i="6"/>
  <c r="W42" i="6"/>
  <c r="W83" i="6"/>
  <c r="G92" i="6"/>
  <c r="O92" i="6" s="1"/>
  <c r="G114" i="6"/>
  <c r="O114" i="6" s="1"/>
  <c r="W114" i="6"/>
  <c r="R108" i="6"/>
  <c r="DH15" i="3"/>
  <c r="DI18" i="3"/>
  <c r="DJ18" i="3" s="1"/>
  <c r="DH20" i="3"/>
  <c r="T76" i="6"/>
  <c r="K80" i="6" s="1"/>
  <c r="AQ43" i="1"/>
  <c r="AQ75" i="1" s="1"/>
  <c r="T26" i="1"/>
  <c r="S36" i="1"/>
  <c r="R36" i="1"/>
  <c r="G51" i="6"/>
  <c r="O51" i="6" s="1"/>
  <c r="R45" i="6"/>
  <c r="U26" i="1"/>
  <c r="HD28" i="1"/>
  <c r="K68" i="6"/>
  <c r="J69" i="6" s="1"/>
  <c r="P69" i="6" s="1"/>
  <c r="T36" i="1"/>
  <c r="S52" i="6"/>
  <c r="H56" i="6" s="1"/>
  <c r="W92" i="6"/>
  <c r="R85" i="6"/>
  <c r="G103" i="6"/>
  <c r="O103" i="6" s="1"/>
  <c r="R96" i="6"/>
  <c r="W103" i="6"/>
  <c r="DH17" i="3"/>
  <c r="DF17" i="3"/>
  <c r="DG17" i="3"/>
  <c r="DJ17" i="3" s="1"/>
  <c r="CP27" i="1"/>
  <c r="O27" i="1" s="1"/>
  <c r="CZ27" i="1"/>
  <c r="Y27" i="1" s="1"/>
  <c r="V60" i="6" s="1"/>
  <c r="K65" i="6" s="1"/>
  <c r="G129" i="6"/>
  <c r="O129" i="6" s="1"/>
  <c r="R122" i="6"/>
  <c r="W129" i="6"/>
  <c r="CX13" i="3"/>
  <c r="L113" i="6"/>
  <c r="L114" i="6"/>
  <c r="Q114" i="6" s="1"/>
  <c r="GN27" i="1"/>
  <c r="T60" i="6"/>
  <c r="K64" i="6" s="1"/>
  <c r="J67" i="6" s="1"/>
  <c r="P67" i="6" s="1"/>
  <c r="CZ33" i="1"/>
  <c r="Y33" i="1" s="1"/>
  <c r="V84" i="6" s="1"/>
  <c r="K90" i="6" s="1"/>
  <c r="J92" i="6" s="1"/>
  <c r="P92" i="6" s="1"/>
  <c r="W67" i="6"/>
  <c r="J83" i="6"/>
  <c r="P83" i="6" s="1"/>
  <c r="J114" i="6"/>
  <c r="P114" i="6" s="1"/>
  <c r="G42" i="6"/>
  <c r="O42" i="6" s="1"/>
  <c r="R35" i="6"/>
  <c r="W51" i="6"/>
  <c r="CP32" i="1"/>
  <c r="O32" i="1" s="1"/>
  <c r="GM32" i="1" s="1"/>
  <c r="J129" i="6"/>
  <c r="P129" i="6" s="1"/>
  <c r="U52" i="6"/>
  <c r="H57" i="6" s="1"/>
  <c r="H54" i="6"/>
  <c r="G71" i="6"/>
  <c r="O71" i="6" s="1"/>
  <c r="W71" i="6"/>
  <c r="Q36" i="1"/>
  <c r="V26" i="1"/>
  <c r="GX36" i="1"/>
  <c r="GM34" i="1"/>
  <c r="GN34" i="1"/>
  <c r="DI44" i="3"/>
  <c r="DJ44" i="3" s="1"/>
  <c r="DF44" i="3"/>
  <c r="DG44" i="3"/>
  <c r="DH44" i="3"/>
  <c r="DG46" i="3"/>
  <c r="DJ46" i="3" s="1"/>
  <c r="DI46" i="3"/>
  <c r="DH46" i="3"/>
  <c r="DF46" i="3"/>
  <c r="DG38" i="3"/>
  <c r="DI38" i="3"/>
  <c r="DJ38" i="3" s="1"/>
  <c r="DF38" i="3"/>
  <c r="DH38" i="3"/>
  <c r="DF51" i="3"/>
  <c r="DH51" i="3"/>
  <c r="DG51" i="3"/>
  <c r="DJ51" i="3" s="1"/>
  <c r="DI51" i="3"/>
  <c r="AU22" i="1"/>
  <c r="AU75" i="1"/>
  <c r="F62" i="1"/>
  <c r="DF21" i="3"/>
  <c r="DH21" i="3"/>
  <c r="DG21" i="3"/>
  <c r="DI21" i="3"/>
  <c r="DJ21" i="3" s="1"/>
  <c r="DH41" i="3"/>
  <c r="DF41" i="3"/>
  <c r="DG41" i="3"/>
  <c r="DJ41" i="3" s="1"/>
  <c r="DI41" i="3"/>
  <c r="CI22" i="1"/>
  <c r="AZ43" i="1"/>
  <c r="W38" i="1"/>
  <c r="AJ43" i="1" s="1"/>
  <c r="DI52" i="3"/>
  <c r="DH52" i="3"/>
  <c r="DG52" i="3"/>
  <c r="DF52" i="3"/>
  <c r="DJ52" i="3" s="1"/>
  <c r="DF53" i="3"/>
  <c r="DJ53" i="3" s="1"/>
  <c r="DH53" i="3"/>
  <c r="DG53" i="3"/>
  <c r="DI53" i="3"/>
  <c r="CY31" i="1"/>
  <c r="X31" i="1" s="1"/>
  <c r="T74" i="6" s="1"/>
  <c r="CZ31" i="1"/>
  <c r="Y31" i="1" s="1"/>
  <c r="V74" i="6" s="1"/>
  <c r="V38" i="1"/>
  <c r="DG32" i="3"/>
  <c r="DJ32" i="3" s="1"/>
  <c r="DI32" i="3"/>
  <c r="DF32" i="3"/>
  <c r="DH32" i="3"/>
  <c r="GM33" i="1"/>
  <c r="GN33" i="1"/>
  <c r="DG26" i="3"/>
  <c r="DJ26" i="3" s="1"/>
  <c r="DF26" i="3"/>
  <c r="DI26" i="3"/>
  <c r="DH26" i="3"/>
  <c r="DH33" i="3"/>
  <c r="DI33" i="3"/>
  <c r="DG33" i="3"/>
  <c r="DJ33" i="3" s="1"/>
  <c r="DF33" i="3"/>
  <c r="DF61" i="3"/>
  <c r="DJ61" i="3" s="1"/>
  <c r="DH61" i="3"/>
  <c r="DG61" i="3"/>
  <c r="DI61" i="3"/>
  <c r="GN24" i="1"/>
  <c r="GM24" i="1"/>
  <c r="GM37" i="1"/>
  <c r="GN37" i="1"/>
  <c r="DG48" i="3"/>
  <c r="DJ48" i="3" s="1"/>
  <c r="DI48" i="3"/>
  <c r="DH48" i="3"/>
  <c r="DF48" i="3"/>
  <c r="DG34" i="3"/>
  <c r="DJ34" i="3" s="1"/>
  <c r="DF34" i="3"/>
  <c r="DH34" i="3"/>
  <c r="DI34" i="3"/>
  <c r="AT22" i="1"/>
  <c r="F61" i="1"/>
  <c r="F16" i="2" s="1"/>
  <c r="F18" i="2" s="1"/>
  <c r="AT75" i="1"/>
  <c r="CG22" i="1"/>
  <c r="AX43" i="1"/>
  <c r="GN32" i="1"/>
  <c r="AP22" i="1"/>
  <c r="AP75" i="1"/>
  <c r="F52" i="1"/>
  <c r="G16" i="2" s="1"/>
  <c r="G18" i="2" s="1"/>
  <c r="GM39" i="1"/>
  <c r="GN39" i="1"/>
  <c r="DF37" i="3"/>
  <c r="DJ37" i="3" s="1"/>
  <c r="DH37" i="3"/>
  <c r="DG37" i="3"/>
  <c r="DI37" i="3"/>
  <c r="DF47" i="3"/>
  <c r="DG47" i="3"/>
  <c r="DJ47" i="3" s="1"/>
  <c r="DH47" i="3"/>
  <c r="DI47" i="3"/>
  <c r="DG58" i="3"/>
  <c r="DI58" i="3"/>
  <c r="DH58" i="3"/>
  <c r="DF58" i="3"/>
  <c r="DJ58" i="3" s="1"/>
  <c r="DH49" i="3"/>
  <c r="DI49" i="3"/>
  <c r="DG49" i="3"/>
  <c r="DJ49" i="3" s="1"/>
  <c r="DF49" i="3"/>
  <c r="DG30" i="3"/>
  <c r="DI30" i="3"/>
  <c r="DJ30" i="3" s="1"/>
  <c r="DH30" i="3"/>
  <c r="DF30" i="3"/>
  <c r="GN35" i="1"/>
  <c r="GX38" i="1"/>
  <c r="CJ43" i="1" s="1"/>
  <c r="P38" i="1"/>
  <c r="Q38" i="1"/>
  <c r="DG11" i="3"/>
  <c r="DH25" i="3"/>
  <c r="DF25" i="3"/>
  <c r="DG25" i="3"/>
  <c r="DJ25" i="3" s="1"/>
  <c r="DI25" i="3"/>
  <c r="BB22" i="1"/>
  <c r="BB75" i="1"/>
  <c r="F56" i="1"/>
  <c r="AO22" i="1"/>
  <c r="AO75" i="1"/>
  <c r="F47" i="1"/>
  <c r="DG56" i="3"/>
  <c r="DI56" i="3"/>
  <c r="DF56" i="3"/>
  <c r="DJ56" i="3" s="1"/>
  <c r="DH56" i="3"/>
  <c r="DF59" i="3"/>
  <c r="DJ59" i="3" s="1"/>
  <c r="DH59" i="3"/>
  <c r="DG59" i="3"/>
  <c r="DI59" i="3"/>
  <c r="DF31" i="3"/>
  <c r="DG31" i="3"/>
  <c r="DJ31" i="3" s="1"/>
  <c r="DH31" i="3"/>
  <c r="DI31" i="3"/>
  <c r="BC22" i="1"/>
  <c r="F59" i="1"/>
  <c r="BC75" i="1"/>
  <c r="DH57" i="3"/>
  <c r="DF57" i="3"/>
  <c r="DJ57" i="3" s="1"/>
  <c r="DG57" i="3"/>
  <c r="DI57" i="3"/>
  <c r="DG50" i="3"/>
  <c r="DJ50" i="3" s="1"/>
  <c r="DF50" i="3"/>
  <c r="DH50" i="3"/>
  <c r="DI50" i="3"/>
  <c r="DF35" i="3"/>
  <c r="DH35" i="3"/>
  <c r="DG35" i="3"/>
  <c r="DJ35" i="3" s="1"/>
  <c r="DI35" i="3"/>
  <c r="GN40" i="1"/>
  <c r="GM40" i="1"/>
  <c r="CY41" i="1"/>
  <c r="X41" i="1" s="1"/>
  <c r="S38" i="1"/>
  <c r="AF43" i="1" s="1"/>
  <c r="CP25" i="1"/>
  <c r="O25" i="1" s="1"/>
  <c r="DF29" i="3"/>
  <c r="DH29" i="3"/>
  <c r="DG29" i="3"/>
  <c r="DI29" i="3"/>
  <c r="DJ29" i="3" s="1"/>
  <c r="DG40" i="3"/>
  <c r="DJ40" i="3" s="1"/>
  <c r="DI40" i="3"/>
  <c r="DF40" i="3"/>
  <c r="DH40" i="3"/>
  <c r="DF45" i="3"/>
  <c r="DH45" i="3"/>
  <c r="DG45" i="3"/>
  <c r="DJ45" i="3" s="1"/>
  <c r="DI45" i="3"/>
  <c r="DG22" i="3"/>
  <c r="DI22" i="3"/>
  <c r="DJ22" i="3" s="1"/>
  <c r="DF22" i="3"/>
  <c r="DH22" i="3"/>
  <c r="DF27" i="3"/>
  <c r="DJ27" i="3" s="1"/>
  <c r="DH27" i="3"/>
  <c r="DG27" i="3"/>
  <c r="DI27" i="3"/>
  <c r="DF39" i="3"/>
  <c r="DI39" i="3"/>
  <c r="DJ39" i="3" s="1"/>
  <c r="DH39" i="3"/>
  <c r="DG39" i="3"/>
  <c r="DF43" i="3"/>
  <c r="DH43" i="3"/>
  <c r="DG43" i="3"/>
  <c r="DI43" i="3"/>
  <c r="DJ43" i="3" s="1"/>
  <c r="DF13" i="3"/>
  <c r="DJ13" i="3" s="1"/>
  <c r="DH13" i="3"/>
  <c r="DG13" i="3"/>
  <c r="DI13" i="3"/>
  <c r="AD43" i="1"/>
  <c r="DI60" i="3"/>
  <c r="DF60" i="3"/>
  <c r="DJ60" i="3" s="1"/>
  <c r="DG60" i="3"/>
  <c r="DH60" i="3"/>
  <c r="DI36" i="3"/>
  <c r="DH36" i="3"/>
  <c r="DG36" i="3"/>
  <c r="DF36" i="3"/>
  <c r="DJ36" i="3" s="1"/>
  <c r="DG62" i="3"/>
  <c r="DI62" i="3"/>
  <c r="DH62" i="3"/>
  <c r="DF62" i="3"/>
  <c r="DJ62" i="3" s="1"/>
  <c r="DF55" i="3"/>
  <c r="DJ55" i="3" s="1"/>
  <c r="DI55" i="3"/>
  <c r="DH55" i="3"/>
  <c r="DG55" i="3"/>
  <c r="DG42" i="3"/>
  <c r="DI42" i="3"/>
  <c r="DF42" i="3"/>
  <c r="DJ42" i="3" s="1"/>
  <c r="DH42" i="3"/>
  <c r="CP31" i="1"/>
  <c r="O31" i="1" s="1"/>
  <c r="T38" i="1"/>
  <c r="AG43" i="1" s="1"/>
  <c r="AH43" i="1" l="1"/>
  <c r="L117" i="6"/>
  <c r="Q117" i="6" s="1"/>
  <c r="GM35" i="1"/>
  <c r="AQ22" i="1"/>
  <c r="GM27" i="1"/>
  <c r="DF12" i="3"/>
  <c r="DG12" i="3"/>
  <c r="DJ12" i="3" s="1"/>
  <c r="DI12" i="3"/>
  <c r="DH12" i="3"/>
  <c r="CP26" i="1"/>
  <c r="O26" i="1" s="1"/>
  <c r="K55" i="6"/>
  <c r="DH11" i="3"/>
  <c r="DF11" i="3"/>
  <c r="F53" i="1"/>
  <c r="AI43" i="1"/>
  <c r="L59" i="6"/>
  <c r="Q59" i="6" s="1"/>
  <c r="L58" i="6"/>
  <c r="CZ36" i="1"/>
  <c r="Y36" i="1" s="1"/>
  <c r="V104" i="6" s="1"/>
  <c r="CY36" i="1"/>
  <c r="X36" i="1" s="1"/>
  <c r="T104" i="6" s="1"/>
  <c r="K104" i="6"/>
  <c r="J105" i="6" s="1"/>
  <c r="P105" i="6" s="1"/>
  <c r="CP36" i="1"/>
  <c r="O36" i="1" s="1"/>
  <c r="CP38" i="1"/>
  <c r="O38" i="1" s="1"/>
  <c r="K115" i="6"/>
  <c r="J117" i="6" s="1"/>
  <c r="P117" i="6" s="1"/>
  <c r="G117" i="6"/>
  <c r="O117" i="6" s="1"/>
  <c r="W117" i="6"/>
  <c r="GN41" i="1"/>
  <c r="T130" i="6"/>
  <c r="AE43" i="1"/>
  <c r="R53" i="6"/>
  <c r="G59" i="6"/>
  <c r="O59" i="6" s="1"/>
  <c r="W59" i="6"/>
  <c r="CZ26" i="1"/>
  <c r="Y26" i="1" s="1"/>
  <c r="V52" i="6" s="1"/>
  <c r="K57" i="6" s="1"/>
  <c r="K53" i="6"/>
  <c r="CY26" i="1"/>
  <c r="X26" i="1" s="1"/>
  <c r="CM43" i="1"/>
  <c r="AF22" i="1"/>
  <c r="S43" i="1"/>
  <c r="BC18" i="1"/>
  <c r="F91" i="1"/>
  <c r="AO18" i="1"/>
  <c r="F79" i="1"/>
  <c r="AX22" i="1"/>
  <c r="F50" i="1"/>
  <c r="AX75" i="1"/>
  <c r="AD22" i="1"/>
  <c r="Q43" i="1"/>
  <c r="BB18" i="1"/>
  <c r="F88" i="1"/>
  <c r="AQ18" i="1"/>
  <c r="F85" i="1"/>
  <c r="CJ22" i="1"/>
  <c r="BA43" i="1"/>
  <c r="GM31" i="1"/>
  <c r="GN31" i="1"/>
  <c r="AC43" i="1"/>
  <c r="AT18" i="1"/>
  <c r="F93" i="1"/>
  <c r="AU18" i="1"/>
  <c r="F94" i="1"/>
  <c r="AI22" i="1"/>
  <c r="V43" i="1"/>
  <c r="AP18" i="1"/>
  <c r="F84" i="1"/>
  <c r="AJ22" i="1"/>
  <c r="W43" i="1"/>
  <c r="AG22" i="1"/>
  <c r="T43" i="1"/>
  <c r="GM41" i="1"/>
  <c r="AZ22" i="1"/>
  <c r="F54" i="1"/>
  <c r="AZ75" i="1"/>
  <c r="GN25" i="1"/>
  <c r="GM25" i="1"/>
  <c r="CY38" i="1"/>
  <c r="X38" i="1" s="1"/>
  <c r="CZ38" i="1"/>
  <c r="Y38" i="1" s="1"/>
  <c r="G134" i="6" l="1"/>
  <c r="AK43" i="1"/>
  <c r="T115" i="6"/>
  <c r="GM38" i="1"/>
  <c r="U43" i="1"/>
  <c r="AH22" i="1"/>
  <c r="BD43" i="1"/>
  <c r="CM22" i="1"/>
  <c r="GN26" i="1"/>
  <c r="T52" i="6"/>
  <c r="K56" i="6" s="1"/>
  <c r="J59" i="6" s="1"/>
  <c r="P59" i="6" s="1"/>
  <c r="GN36" i="1"/>
  <c r="GM36" i="1"/>
  <c r="GM26" i="1"/>
  <c r="CA43" i="1" s="1"/>
  <c r="AL43" i="1"/>
  <c r="AL22" i="1" s="1"/>
  <c r="V115" i="6"/>
  <c r="AE22" i="1"/>
  <c r="R43" i="1"/>
  <c r="L134" i="6"/>
  <c r="AB43" i="1"/>
  <c r="AC22" i="1"/>
  <c r="CE43" i="1"/>
  <c r="CF43" i="1"/>
  <c r="CH43" i="1"/>
  <c r="P43" i="1"/>
  <c r="AK22" i="1"/>
  <c r="X43" i="1"/>
  <c r="V22" i="1"/>
  <c r="F66" i="1"/>
  <c r="J147" i="6" s="1"/>
  <c r="V75" i="1"/>
  <c r="F64" i="1"/>
  <c r="T75" i="1"/>
  <c r="T22" i="1"/>
  <c r="F58" i="1"/>
  <c r="S75" i="1"/>
  <c r="S22" i="1"/>
  <c r="W22" i="1"/>
  <c r="F67" i="1"/>
  <c r="W75" i="1"/>
  <c r="BA22" i="1"/>
  <c r="BA75" i="1"/>
  <c r="F63" i="1"/>
  <c r="H16" i="2" s="1"/>
  <c r="H18" i="2" s="1"/>
  <c r="AZ18" i="1"/>
  <c r="F86" i="1"/>
  <c r="AX18" i="1"/>
  <c r="F82" i="1"/>
  <c r="Q22" i="1"/>
  <c r="F55" i="1"/>
  <c r="J142" i="6" s="1"/>
  <c r="Q75" i="1"/>
  <c r="GN38" i="1"/>
  <c r="CA22" i="1" l="1"/>
  <c r="AR43" i="1"/>
  <c r="J134" i="6"/>
  <c r="J144" i="6"/>
  <c r="F57" i="1"/>
  <c r="J143" i="6" s="1"/>
  <c r="R22" i="1"/>
  <c r="R75" i="1"/>
  <c r="Y43" i="1"/>
  <c r="O43" i="1"/>
  <c r="AB22" i="1"/>
  <c r="BD75" i="1"/>
  <c r="F68" i="1"/>
  <c r="J148" i="6" s="1"/>
  <c r="BD22" i="1"/>
  <c r="U22" i="1"/>
  <c r="U75" i="1"/>
  <c r="F65" i="1"/>
  <c r="J146" i="6" s="1"/>
  <c r="CB43" i="1"/>
  <c r="CB22" i="1" s="1"/>
  <c r="W18" i="1"/>
  <c r="F99" i="1"/>
  <c r="AV43" i="1"/>
  <c r="CE22" i="1"/>
  <c r="CH22" i="1"/>
  <c r="AY43" i="1"/>
  <c r="X22" i="1"/>
  <c r="F69" i="1"/>
  <c r="J149" i="6" s="1"/>
  <c r="X75" i="1"/>
  <c r="AW43" i="1"/>
  <c r="CF22" i="1"/>
  <c r="T18" i="1"/>
  <c r="F96" i="1"/>
  <c r="Q18" i="1"/>
  <c r="F87" i="1"/>
  <c r="S18" i="1"/>
  <c r="F90" i="1"/>
  <c r="AR75" i="1"/>
  <c r="F71" i="1"/>
  <c r="AR22" i="1"/>
  <c r="F95" i="1"/>
  <c r="BA18" i="1"/>
  <c r="Y22" i="1"/>
  <c r="F70" i="1"/>
  <c r="J150" i="6" s="1"/>
  <c r="Y75" i="1"/>
  <c r="V18" i="1"/>
  <c r="F98" i="1"/>
  <c r="P22" i="1"/>
  <c r="P75" i="1"/>
  <c r="F46" i="1"/>
  <c r="J138" i="6" s="1"/>
  <c r="O22" i="1" l="1"/>
  <c r="F45" i="1"/>
  <c r="J137" i="6" s="1"/>
  <c r="O75" i="1"/>
  <c r="F72" i="1"/>
  <c r="J151" i="6"/>
  <c r="AS43" i="1"/>
  <c r="AS22" i="1" s="1"/>
  <c r="F97" i="1"/>
  <c r="U18" i="1"/>
  <c r="F100" i="1"/>
  <c r="BD18" i="1"/>
  <c r="R18" i="1"/>
  <c r="F89" i="1"/>
  <c r="J16" i="2"/>
  <c r="J18" i="2" s="1"/>
  <c r="AR18" i="1"/>
  <c r="F103" i="1"/>
  <c r="AY22" i="1"/>
  <c r="F51" i="1"/>
  <c r="J141" i="6" s="1"/>
  <c r="AY75" i="1"/>
  <c r="AW22" i="1"/>
  <c r="AW75" i="1"/>
  <c r="F49" i="1"/>
  <c r="J140" i="6" s="1"/>
  <c r="X18" i="1"/>
  <c r="F101" i="1"/>
  <c r="F60" i="1"/>
  <c r="AS75" i="1"/>
  <c r="F102" i="1"/>
  <c r="Y18" i="1"/>
  <c r="AV22" i="1"/>
  <c r="F48" i="1"/>
  <c r="J139" i="6" s="1"/>
  <c r="AV75" i="1"/>
  <c r="P18" i="1"/>
  <c r="F78" i="1"/>
  <c r="F77" i="1" l="1"/>
  <c r="O18" i="1"/>
  <c r="E16" i="2"/>
  <c r="I16" i="2" s="1"/>
  <c r="I18" i="2" s="1"/>
  <c r="J145" i="6"/>
  <c r="F73" i="1"/>
  <c r="J153" i="6" s="1"/>
  <c r="I24" i="6" s="1"/>
  <c r="J152" i="6"/>
  <c r="AS18" i="1"/>
  <c r="F92" i="1"/>
  <c r="F83" i="1"/>
  <c r="AY18" i="1"/>
  <c r="AW18" i="1"/>
  <c r="F81" i="1"/>
  <c r="E18" i="2"/>
  <c r="AV18" i="1"/>
  <c r="F80" i="1"/>
</calcChain>
</file>

<file path=xl/sharedStrings.xml><?xml version="1.0" encoding="utf-8"?>
<sst xmlns="http://schemas.openxmlformats.org/spreadsheetml/2006/main" count="2537" uniqueCount="403">
  <si>
    <t>Smeta.RU  (495) 974-1589</t>
  </si>
  <si>
    <t>_PS_</t>
  </si>
  <si>
    <t>Smeta.RU</t>
  </si>
  <si>
    <t/>
  </si>
  <si>
    <t>1</t>
  </si>
  <si>
    <t>Ремонт автодороги на территории завода - вариант 3</t>
  </si>
  <si>
    <t>Дефектная ведомость</t>
  </si>
  <si>
    <t>Сметные нормы списания</t>
  </si>
  <si>
    <t>Коды ценников</t>
  </si>
  <si>
    <t>ФЕР-2020 И9</t>
  </si>
  <si>
    <t>Версия 1.7.0 ГСН (ГЭСН, ФЕР) и ТЕР (Методики НР (812/пр, 636/пр, 611/пр) и СП (774/пр и 317/пр) применять с 08.01.2023 г.)</t>
  </si>
  <si>
    <t>ФЕР-2020 - изменения И9</t>
  </si>
  <si>
    <t>Поправки для ГСН (ФЕР) 2020 от 11.09.2022 г И9 (в ред. 557/пр) Капитальный ремонт производственных зданий</t>
  </si>
  <si>
    <t>ГСН</t>
  </si>
  <si>
    <t>Новая локальная смета</t>
  </si>
  <si>
    <t>27-03-012-02</t>
  </si>
  <si>
    <t>Срезка поверхностного слоя асфальтобетонных дорожных покрытий с применением фрез при ширине фрезерования до 2200 мм, толщина слоя до 10 см</t>
  </si>
  <si>
    <t>100 м2</t>
  </si>
  <si>
    <t>ФЕР-2001 доп. 2, 27-03-012-02, приказ Минстроя России № 294/пр от 01.06.2020</t>
  </si>
  <si>
    <t>)*1,15</t>
  </si>
  <si>
    <t>Общестроительные работы</t>
  </si>
  <si>
    <t>Автомобильные дороги</t>
  </si>
  <si>
    <t>ФЕР-27</t>
  </si>
  <si>
    <t>Поправка: МР 519/пр Прил.2, Табл.3, п. 3</t>
  </si>
  <si>
    <t>Пр/812-021.0-1</t>
  </si>
  <si>
    <t>Пр/774-021.0</t>
  </si>
  <si>
    <t>2</t>
  </si>
  <si>
    <t>31-01-065-02</t>
  </si>
  <si>
    <t>Резка затвердевшего покрытия прямолинейными участками длиной от 0,1 до 20 м нарезчиком швов с алмазными дисками при ширине пропила 3 мм: бетонного на глубину 50 мм</t>
  </si>
  <si>
    <t>100 м</t>
  </si>
  <si>
    <t>ФЕР-2001, 31-01-065-02, приказ Минстроя России № 876/пр от 26.12.2019</t>
  </si>
  <si>
    <t>Аэродромы</t>
  </si>
  <si>
    <t>ФЕР-31</t>
  </si>
  <si>
    <t>Пр/812-025.0-1</t>
  </si>
  <si>
    <t>Пр/774-025.0</t>
  </si>
  <si>
    <t>3</t>
  </si>
  <si>
    <t>31-01-065-04</t>
  </si>
  <si>
    <t>При изменении глубины пропила на каждые 10 мм изменения добавлять (уменьшать) к расценке 31-01-065-02</t>
  </si>
  <si>
    <t>ФЕР-2001, 31-01-065-04, приказ Минстроя России № 876/пр от 26.12.2019</t>
  </si>
  <si>
    <t>)*15</t>
  </si>
  <si>
    <t>)*1,15)*15</t>
  </si>
  <si>
    <t>4</t>
  </si>
  <si>
    <t>27-03-008-05</t>
  </si>
  <si>
    <t>Разборка покрытий и оснований: цементно-бетонных</t>
  </si>
  <si>
    <t>100 м3</t>
  </si>
  <si>
    <t>ФЕР-2001, 27-03-008-05, приказ Минстроя России № 876/пр от 26.12.2019</t>
  </si>
  <si>
    <t>5</t>
  </si>
  <si>
    <t>т01-01-01-041</t>
  </si>
  <si>
    <t>Погрузка при автомобильных перевозках мусора строительного с погрузкой вручную</t>
  </si>
  <si>
    <t>1 т груза</t>
  </si>
  <si>
    <t>ФССЦпг-2001, т01-01-01-041, приказ Минстроя России №876/пр от 26.12.2019</t>
  </si>
  <si>
    <t>Погрузочно-разгрузочные работы</t>
  </si>
  <si>
    <t>ФССЦпр  пог. а/п (2011,изм. 4-6)</t>
  </si>
  <si>
    <t>6</t>
  </si>
  <si>
    <t>т01-01-01-043</t>
  </si>
  <si>
    <t>Погрузка при автомобильных перевозках мусора строительного с погрузкой экскаваторами емкостью ковша до 0,5 м3</t>
  </si>
  <si>
    <t>ФССЦпг-2001, т01-01-01-043, приказ Минстроя России №876/пр от 26.12.2019</t>
  </si>
  <si>
    <t>7</t>
  </si>
  <si>
    <t>т03-21-01-070</t>
  </si>
  <si>
    <t>Перевозка грузов I класса автомобилями-самосвалами грузоподъемностью 10 т работающих вне карьера на расстояние до 70 км</t>
  </si>
  <si>
    <t>ФССЦпг-2001, т03-21-01-070, приказ Минстроя России №876/пр от 26.12.2019</t>
  </si>
  <si>
    <t>Автомобили-самосвалы</t>
  </si>
  <si>
    <t>Перевозка строительных грузов автомобильным транспортом</t>
  </si>
  <si>
    <t>Перевозка строительных грузов автомобильным транспортом: Автомобили-самосвалы</t>
  </si>
  <si>
    <t>ФССЦпг 03-21, 03-22</t>
  </si>
  <si>
    <t>8</t>
  </si>
  <si>
    <t>Договорная цена</t>
  </si>
  <si>
    <t>Утилизация строительного мусора</t>
  </si>
  <si>
    <t>м3</t>
  </si>
  <si>
    <t>Материалы строительные</t>
  </si>
  <si>
    <t>Материалы, изделия и конструкции</t>
  </si>
  <si>
    <t>материалы (03)</t>
  </si>
  <si>
    <t>[518.38 /  9.05]</t>
  </si>
  <si>
    <t>0</t>
  </si>
  <si>
    <t>9</t>
  </si>
  <si>
    <t>01-01-003-08</t>
  </si>
  <si>
    <t>Разработка грунта в отвал экскаваторами "драглайн" или "обратная лопата" с ковшом вместимостью: 0,65 (0,5-1) м3, группа грунтов 2</t>
  </si>
  <si>
    <t>1000 м3</t>
  </si>
  <si>
    <t>ФЕР-2001, 01-01-003-08, приказ Минстроя России № 876/пр от 26.12.2019</t>
  </si>
  <si>
    <t>)*1,25)*1,15</t>
  </si>
  <si>
    <t>)*1,15)*1,15</t>
  </si>
  <si>
    <t>)*0,85</t>
  </si>
  <si>
    <t>Земляные работы</t>
  </si>
  <si>
    <t>Земляные работы, выполняемые: механизированным способом</t>
  </si>
  <si>
    <t>ФЕР-01</t>
  </si>
  <si>
    <t>Поправка: М-ка 421/пр 04.08.20 п.58 п.п. б)  Поправка: МР 519/пр Прил.2, Табл.3, п. 3</t>
  </si>
  <si>
    <t>Пр/812-001.1-1</t>
  </si>
  <si>
    <t>Пр/774-001.1</t>
  </si>
  <si>
    <t>10</t>
  </si>
  <si>
    <t>27-04-001-01</t>
  </si>
  <si>
    <t>Устройство подстилающих и выравнивающих слоев оснований: из песка</t>
  </si>
  <si>
    <t>ФЕР-2001 доп. 2, 27-04-001-01, приказ Минстроя России № 294/пр от 01.06.2020</t>
  </si>
  <si>
    <t>11</t>
  </si>
  <si>
    <t>Цена Поставщика</t>
  </si>
  <si>
    <t>Песок строительный с учетом доставки</t>
  </si>
  <si>
    <t>т</t>
  </si>
  <si>
    <t>[984 / 1.2 /  9.05]</t>
  </si>
  <si>
    <t>12</t>
  </si>
  <si>
    <t>27-04-001-04</t>
  </si>
  <si>
    <t>Устройство подстилающих и выравнивающих слоев оснований: из щебня</t>
  </si>
  <si>
    <t>ФЕР-2001 доп. 2, 27-04-001-04, приказ Минстроя России № 294/пр от 01.06.2020</t>
  </si>
  <si>
    <t>13</t>
  </si>
  <si>
    <t>Щебено М1200 с учетом доставки</t>
  </si>
  <si>
    <t>[4 800 / 1.2 /  9.05] +  2% Заг.скл</t>
  </si>
  <si>
    <t>14</t>
  </si>
  <si>
    <t>27-06-009-01</t>
  </si>
  <si>
    <t>Укладка металлической сетки в цементобетонное дорожное покрытие</t>
  </si>
  <si>
    <t>1000 м2</t>
  </si>
  <si>
    <t>ФЕР-2001, 27-06-009-01, приказ Минстроя России № 876/пр от 26.12.2019</t>
  </si>
  <si>
    <t>15</t>
  </si>
  <si>
    <t>Сетка строительная 150х150х5</t>
  </si>
  <si>
    <t>м2</t>
  </si>
  <si>
    <t>[125 / 1.2 /  9.05] +  5% Трансп +  2% Заг.скл</t>
  </si>
  <si>
    <t>16</t>
  </si>
  <si>
    <t>Сталь арматурная А1 ф12мм</t>
  </si>
  <si>
    <t>[67 000 / 1.2 /  9.05] +  5% Трансп +  2% Заг.скл</t>
  </si>
  <si>
    <t>17</t>
  </si>
  <si>
    <t>27-06-002-17</t>
  </si>
  <si>
    <t>Устройство цементобетонных покрытий однослойных средствами малой механизации, толщина слоя 20 см</t>
  </si>
  <si>
    <t>ФЕР-2001, 27-06-002-17, приказ Минстроя России № 876/пр от 26.12.2019</t>
  </si>
  <si>
    <t>18</t>
  </si>
  <si>
    <t>Смеси бетонные тяжелого бетона для дорожных и аэродромных покрытий В30 с учетом доставки</t>
  </si>
  <si>
    <t>[11 643 / 1.2 /  9.05]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</si>
  <si>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</si>
  <si>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</si>
  <si>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</si>
  <si>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</si>
  <si>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</si>
  <si>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</si>
  <si>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</si>
  <si>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</si>
  <si>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</si>
  <si>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</si>
  <si>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</si>
  <si>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</si>
  <si>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</si>
  <si>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</si>
  <si>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</si>
  <si>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</si>
  <si>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</si>
  <si>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</si>
  <si>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</si>
  <si>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</si>
  <si>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</si>
  <si>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</si>
  <si>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</si>
  <si>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</si>
  <si>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</si>
  <si>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</si>
  <si>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</si>
  <si>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</si>
  <si>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</si>
  <si>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</si>
  <si>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</si>
  <si>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</si>
  <si>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</si>
  <si>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</si>
  <si>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</si>
  <si>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</si>
  <si>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</si>
  <si>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</si>
  <si>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</si>
  <si>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</si>
  <si>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</si>
  <si>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</si>
  <si>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</si>
  <si>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</si>
  <si>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</si>
  <si>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</si>
  <si>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</si>
  <si>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</si>
  <si>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</si>
  <si>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</si>
  <si>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</si>
  <si>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</si>
  <si>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</si>
  <si>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</si>
  <si>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</t>
  </si>
  <si>
    <t>НДС 20%</t>
  </si>
  <si>
    <t>В с Н</t>
  </si>
  <si>
    <t>Всего с НДС 20%</t>
  </si>
  <si>
    <t>НДС</t>
  </si>
  <si>
    <t>Новая переменная</t>
  </si>
  <si>
    <t>Переменная</t>
  </si>
  <si>
    <t>Переменная1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</si>
  <si>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</si>
  <si>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</si>
  <si>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</si>
  <si>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</si>
  <si>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</si>
  <si>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</si>
  <si>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</si>
  <si>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</si>
  <si>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</si>
  <si>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</si>
  <si>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</si>
  <si>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</si>
  <si>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</si>
  <si>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</si>
  <si>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</si>
  <si>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</si>
  <si>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</si>
  <si>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</si>
  <si>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</si>
  <si>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СТНДРТ</t>
  </si>
  <si>
    <t>При определении сметной стоимости строительства объектов капитального строительства (за исключением АЭС).</t>
  </si>
  <si>
    <t>АЭС_ПНР</t>
  </si>
  <si>
    <t>При определении сметной стоимости строительства объектов капитального строительства АЭС. Пусконаладочные работы (за исключением технологического оборудования АЭС).</t>
  </si>
  <si>
    <t>АЭС_ПНР_ТЕХ</t>
  </si>
  <si>
    <t>При определении сметной стоимости строительства объектов капитального строительства АЭС. Пусконаладочные работы технологического оборудования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</si>
  <si>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</si>
  <si>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АЭС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</si>
  <si>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</si>
  <si>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</si>
  <si>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</si>
  <si>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</si>
  <si>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</si>
  <si>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</si>
  <si>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</si>
  <si>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</si>
  <si>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</si>
  <si>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</si>
  <si>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</si>
  <si>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</si>
  <si>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</si>
  <si>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</si>
  <si>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</si>
  <si>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ОБ_ПР</t>
  </si>
  <si>
    <t>Объект производственного назначения</t>
  </si>
  <si>
    <t>ОБ_НПР</t>
  </si>
  <si>
    <t>Объект непроизводственного назначения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</si>
  <si>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</si>
  <si>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</si>
  <si>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</si>
  <si>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</si>
  <si>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</si>
  <si>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</si>
  <si>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</si>
  <si>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</si>
  <si>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</si>
  <si>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</si>
  <si>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</si>
  <si>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</si>
  <si>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</si>
  <si>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</si>
  <si>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</si>
  <si>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</si>
  <si>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</si>
  <si>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</si>
  <si>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Индексы за итогом</t>
  </si>
  <si>
    <t>_OBSM_</t>
  </si>
  <si>
    <t>1-100-39</t>
  </si>
  <si>
    <t>Рабочий среднего разряда 3.9</t>
  </si>
  <si>
    <t>чел.-ч.</t>
  </si>
  <si>
    <t>4-100-00</t>
  </si>
  <si>
    <t>Затраты труда машинистов</t>
  </si>
  <si>
    <t>91.08.10-055</t>
  </si>
  <si>
    <t>ФСЭМ-2001, 91.08.10-055 , приказ Минстроя России № 876/пр от 26.12.2019</t>
  </si>
  <si>
    <t>Фрезы самоходные дорожные, ширина барабана от 1500 мм до 2200 мм</t>
  </si>
  <si>
    <t>маш.-ч</t>
  </si>
  <si>
    <t>91.13.01-032</t>
  </si>
  <si>
    <t>ФСЭМ-2001, 91.13.01-032 , приказ Минстроя России № 876/пр от 26.12.2019</t>
  </si>
  <si>
    <t>Машины дорожной службы (машина дорожного мастера)</t>
  </si>
  <si>
    <t>91.13.01-038</t>
  </si>
  <si>
    <t>ФСЭМ-2001, 91.13.01-038 , приказ Минстроя России № 876/пр от 26.12.2019</t>
  </si>
  <si>
    <t>Машины поливомоечные 6000 л</t>
  </si>
  <si>
    <t>91.14.03-003</t>
  </si>
  <si>
    <t>ФСЭМ-2001, 91.14.03-003 , приказ Минстроя России № 876/пр от 26.12.2019</t>
  </si>
  <si>
    <t>Автомобили-самосвалы, грузоподъемность до 15 т</t>
  </si>
  <si>
    <t>01.7.03.01-0001</t>
  </si>
  <si>
    <t>ФССЦ-2001, 01.7.03.01-0001, приказ Минстроя России № 876/пр от 26.12.2019</t>
  </si>
  <si>
    <t>Вода</t>
  </si>
  <si>
    <t>1-100-40</t>
  </si>
  <si>
    <t>Затраты труда рабочих (Средний разряд - 4)</t>
  </si>
  <si>
    <t>91.08.06-003</t>
  </si>
  <si>
    <t>ФСЭМ-2001, 91.08.06-003 , приказ Минстроя России № 876/пр от 26.12.2019</t>
  </si>
  <si>
    <t>Нарезчики швов, максимальная глубина резки 200 мм</t>
  </si>
  <si>
    <t>маш.-ч.</t>
  </si>
  <si>
    <t>01.7.17.06-0061</t>
  </si>
  <si>
    <t>ФССЦ-2001, 01.7.17.06-0061, приказ Минстроя России № 876/пр от 26.12.2019</t>
  </si>
  <si>
    <t>Диск алмазный для твердых материалов, диаметр 350 мм</t>
  </si>
  <si>
    <t>ШТ</t>
  </si>
  <si>
    <t>1-100-20</t>
  </si>
  <si>
    <t>Рабочий среднего разряда 2</t>
  </si>
  <si>
    <t>91.01.01-035</t>
  </si>
  <si>
    <t>ФСЭМ-2001, 91.01.01-035 , приказ Минстроя России № 876/пр от 26.12.2019</t>
  </si>
  <si>
    <t>Бульдозеры, мощность 79 кВт (108 л.с.)</t>
  </si>
  <si>
    <t>91.01.05-086</t>
  </si>
  <si>
    <t>ФСЭМ-2001, 91.01.05-086 , приказ Минстроя России № 876/пр от 26.12.2019</t>
  </si>
  <si>
    <t>Экскаваторы одноковшовые дизельные на гусеничном ходу, емкость ковша 0,65 м3</t>
  </si>
  <si>
    <t>Затраты труда рабочих (Средний разряд - 2)</t>
  </si>
  <si>
    <t>1-100-23</t>
  </si>
  <si>
    <t>Затраты труда рабочих (Средний разряд - 2,3)</t>
  </si>
  <si>
    <t>91.01.02-004</t>
  </si>
  <si>
    <t>ФСЭМ-2001, 91.01.02-004 , приказ Минстроя России № 876/пр от 26.12.2019</t>
  </si>
  <si>
    <t>Автогрейдеры среднего типа, мощность 99 кВт (135 л.с.)</t>
  </si>
  <si>
    <t>91.06.05-011</t>
  </si>
  <si>
    <t>ФСЭМ-2001, 91.06.05-011 , приказ Минстроя России № 876/пр от 26.12.2019</t>
  </si>
  <si>
    <t>Погрузчики, грузоподъемность 5 т</t>
  </si>
  <si>
    <t>91.08.03-030</t>
  </si>
  <si>
    <t>ФСЭМ-2001 доп.2, 91.08.03-030, приказ Минстроя России № 294/пр от 01.06.2020</t>
  </si>
  <si>
    <t>Катки самоходные пневмоколесные статические, масса 30 т</t>
  </si>
  <si>
    <t>02.3.01.02</t>
  </si>
  <si>
    <t>Песок для строительных работ природный</t>
  </si>
  <si>
    <t>02.2.05.04</t>
  </si>
  <si>
    <t>Щебень из плотных горных пород</t>
  </si>
  <si>
    <t>1-100-35</t>
  </si>
  <si>
    <t>Рабочий среднего разряда 3.5</t>
  </si>
  <si>
    <t>91.05.05-015</t>
  </si>
  <si>
    <t>ФСЭМ-2001, 91.05.05-015 , приказ Минстроя России № 876/пр от 26.12.2019</t>
  </si>
  <si>
    <t>Краны на автомобильном ходу, грузоподъемность 16 т</t>
  </si>
  <si>
    <t>91.14.02-001</t>
  </si>
  <si>
    <t>ФСЭМ-2001, 91.14.02-001 , приказ Минстроя России № 876/пр от 26.12.2019</t>
  </si>
  <si>
    <t>Автомобили бортовые, грузоподъемность до 5 т</t>
  </si>
  <si>
    <t>08.4.02.05</t>
  </si>
  <si>
    <t>Сетка сварная из холоднотянутой проволоки 5 мм</t>
  </si>
  <si>
    <t>1-100-29</t>
  </si>
  <si>
    <t>Затраты труда рабочих (Средний разряд - 2,9)</t>
  </si>
  <si>
    <t>91.07.04-002</t>
  </si>
  <si>
    <t>ФСЭМ-2001, 91.07.04-002 , приказ Минстроя России № 876/пр от 26.12.2019</t>
  </si>
  <si>
    <t>Вибраторы поверхностные</t>
  </si>
  <si>
    <t>91.08.04-021</t>
  </si>
  <si>
    <t>ФСЭМ-2001, 91.08.04-021 , приказ Минстроя России № 876/пр от 26.12.2019</t>
  </si>
  <si>
    <t>Котлы битумные передвижные 400 л</t>
  </si>
  <si>
    <t>91.16.01-001</t>
  </si>
  <si>
    <t>ФСЭМ-2001, 91.16.01-001 , приказ Минстроя России № 876/пр от 26.12.2019</t>
  </si>
  <si>
    <t>Электростанции передвижные, мощность 2 кВт</t>
  </si>
  <si>
    <t>01.2.01.01-0019</t>
  </si>
  <si>
    <t>ФССЦ-2001, 01.2.01.01-0019, приказ Минстроя России № 876/пр от 26.12.2019</t>
  </si>
  <si>
    <t>Битумы нефтяные дорожные вязкие БНД 60/90, БНД 90/130</t>
  </si>
  <si>
    <t>01.7.20.08-0162</t>
  </si>
  <si>
    <t>ФССЦ-2001, 01.7.20.08-0162, приказ Минстроя России № 876/пр от 26.12.2019</t>
  </si>
  <si>
    <t>Ткань мешочная</t>
  </si>
  <si>
    <t>10 м2</t>
  </si>
  <si>
    <t>02.3.01.02-1012</t>
  </si>
  <si>
    <t>ФССЦ-2001, 02.3.01.02-1012, приказ Минстроя России № 876/пр от 26.12.2019</t>
  </si>
  <si>
    <t>Песок природный II класс, средний, круглые сита</t>
  </si>
  <si>
    <t>04.1.02.03</t>
  </si>
  <si>
    <t>Смеси бетонные тяжелого бетона для дорожных и аэродромных покрытий</t>
  </si>
  <si>
    <t>08.4.03.03</t>
  </si>
  <si>
    <t>Арматура</t>
  </si>
  <si>
    <t>11.1.03.06-0014</t>
  </si>
  <si>
    <t>ФССЦ-2001, 11.1.03.06-0014, приказ Минстроя России № 876/пр от 26.12.2019</t>
  </si>
  <si>
    <t>Доска обрезная, лиственных пород (береза, липа). длина 2-3,75 м, все ширины, толщина 25, 32, 40 мм, сорт I</t>
  </si>
  <si>
    <t>11.1.03.06-0087</t>
  </si>
  <si>
    <t>ФССЦ-2001, 11.1.03.06-0087, приказ Минстроя России № 876/пр от 26.12.2019</t>
  </si>
  <si>
    <t>Доска обрезная, хвойных пород, ширина 75-150 мм, толщина 25 мм, длина 4-6,5 м, сорт III</t>
  </si>
  <si>
    <t>11.2.13.04-0012</t>
  </si>
  <si>
    <t>ФССЦ-2001, 11.2.13.04-0012, приказ Минстроя России № 876/пр от 26.12.2019</t>
  </si>
  <si>
    <t>Щиты из досок, толщина 40 мм</t>
  </si>
  <si>
    <t>12.1.02.06-0012</t>
  </si>
  <si>
    <t>ФССЦ-2001, 12.1.02.06-0012, приказ Минстроя России № 876/пр от 26.12.2019</t>
  </si>
  <si>
    <t>Рубероид кровельный РКК-350</t>
  </si>
  <si>
    <t>14.5.04.01-0011</t>
  </si>
  <si>
    <t>ФССЦ-2001, 14.5.04.01-0011, приказ Минстроя России № 876/пр от 26.12.2019</t>
  </si>
  <si>
    <t>Мастика бутилкаучуковая строительная для герметизации швов цементобетонных покрытий</t>
  </si>
  <si>
    <t>кг</t>
  </si>
  <si>
    <t>ГОСУДАРСТВЕННЫЕ СМЕТНЫЕ НОРМАТИВЫ (ФЕР-2020), утвержденные приказами Минстроя России от 26 декабря 2019 г.   № 876/пр (в редакции приказов Минстроя РФ от 30 марта 2020 г. № 172/пр, от 1 июня 2020 г. № 294/пр, от 30 июня 2020 г. № 352/пр,   от 20 октября 2020 г. № 636/пр, от 9 февраля 2021 г. № 51/пр, от 24 мая 2021 г. № 321/пр, от 24 июня 2021 г. № 408/пр,  от 14 октября 2021 № 746/пр, от 20 декабря 2021 № 962/пр)</t>
  </si>
  <si>
    <t>Поправка: МР 519/пр Прил.2, Табл.3, п. 3  Наименование: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  разветвленной сети транспортных и инженерных коммуникаций; стесненных условий для складирования материалов; действующего технологического оборудования</t>
  </si>
  <si>
    <t>Поправка: М-ка 421/пр 04.08.20 п.58 п.п. б)  Наименование: При отсутствии необходимых норм (единичных расценок), включенных в сборники ГЭСНр (ФЕРр, ТЕРр), сметные затраты на работы по капитальному ремонту и реконструкции объектов капитального строительства могут быть определены по сметным нормам, включенным в ГЭСН (ФЕР, ТЕР), аналогичным технологическим процессам в новом строительстве, в том числе по возведению новых конструктивных элементов  Поправка: МР 519/пр Прил.2, Табл.3, п. 3  Наименование: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  разветвленной сети транспортных и инженерных коммуникаций; стесненных условий для складирования материалов; действующего технологического оборудования</t>
  </si>
  <si>
    <t>"СОГЛАСОВАНО"</t>
  </si>
  <si>
    <t>"УТВЕРЖДАЮ"</t>
  </si>
  <si>
    <t>"_____"________________ 2024 г.</t>
  </si>
  <si>
    <t>(наименование стройки)</t>
  </si>
  <si>
    <t>(наименование работ и затрат, наименование объекта)</t>
  </si>
  <si>
    <t>текущая цена</t>
  </si>
  <si>
    <t>Сметная стоимость</t>
  </si>
  <si>
    <t>тыс. руб.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</si>
  <si>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</si>
  <si>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</si>
  <si>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</si>
  <si>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</si>
  <si>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</si>
  <si>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</si>
  <si>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</si>
  <si>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</si>
  <si>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</si>
  <si>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</si>
  <si>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</si>
  <si>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</si>
  <si>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</si>
  <si>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</si>
  <si>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III квартал 2024 года</t>
  </si>
  <si>
    <t>Зарплата</t>
  </si>
  <si>
    <t>в т.ч. зарплата машинистов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</si>
  <si>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</si>
  <si>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</si>
  <si>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</si>
  <si>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</si>
  <si>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</si>
  <si>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</si>
  <si>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r>
      <t>Утилизация строительного мусора</t>
    </r>
    <r>
      <rPr>
        <i/>
        <sz val="10"/>
        <rFont val="Arial"/>
        <family val="2"/>
        <charset val="204"/>
      </rPr>
      <t xml:space="preserve">
57.28 = [518.38 /  9.05]</t>
    </r>
  </si>
  <si>
    <r>
      <t>Песок строительный с учетом доставки</t>
    </r>
    <r>
      <rPr>
        <i/>
        <sz val="10"/>
        <rFont val="Arial"/>
        <family val="2"/>
        <charset val="204"/>
      </rPr>
      <t xml:space="preserve">
90.61 = [984 / 1.2 /  9.05]</t>
    </r>
  </si>
  <si>
    <r>
      <t>Щебено М1200 с учетом доставки</t>
    </r>
    <r>
      <rPr>
        <i/>
        <sz val="10"/>
        <rFont val="Arial"/>
        <family val="2"/>
        <charset val="204"/>
      </rPr>
      <t xml:space="preserve">
450.83 = [4 800 / 1.2 /  9.05] +  2% Заг.скл</t>
    </r>
  </si>
  <si>
    <r>
      <t>Сетка строительная 150х150х5</t>
    </r>
    <r>
      <rPr>
        <i/>
        <sz val="10"/>
        <rFont val="Arial"/>
        <family val="2"/>
        <charset val="204"/>
      </rPr>
      <t xml:space="preserve">
12.33 = [125 / 1.2 /  9.05] +  5% Трансп +  2% Заг.скл</t>
    </r>
  </si>
  <si>
    <r>
      <t>Сталь арматурная А1 ф12мм</t>
    </r>
    <r>
      <rPr>
        <i/>
        <sz val="10"/>
        <rFont val="Arial"/>
        <family val="2"/>
        <charset val="204"/>
      </rPr>
      <t xml:space="preserve">
6 607.46 = [67 000 / 1.2 /  9.05] +  5% Трансп +  2% Заг.скл</t>
    </r>
  </si>
  <si>
    <r>
      <t>Смеси бетонные тяжелого бетона для дорожных и аэродромных покрытий В30 с учетом доставки</t>
    </r>
    <r>
      <rPr>
        <i/>
        <sz val="10"/>
        <rFont val="Arial"/>
        <family val="2"/>
        <charset val="204"/>
      </rPr>
      <t xml:space="preserve">
1 072.10 = [11 643 / 1.2 /  9.05]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</si>
  <si>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</si>
  <si>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</si>
  <si>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</si>
  <si>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</si>
  <si>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</si>
  <si>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>ООО "Сенгилеевский цементный завод"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</si>
</sst>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\-\ #,##0.00"/>
    <numFmt numFmtId="165" formatCode="#,##0.00############;[Red]\-\ #,##0.00############"/>
  </numFmts>
  <fonts count="20" x14ac:knownFonts="1">
    <font>
      <sz val="10"/>
      <name val="Arial"/>
      <charset val="204"/>
    </font>
    <font>
      <b/>
      <sz val="10"/>
      <color indexed="12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"/>
      <color indexed="14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164" fontId="0" fillId="0" borderId="0" xfId="0" applyNumberFormat="1"/>
    <xf numFmtId="0" fontId="11" fillId="0" borderId="2" xfId="0" applyFont="1" applyBorder="1"/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164" fontId="9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right" wrapText="1"/>
    </xf>
    <xf numFmtId="164" fontId="1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165" fontId="11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5"/>
  <sheetViews>
    <sheetView tabSelected="1" zoomScaleNormal="100" workbookViewId="0">
      <selection activeCell="A155" sqref="A155:XFD155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 x14ac:dyDescent="0.2">
      <c r="A1" s="9" t="str">
        <f>Source!B1</f>
        <v>Smeta.RU  (495) 974-1589</v>
      </c>
    </row>
    <row r="2" spans="1:12" ht="14.25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 x14ac:dyDescent="0.25">
      <c r="A3" s="12"/>
      <c r="B3" s="54" t="s">
        <v>360</v>
      </c>
      <c r="C3" s="54"/>
      <c r="D3" s="54"/>
      <c r="E3" s="54"/>
      <c r="F3" s="11"/>
      <c r="G3" s="11"/>
      <c r="H3" s="54" t="s">
        <v>361</v>
      </c>
      <c r="I3" s="54"/>
      <c r="J3" s="54"/>
      <c r="K3" s="54"/>
      <c r="L3" s="54"/>
    </row>
    <row r="4" spans="1:12" ht="14.25" x14ac:dyDescent="0.2">
      <c r="A4" s="11"/>
      <c r="B4" s="55"/>
      <c r="C4" s="55"/>
      <c r="D4" s="55"/>
      <c r="E4" s="55"/>
      <c r="F4" s="11"/>
      <c r="G4" s="11"/>
      <c r="H4" s="55"/>
      <c r="I4" s="55"/>
      <c r="J4" s="55"/>
      <c r="K4" s="55"/>
      <c r="L4" s="55"/>
    </row>
    <row r="5" spans="1:12" ht="14.25" x14ac:dyDescent="0.2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 x14ac:dyDescent="0.2">
      <c r="A6" s="15"/>
      <c r="B6" s="55" t="str">
        <f>CONCATENATE("______________________ ", IF(Source!AL12&lt;&gt;"", Source!AL12, ""))</f>
        <v xml:space="preserve">______________________ </v>
      </c>
      <c r="C6" s="55"/>
      <c r="D6" s="55"/>
      <c r="E6" s="55"/>
      <c r="F6" s="11"/>
      <c r="G6" s="11"/>
      <c r="H6" s="55" t="str">
        <f>CONCATENATE("______________________ ", IF(Source!AH12&lt;&gt;"", Source!AH12, ""))</f>
        <v xml:space="preserve">______________________ </v>
      </c>
      <c r="I6" s="55"/>
      <c r="J6" s="55"/>
      <c r="K6" s="55"/>
      <c r="L6" s="55"/>
    </row>
    <row r="7" spans="1:12" ht="14.25" x14ac:dyDescent="0.2">
      <c r="A7" s="16"/>
      <c r="B7" s="62" t="s">
        <v>362</v>
      </c>
      <c r="C7" s="62"/>
      <c r="D7" s="62"/>
      <c r="E7" s="62"/>
      <c r="F7" s="11"/>
      <c r="G7" s="11"/>
      <c r="H7" s="62" t="s">
        <v>362</v>
      </c>
      <c r="I7" s="62"/>
      <c r="J7" s="62"/>
      <c r="K7" s="62"/>
      <c r="L7" s="62"/>
    </row>
    <row r="10" spans="1:12" ht="15.75" x14ac:dyDescent="0.25">
      <c r="A10" s="16"/>
      <c r="B10" s="56" t="s">
        <v>402</v>
      </c>
      <c r="C10" s="56"/>
      <c r="D10" s="56"/>
      <c r="E10" s="56"/>
      <c r="F10" s="56"/>
      <c r="G10" s="56"/>
      <c r="H10" s="56"/>
      <c r="I10" s="56"/>
      <c r="J10" s="56"/>
      <c r="K10" s="56"/>
      <c r="L10" s="16"/>
    </row>
    <row r="11" spans="1:12" ht="14.25" x14ac:dyDescent="0.2">
      <c r="A11" s="17"/>
      <c r="B11" s="63" t="s">
        <v>363</v>
      </c>
      <c r="C11" s="63"/>
      <c r="D11" s="63"/>
      <c r="E11" s="63"/>
      <c r="F11" s="63"/>
      <c r="G11" s="63"/>
      <c r="H11" s="63"/>
      <c r="I11" s="63"/>
      <c r="J11" s="63"/>
      <c r="K11" s="63"/>
      <c r="L11" s="16"/>
    </row>
    <row r="12" spans="1:12" ht="14.25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5.75" x14ac:dyDescent="0.25">
      <c r="A13" s="18"/>
      <c r="B13" s="56" t="str">
        <f>CONCATENATE( "ЛОКАЛЬНАЯ СМЕТА № ",IF(Source!F12&lt;&gt;"Новый объект", Source!F12, ""))</f>
        <v>ЛОКАЛЬНАЯ СМЕТА № 1</v>
      </c>
      <c r="C13" s="56"/>
      <c r="D13" s="56"/>
      <c r="E13" s="56"/>
      <c r="F13" s="56"/>
      <c r="G13" s="56"/>
      <c r="H13" s="56"/>
      <c r="I13" s="56"/>
      <c r="J13" s="56"/>
      <c r="K13" s="56"/>
      <c r="L13" s="18"/>
    </row>
    <row r="14" spans="1:12" ht="15.75" x14ac:dyDescent="0.2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8"/>
    </row>
    <row r="15" spans="1:12" ht="18" hidden="1" x14ac:dyDescent="0.25">
      <c r="A15" s="1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18"/>
    </row>
    <row r="16" spans="1:12" ht="14.25" hidden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8" x14ac:dyDescent="0.25">
      <c r="A17" s="11"/>
      <c r="B17" s="58" t="str">
        <f>IF(Source!G12&lt;&gt;"Новый объект", Source!G12, "")</f>
        <v>Ремонт автодороги на территории завода - вариант 3</v>
      </c>
      <c r="C17" s="58"/>
      <c r="D17" s="58"/>
      <c r="E17" s="58"/>
      <c r="F17" s="58"/>
      <c r="G17" s="58"/>
      <c r="H17" s="58"/>
      <c r="I17" s="58"/>
      <c r="J17" s="58"/>
      <c r="K17" s="58"/>
      <c r="L17" s="20"/>
    </row>
    <row r="18" spans="1:12" ht="14.25" x14ac:dyDescent="0.2">
      <c r="A18" s="11"/>
      <c r="B18" s="59" t="s">
        <v>364</v>
      </c>
      <c r="C18" s="59"/>
      <c r="D18" s="59"/>
      <c r="E18" s="59"/>
      <c r="F18" s="59"/>
      <c r="G18" s="59"/>
      <c r="H18" s="59"/>
      <c r="I18" s="59"/>
      <c r="J18" s="59"/>
      <c r="K18" s="59"/>
      <c r="L18" s="16"/>
    </row>
    <row r="19" spans="1:12" ht="14.2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4.25" x14ac:dyDescent="0.2">
      <c r="A20" s="60" t="str">
        <f>CONCATENATE("Основание: ", Source!J12)</f>
        <v>Основание: Дефектная ведомость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4.25" x14ac:dyDescent="0.2">
      <c r="A23" s="11"/>
      <c r="B23" s="11"/>
      <c r="C23" s="11"/>
      <c r="D23" s="11"/>
      <c r="E23" s="21"/>
      <c r="F23" s="21"/>
      <c r="G23" s="61"/>
      <c r="H23" s="61"/>
      <c r="I23" s="61" t="s">
        <v>365</v>
      </c>
      <c r="J23" s="61"/>
      <c r="K23" s="11"/>
      <c r="L23" s="11"/>
    </row>
    <row r="24" spans="1:12" ht="15" x14ac:dyDescent="0.25">
      <c r="A24" s="11"/>
      <c r="B24" s="11"/>
      <c r="C24" s="64" t="s">
        <v>366</v>
      </c>
      <c r="D24" s="64"/>
      <c r="E24" s="64"/>
      <c r="F24" s="64"/>
      <c r="G24" s="65"/>
      <c r="H24" s="65"/>
      <c r="I24" s="65">
        <f>J153/1000</f>
        <v>4306.44632</v>
      </c>
      <c r="J24" s="65"/>
      <c r="K24" s="66" t="s">
        <v>367</v>
      </c>
      <c r="L24" s="66"/>
    </row>
    <row r="25" spans="1:12" ht="14.25" hidden="1" x14ac:dyDescent="0.2">
      <c r="A25" s="11"/>
      <c r="B25" s="11"/>
      <c r="C25" s="67" t="s">
        <v>162</v>
      </c>
      <c r="D25" s="67"/>
      <c r="E25" s="67"/>
      <c r="F25" s="67"/>
      <c r="G25" s="65"/>
      <c r="H25" s="65"/>
      <c r="I25" s="65"/>
      <c r="J25" s="65"/>
      <c r="K25" s="22" t="s">
        <v>367</v>
      </c>
      <c r="L25" s="11"/>
    </row>
    <row r="26" spans="1:12" ht="15" x14ac:dyDescent="0.25">
      <c r="A26" s="11"/>
      <c r="B26" s="11"/>
      <c r="C26" s="23"/>
      <c r="D26" s="23"/>
      <c r="E26" s="23"/>
      <c r="F26" s="15"/>
      <c r="G26" s="24"/>
      <c r="H26" s="24"/>
      <c r="I26" s="24"/>
      <c r="J26" s="24"/>
      <c r="K26" s="24"/>
      <c r="L26" s="24"/>
    </row>
    <row r="27" spans="1:12" ht="15" hidden="1" x14ac:dyDescent="0.2">
      <c r="A27" s="15" t="s">
        <v>368</v>
      </c>
      <c r="B27" s="11"/>
      <c r="C27" s="11"/>
      <c r="D27" s="13"/>
      <c r="E27" s="11"/>
      <c r="F27" s="11"/>
      <c r="G27" s="25"/>
      <c r="H27" s="25"/>
      <c r="I27" s="26"/>
      <c r="J27" s="25"/>
      <c r="K27" s="25"/>
      <c r="L27" s="25"/>
    </row>
    <row r="28" spans="1:12" ht="15" hidden="1" x14ac:dyDescent="0.2">
      <c r="A28" s="15" t="s">
        <v>369</v>
      </c>
      <c r="B28" s="11"/>
      <c r="C28" s="11"/>
      <c r="D28" s="13"/>
      <c r="E28" s="11"/>
      <c r="F28" s="11"/>
      <c r="G28" s="25"/>
      <c r="H28" s="25"/>
      <c r="I28" s="26"/>
      <c r="J28" s="25"/>
      <c r="K28" s="25"/>
      <c r="L28" s="25"/>
    </row>
    <row r="29" spans="1:12" ht="15" hidden="1" x14ac:dyDescent="0.2">
      <c r="A29" s="11"/>
      <c r="B29" s="11"/>
      <c r="C29" s="10"/>
      <c r="D29" s="10"/>
      <c r="E29" s="10"/>
      <c r="F29" s="10"/>
      <c r="G29" s="25"/>
      <c r="H29" s="25"/>
      <c r="I29" s="26"/>
      <c r="J29" s="25"/>
      <c r="K29" s="25"/>
      <c r="L29" s="25"/>
    </row>
    <row r="30" spans="1:12" ht="14.25" x14ac:dyDescent="0.2">
      <c r="A30" s="68" t="s">
        <v>382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2" ht="57" x14ac:dyDescent="0.2">
      <c r="A31" s="27" t="s">
        <v>370</v>
      </c>
      <c r="B31" s="27" t="s">
        <v>371</v>
      </c>
      <c r="C31" s="27" t="s">
        <v>372</v>
      </c>
      <c r="D31" s="27" t="s">
        <v>373</v>
      </c>
      <c r="E31" s="27" t="s">
        <v>374</v>
      </c>
      <c r="F31" s="27" t="s">
        <v>375</v>
      </c>
      <c r="G31" s="27" t="s">
        <v>376</v>
      </c>
      <c r="H31" s="27" t="s">
        <v>377</v>
      </c>
      <c r="I31" s="27" t="s">
        <v>378</v>
      </c>
      <c r="J31" s="27" t="s">
        <v>379</v>
      </c>
      <c r="K31" s="27" t="s">
        <v>380</v>
      </c>
      <c r="L31" s="27" t="s">
        <v>381</v>
      </c>
    </row>
    <row r="32" spans="1:12" ht="14.25" x14ac:dyDescent="0.2">
      <c r="A32" s="28">
        <v>1</v>
      </c>
      <c r="B32" s="28">
        <v>2</v>
      </c>
      <c r="C32" s="28">
        <v>3</v>
      </c>
      <c r="D32" s="28">
        <v>4</v>
      </c>
      <c r="E32" s="28">
        <v>5</v>
      </c>
      <c r="F32" s="28">
        <v>6</v>
      </c>
      <c r="G32" s="28">
        <v>7</v>
      </c>
      <c r="H32" s="28">
        <v>8</v>
      </c>
      <c r="I32" s="28">
        <v>9</v>
      </c>
      <c r="J32" s="28">
        <v>10</v>
      </c>
      <c r="K32" s="28">
        <v>11</v>
      </c>
      <c r="L32" s="29">
        <v>12</v>
      </c>
    </row>
    <row r="33" spans="1:26" ht="71.25" x14ac:dyDescent="0.2">
      <c r="A33" s="51">
        <v>1</v>
      </c>
      <c r="B33" s="51" t="str">
        <f>Source!F24</f>
        <v>27-03-012-02</v>
      </c>
      <c r="C33" s="51" t="str">
        <f>Source!G24</f>
        <v>Срезка поверхностного слоя асфальтобетонных дорожных покрытий с применением фрез при ширине фрезерования до 2200 мм, толщина слоя до 10 см</v>
      </c>
      <c r="D33" s="38" t="str">
        <f>Source!H24</f>
        <v>100 м2</v>
      </c>
      <c r="E33" s="10">
        <f>Source!I24</f>
        <v>9.39</v>
      </c>
      <c r="F33" s="39">
        <f>Source!AL24+Source!AM24+Source!AO24</f>
        <v>1266.9100000000001</v>
      </c>
      <c r="G33" s="40"/>
      <c r="H33" s="39"/>
      <c r="I33" s="40" t="str">
        <f>Source!BO24</f>
        <v/>
      </c>
      <c r="J33" s="40"/>
      <c r="K33" s="39"/>
      <c r="L33" s="41"/>
      <c r="S33">
        <f>ROUND((Source!FX24/100)*((ROUND(Source!AF24*Source!I24, 2)+ROUND(Source!AE24*Source!I24, 2))), 2)</f>
        <v>189.94</v>
      </c>
      <c r="T33">
        <f>Source!X24</f>
        <v>6476.72</v>
      </c>
      <c r="U33">
        <f>ROUND((Source!FY24/100)*((ROUND(Source!AF24*Source!I24, 2)+ROUND(Source!AE24*Source!I24, 2))), 2)</f>
        <v>173.14</v>
      </c>
      <c r="V33">
        <f>Source!Y24</f>
        <v>5903.95</v>
      </c>
    </row>
    <row r="34" spans="1:26" x14ac:dyDescent="0.2">
      <c r="C34" s="30" t="str">
        <f>"Объем: "&amp;Source!I24&amp;"=939/"&amp;"100"</f>
        <v>Объем: 9,39=939/100</v>
      </c>
    </row>
    <row r="35" spans="1:26" ht="14.25" x14ac:dyDescent="0.2">
      <c r="A35" s="51"/>
      <c r="B35" s="51"/>
      <c r="C35" s="51" t="s">
        <v>383</v>
      </c>
      <c r="D35" s="38"/>
      <c r="E35" s="10"/>
      <c r="F35" s="39">
        <f>Source!AO24</f>
        <v>3.9</v>
      </c>
      <c r="G35" s="40" t="str">
        <f>Source!DG24</f>
        <v>)*1,15</v>
      </c>
      <c r="H35" s="39">
        <f>ROUND(Source!AF24*Source!I24, 2)</f>
        <v>42.16</v>
      </c>
      <c r="I35" s="40"/>
      <c r="J35" s="40">
        <f>IF(Source!BA24&lt;&gt; 0, Source!BA24, 1)</f>
        <v>34.1</v>
      </c>
      <c r="K35" s="39">
        <f>Source!S24</f>
        <v>1437.69</v>
      </c>
      <c r="L35" s="41"/>
      <c r="R35">
        <f>H35</f>
        <v>42.16</v>
      </c>
    </row>
    <row r="36" spans="1:26" ht="14.25" x14ac:dyDescent="0.2">
      <c r="A36" s="51"/>
      <c r="B36" s="51"/>
      <c r="C36" s="51" t="s">
        <v>144</v>
      </c>
      <c r="D36" s="38"/>
      <c r="E36" s="10"/>
      <c r="F36" s="39">
        <f>Source!AM24</f>
        <v>1262.76</v>
      </c>
      <c r="G36" s="40" t="str">
        <f>Source!DE24</f>
        <v>)*1,15</v>
      </c>
      <c r="H36" s="39">
        <f>ROUND(((((Source!ET24*1.15))-((Source!EU24*1.15)))+Source!AE24)*Source!I24, 2)</f>
        <v>13635.92</v>
      </c>
      <c r="I36" s="40"/>
      <c r="J36" s="40">
        <f>IF(Source!BB24&lt;&gt; 0, Source!BB24, 1)</f>
        <v>12.65</v>
      </c>
      <c r="K36" s="39">
        <f>Source!Q24</f>
        <v>172494.63</v>
      </c>
      <c r="L36" s="41"/>
    </row>
    <row r="37" spans="1:26" ht="14.25" x14ac:dyDescent="0.2">
      <c r="A37" s="51"/>
      <c r="B37" s="51"/>
      <c r="C37" s="51" t="s">
        <v>384</v>
      </c>
      <c r="D37" s="38"/>
      <c r="E37" s="10"/>
      <c r="F37" s="39">
        <f>Source!AN24</f>
        <v>8.06</v>
      </c>
      <c r="G37" s="40" t="str">
        <f>Source!DF24</f>
        <v>)*1,15</v>
      </c>
      <c r="H37" s="42">
        <f>ROUND(Source!AE24*Source!I24, 2)</f>
        <v>87.05</v>
      </c>
      <c r="I37" s="40"/>
      <c r="J37" s="40">
        <f>IF(Source!BS24&lt;&gt; 0, Source!BS24, 1)</f>
        <v>34.1</v>
      </c>
      <c r="K37" s="42">
        <f>Source!R24</f>
        <v>2968.24</v>
      </c>
      <c r="L37" s="41"/>
      <c r="R37">
        <f>H37</f>
        <v>87.05</v>
      </c>
    </row>
    <row r="38" spans="1:26" ht="14.25" x14ac:dyDescent="0.2">
      <c r="A38" s="51"/>
      <c r="B38" s="51"/>
      <c r="C38" s="51" t="s">
        <v>385</v>
      </c>
      <c r="D38" s="38"/>
      <c r="E38" s="10"/>
      <c r="F38" s="39">
        <f>Source!AL24</f>
        <v>0.25</v>
      </c>
      <c r="G38" s="40" t="str">
        <f>Source!DD24</f>
        <v/>
      </c>
      <c r="H38" s="39">
        <f>ROUND(Source!AC24*Source!I24, 2)</f>
        <v>2.35</v>
      </c>
      <c r="I38" s="40"/>
      <c r="J38" s="40">
        <f>IF(Source!BC24&lt;&gt; 0, Source!BC24, 1)</f>
        <v>9.0500000000000007</v>
      </c>
      <c r="K38" s="39">
        <f>Source!P24</f>
        <v>21.24</v>
      </c>
      <c r="L38" s="41"/>
    </row>
    <row r="39" spans="1:26" ht="14.25" x14ac:dyDescent="0.2">
      <c r="A39" s="51"/>
      <c r="B39" s="51"/>
      <c r="C39" s="51" t="s">
        <v>386</v>
      </c>
      <c r="D39" s="38" t="s">
        <v>387</v>
      </c>
      <c r="E39" s="10">
        <f>Source!BZ24</f>
        <v>147</v>
      </c>
      <c r="F39" s="53"/>
      <c r="G39" s="40"/>
      <c r="H39" s="39">
        <f>SUM(S33:S41)</f>
        <v>189.94</v>
      </c>
      <c r="I39" s="43"/>
      <c r="J39" s="37">
        <f>Source!AT24</f>
        <v>147</v>
      </c>
      <c r="K39" s="39">
        <f>SUM(T33:T41)</f>
        <v>6476.72</v>
      </c>
      <c r="L39" s="41"/>
    </row>
    <row r="40" spans="1:26" ht="14.25" x14ac:dyDescent="0.2">
      <c r="A40" s="51"/>
      <c r="B40" s="51"/>
      <c r="C40" s="51" t="s">
        <v>388</v>
      </c>
      <c r="D40" s="38" t="s">
        <v>387</v>
      </c>
      <c r="E40" s="10">
        <f>Source!CA24</f>
        <v>134</v>
      </c>
      <c r="F40" s="53"/>
      <c r="G40" s="40"/>
      <c r="H40" s="39">
        <f>SUM(U33:U41)</f>
        <v>173.14</v>
      </c>
      <c r="I40" s="43"/>
      <c r="J40" s="37">
        <f>Source!AU24</f>
        <v>134</v>
      </c>
      <c r="K40" s="39">
        <f>SUM(V33:V41)</f>
        <v>5903.95</v>
      </c>
      <c r="L40" s="41"/>
    </row>
    <row r="41" spans="1:26" ht="14.25" x14ac:dyDescent="0.2">
      <c r="A41" s="52"/>
      <c r="B41" s="52"/>
      <c r="C41" s="52" t="s">
        <v>389</v>
      </c>
      <c r="D41" s="44" t="s">
        <v>390</v>
      </c>
      <c r="E41" s="45">
        <f>Source!AQ24</f>
        <v>0.41</v>
      </c>
      <c r="F41" s="46"/>
      <c r="G41" s="47" t="str">
        <f>Source!DI24</f>
        <v>)*1,15</v>
      </c>
      <c r="H41" s="46"/>
      <c r="I41" s="47"/>
      <c r="J41" s="47"/>
      <c r="K41" s="46"/>
      <c r="L41" s="48">
        <f>Source!U24</f>
        <v>4.4273849999999992</v>
      </c>
    </row>
    <row r="42" spans="1:26" ht="15" x14ac:dyDescent="0.25">
      <c r="G42" s="70">
        <f>H35+H36+H38+H39+H40</f>
        <v>14043.51</v>
      </c>
      <c r="H42" s="70"/>
      <c r="J42" s="70">
        <f>K35+K36+K38+K39+K40</f>
        <v>186334.23</v>
      </c>
      <c r="K42" s="70"/>
      <c r="L42" s="49">
        <f>Source!U24</f>
        <v>4.4273849999999992</v>
      </c>
      <c r="O42" s="31">
        <f>G42</f>
        <v>14043.51</v>
      </c>
      <c r="P42" s="31">
        <f>J42</f>
        <v>186334.23</v>
      </c>
      <c r="Q42" s="31">
        <f>L42</f>
        <v>4.4273849999999992</v>
      </c>
      <c r="W42">
        <f>IF(Source!BI24&lt;=1,H35+H36+H38+H39+H40, 0)</f>
        <v>14043.51</v>
      </c>
      <c r="X42">
        <f>IF(Source!BI24=2,H35+H36+H38+H39+H40, 0)</f>
        <v>0</v>
      </c>
      <c r="Y42">
        <f>IF(Source!BI24=3,H35+H36+H38+H39+H40, 0)</f>
        <v>0</v>
      </c>
      <c r="Z42">
        <f>IF(Source!BI24=4,H35+H36+H38+H39+H40, 0)</f>
        <v>0</v>
      </c>
    </row>
    <row r="43" spans="1:26" ht="85.5" x14ac:dyDescent="0.2">
      <c r="A43" s="51">
        <v>2</v>
      </c>
      <c r="B43" s="51" t="str">
        <f>Source!F25</f>
        <v>31-01-065-02</v>
      </c>
      <c r="C43" s="51" t="str">
        <f>Source!G25</f>
        <v>Резка затвердевшего покрытия прямолинейными участками длиной от 0,1 до 20 м нарезчиком швов с алмазными дисками при ширине пропила 3 мм: бетонного на глубину 50 мм</v>
      </c>
      <c r="D43" s="38" t="str">
        <f>Source!H25</f>
        <v>100 м</v>
      </c>
      <c r="E43" s="10">
        <f>Source!I25</f>
        <v>0.4</v>
      </c>
      <c r="F43" s="39">
        <f>Source!AL25+Source!AM25+Source!AO25</f>
        <v>1496.25</v>
      </c>
      <c r="G43" s="40"/>
      <c r="H43" s="39"/>
      <c r="I43" s="40" t="str">
        <f>Source!BO25</f>
        <v/>
      </c>
      <c r="J43" s="40"/>
      <c r="K43" s="39"/>
      <c r="L43" s="41"/>
      <c r="S43">
        <f>ROUND((Source!FX25/100)*((ROUND(Source!AF25*Source!I25, 2)+ROUND(Source!AE25*Source!I25, 2))), 2)</f>
        <v>64.349999999999994</v>
      </c>
      <c r="T43">
        <f>Source!X25</f>
        <v>2194.3200000000002</v>
      </c>
      <c r="U43">
        <f>ROUND((Source!FY25/100)*((ROUND(Source!AF25*Source!I25, 2)+ROUND(Source!AE25*Source!I25, 2))), 2)</f>
        <v>41.5</v>
      </c>
      <c r="V43">
        <f>Source!Y25</f>
        <v>1415.03</v>
      </c>
    </row>
    <row r="44" spans="1:26" x14ac:dyDescent="0.2">
      <c r="C44" s="30" t="str">
        <f>"Объем: "&amp;Source!I25&amp;"=(20*"&amp;"2)/"&amp;"100"</f>
        <v>Объем: 0,4=(20*2)/100</v>
      </c>
    </row>
    <row r="45" spans="1:26" ht="14.25" x14ac:dyDescent="0.2">
      <c r="A45" s="51"/>
      <c r="B45" s="51"/>
      <c r="C45" s="51" t="s">
        <v>383</v>
      </c>
      <c r="D45" s="38"/>
      <c r="E45" s="10"/>
      <c r="F45" s="39">
        <f>Source!AO25</f>
        <v>130.74</v>
      </c>
      <c r="G45" s="40" t="str">
        <f>Source!DG25</f>
        <v>)*1,15</v>
      </c>
      <c r="H45" s="39">
        <f>ROUND(Source!AF25*Source!I25, 2)</f>
        <v>60.14</v>
      </c>
      <c r="I45" s="40"/>
      <c r="J45" s="40">
        <f>IF(Source!BA25&lt;&gt; 0, Source!BA25, 1)</f>
        <v>34.1</v>
      </c>
      <c r="K45" s="39">
        <f>Source!S25</f>
        <v>2050.77</v>
      </c>
      <c r="L45" s="41"/>
      <c r="R45">
        <f>H45</f>
        <v>60.14</v>
      </c>
    </row>
    <row r="46" spans="1:26" ht="14.25" x14ac:dyDescent="0.2">
      <c r="A46" s="51"/>
      <c r="B46" s="51"/>
      <c r="C46" s="51" t="s">
        <v>144</v>
      </c>
      <c r="D46" s="38"/>
      <c r="E46" s="10"/>
      <c r="F46" s="39">
        <f>Source!AM25</f>
        <v>827.5</v>
      </c>
      <c r="G46" s="40" t="str">
        <f>Source!DE25</f>
        <v>)*1,15</v>
      </c>
      <c r="H46" s="39">
        <f>ROUND(((((Source!ET25*1.15))-((Source!EU25*1.15)))+Source!AE25)*Source!I25, 2)</f>
        <v>380.65</v>
      </c>
      <c r="I46" s="40"/>
      <c r="J46" s="40">
        <f>IF(Source!BB25&lt;&gt; 0, Source!BB25, 1)</f>
        <v>12.65</v>
      </c>
      <c r="K46" s="39">
        <f>Source!Q25</f>
        <v>4815.22</v>
      </c>
      <c r="L46" s="41"/>
    </row>
    <row r="47" spans="1:26" ht="14.25" x14ac:dyDescent="0.2">
      <c r="A47" s="51"/>
      <c r="B47" s="51"/>
      <c r="C47" s="51" t="s">
        <v>385</v>
      </c>
      <c r="D47" s="38"/>
      <c r="E47" s="10"/>
      <c r="F47" s="39">
        <f>Source!AL25</f>
        <v>538.01</v>
      </c>
      <c r="G47" s="40" t="str">
        <f>Source!DD25</f>
        <v/>
      </c>
      <c r="H47" s="39">
        <f>ROUND(Source!AC25*Source!I25, 2)</f>
        <v>215.2</v>
      </c>
      <c r="I47" s="40"/>
      <c r="J47" s="40">
        <f>IF(Source!BC25&lt;&gt; 0, Source!BC25, 1)</f>
        <v>9.0500000000000007</v>
      </c>
      <c r="K47" s="39">
        <f>Source!P25</f>
        <v>1947.6</v>
      </c>
      <c r="L47" s="41"/>
    </row>
    <row r="48" spans="1:26" ht="14.25" x14ac:dyDescent="0.2">
      <c r="A48" s="51"/>
      <c r="B48" s="51"/>
      <c r="C48" s="51" t="s">
        <v>386</v>
      </c>
      <c r="D48" s="38" t="s">
        <v>387</v>
      </c>
      <c r="E48" s="10">
        <f>Source!BZ25</f>
        <v>107</v>
      </c>
      <c r="F48" s="53"/>
      <c r="G48" s="40"/>
      <c r="H48" s="39">
        <f>SUM(S43:S50)</f>
        <v>64.349999999999994</v>
      </c>
      <c r="I48" s="43"/>
      <c r="J48" s="37">
        <f>Source!AT25</f>
        <v>107</v>
      </c>
      <c r="K48" s="39">
        <f>SUM(T43:T50)</f>
        <v>2194.3200000000002</v>
      </c>
      <c r="L48" s="41"/>
    </row>
    <row r="49" spans="1:26" ht="14.25" x14ac:dyDescent="0.2">
      <c r="A49" s="51"/>
      <c r="B49" s="51"/>
      <c r="C49" s="51" t="s">
        <v>388</v>
      </c>
      <c r="D49" s="38" t="s">
        <v>387</v>
      </c>
      <c r="E49" s="10">
        <f>Source!CA25</f>
        <v>69</v>
      </c>
      <c r="F49" s="53"/>
      <c r="G49" s="40"/>
      <c r="H49" s="39">
        <f>SUM(U43:U50)</f>
        <v>41.5</v>
      </c>
      <c r="I49" s="43"/>
      <c r="J49" s="37">
        <f>Source!AU25</f>
        <v>69</v>
      </c>
      <c r="K49" s="39">
        <f>SUM(V43:V50)</f>
        <v>1415.03</v>
      </c>
      <c r="L49" s="41"/>
    </row>
    <row r="50" spans="1:26" ht="14.25" x14ac:dyDescent="0.2">
      <c r="A50" s="52"/>
      <c r="B50" s="52"/>
      <c r="C50" s="52" t="s">
        <v>389</v>
      </c>
      <c r="D50" s="44" t="s">
        <v>390</v>
      </c>
      <c r="E50" s="45">
        <f>Source!AQ25</f>
        <v>13.59</v>
      </c>
      <c r="F50" s="46"/>
      <c r="G50" s="47" t="str">
        <f>Source!DI25</f>
        <v>)*1,15</v>
      </c>
      <c r="H50" s="46"/>
      <c r="I50" s="47"/>
      <c r="J50" s="47"/>
      <c r="K50" s="46"/>
      <c r="L50" s="48">
        <f>Source!U25</f>
        <v>6.2514000000000003</v>
      </c>
    </row>
    <row r="51" spans="1:26" ht="15" x14ac:dyDescent="0.25">
      <c r="G51" s="70">
        <f>H45+H46+H47+H48+H49</f>
        <v>761.84</v>
      </c>
      <c r="H51" s="70"/>
      <c r="J51" s="70">
        <f>K45+K46+K47+K48+K49</f>
        <v>12422.94</v>
      </c>
      <c r="K51" s="70"/>
      <c r="L51" s="49">
        <f>Source!U25</f>
        <v>6.2514000000000003</v>
      </c>
      <c r="O51" s="31">
        <f>G51</f>
        <v>761.84</v>
      </c>
      <c r="P51" s="31">
        <f>J51</f>
        <v>12422.94</v>
      </c>
      <c r="Q51" s="31">
        <f>L51</f>
        <v>6.2514000000000003</v>
      </c>
      <c r="W51">
        <f>IF(Source!BI25&lt;=1,H45+H46+H47+H48+H49, 0)</f>
        <v>761.84</v>
      </c>
      <c r="X51">
        <f>IF(Source!BI25=2,H45+H46+H47+H48+H49, 0)</f>
        <v>0</v>
      </c>
      <c r="Y51">
        <f>IF(Source!BI25=3,H45+H46+H47+H48+H49, 0)</f>
        <v>0</v>
      </c>
      <c r="Z51">
        <f>IF(Source!BI25=4,H45+H46+H47+H48+H49, 0)</f>
        <v>0</v>
      </c>
    </row>
    <row r="52" spans="1:26" ht="42.75" x14ac:dyDescent="0.2">
      <c r="A52" s="51">
        <v>3</v>
      </c>
      <c r="B52" s="51" t="str">
        <f>Source!F26</f>
        <v>31-01-065-04</v>
      </c>
      <c r="C52" s="51" t="str">
        <f>Source!G26</f>
        <v>При изменении глубины пропила на каждые 10 мм изменения добавлять (уменьшать) к расценке 31-01-065-02</v>
      </c>
      <c r="D52" s="38" t="str">
        <f>Source!H26</f>
        <v>100 м</v>
      </c>
      <c r="E52" s="10">
        <f>Source!I26</f>
        <v>0.4</v>
      </c>
      <c r="F52" s="39">
        <f>Source!AL26+Source!AM26+Source!AO26</f>
        <v>301.77000000000004</v>
      </c>
      <c r="G52" s="40"/>
      <c r="H52" s="39"/>
      <c r="I52" s="40" t="str">
        <f>Source!BO26</f>
        <v/>
      </c>
      <c r="J52" s="40"/>
      <c r="K52" s="39"/>
      <c r="L52" s="41"/>
      <c r="S52">
        <f>ROUND((Source!FX26/100)*((ROUND(Source!AF26*Source!I26, 2)+ROUND(Source!AE26*Source!I26, 2))), 2)</f>
        <v>189.67</v>
      </c>
      <c r="T52">
        <f>Source!X26</f>
        <v>6467.69</v>
      </c>
      <c r="U52">
        <f>ROUND((Source!FY26/100)*((ROUND(Source!AF26*Source!I26, 2)+ROUND(Source!AE26*Source!I26, 2))), 2)</f>
        <v>122.31</v>
      </c>
      <c r="V52">
        <f>Source!Y26</f>
        <v>4170.75</v>
      </c>
    </row>
    <row r="53" spans="1:26" ht="14.25" x14ac:dyDescent="0.2">
      <c r="A53" s="51"/>
      <c r="B53" s="51"/>
      <c r="C53" s="51" t="s">
        <v>383</v>
      </c>
      <c r="D53" s="38"/>
      <c r="E53" s="10"/>
      <c r="F53" s="39">
        <f>Source!AO26</f>
        <v>25.69</v>
      </c>
      <c r="G53" s="40" t="str">
        <f>Source!DG26</f>
        <v>)*1,15)*15</v>
      </c>
      <c r="H53" s="39">
        <f>ROUND(Source!AF26*Source!I26, 2)</f>
        <v>177.26</v>
      </c>
      <c r="I53" s="40"/>
      <c r="J53" s="40">
        <f>IF(Source!BA26&lt;&gt; 0, Source!BA26, 1)</f>
        <v>34.1</v>
      </c>
      <c r="K53" s="39">
        <f>Source!S26</f>
        <v>6044.57</v>
      </c>
      <c r="L53" s="41"/>
      <c r="R53">
        <f>H53</f>
        <v>177.26</v>
      </c>
    </row>
    <row r="54" spans="1:26" ht="14.25" x14ac:dyDescent="0.2">
      <c r="A54" s="51"/>
      <c r="B54" s="51"/>
      <c r="C54" s="51" t="s">
        <v>144</v>
      </c>
      <c r="D54" s="38"/>
      <c r="E54" s="10"/>
      <c r="F54" s="39">
        <f>Source!AM26</f>
        <v>162.58000000000001</v>
      </c>
      <c r="G54" s="40" t="str">
        <f>Source!DE26</f>
        <v>)*1,15)*15</v>
      </c>
      <c r="H54" s="39">
        <f>ROUND((((((Source!ET26*1.15)*15))-(((Source!EU26*1.15)*15)))+Source!AE26)*Source!I26, 2)</f>
        <v>1121.8</v>
      </c>
      <c r="I54" s="40"/>
      <c r="J54" s="40">
        <f>IF(Source!BB26&lt;&gt; 0, Source!BB26, 1)</f>
        <v>12.65</v>
      </c>
      <c r="K54" s="39">
        <f>Source!Q26</f>
        <v>14190.8</v>
      </c>
      <c r="L54" s="41"/>
    </row>
    <row r="55" spans="1:26" ht="14.25" x14ac:dyDescent="0.2">
      <c r="A55" s="51"/>
      <c r="B55" s="51"/>
      <c r="C55" s="51" t="s">
        <v>385</v>
      </c>
      <c r="D55" s="38"/>
      <c r="E55" s="10"/>
      <c r="F55" s="39">
        <f>Source!AL26</f>
        <v>113.5</v>
      </c>
      <c r="G55" s="40" t="str">
        <f>Source!DD26</f>
        <v>)*15</v>
      </c>
      <c r="H55" s="39">
        <f>ROUND(Source!AC26*Source!I26, 2)</f>
        <v>681</v>
      </c>
      <c r="I55" s="40"/>
      <c r="J55" s="40">
        <f>IF(Source!BC26&lt;&gt; 0, Source!BC26, 1)</f>
        <v>9.0500000000000007</v>
      </c>
      <c r="K55" s="39">
        <f>Source!P26</f>
        <v>6163.05</v>
      </c>
      <c r="L55" s="41"/>
    </row>
    <row r="56" spans="1:26" ht="14.25" x14ac:dyDescent="0.2">
      <c r="A56" s="51"/>
      <c r="B56" s="51"/>
      <c r="C56" s="51" t="s">
        <v>386</v>
      </c>
      <c r="D56" s="38" t="s">
        <v>387</v>
      </c>
      <c r="E56" s="10">
        <f>Source!BZ26</f>
        <v>107</v>
      </c>
      <c r="F56" s="53"/>
      <c r="G56" s="40"/>
      <c r="H56" s="39">
        <f>SUM(S52:S58)</f>
        <v>189.67</v>
      </c>
      <c r="I56" s="43"/>
      <c r="J56" s="37">
        <f>Source!AT26</f>
        <v>107</v>
      </c>
      <c r="K56" s="39">
        <f>SUM(T52:T58)</f>
        <v>6467.69</v>
      </c>
      <c r="L56" s="41"/>
    </row>
    <row r="57" spans="1:26" ht="14.25" x14ac:dyDescent="0.2">
      <c r="A57" s="51"/>
      <c r="B57" s="51"/>
      <c r="C57" s="51" t="s">
        <v>388</v>
      </c>
      <c r="D57" s="38" t="s">
        <v>387</v>
      </c>
      <c r="E57" s="10">
        <f>Source!CA26</f>
        <v>69</v>
      </c>
      <c r="F57" s="53"/>
      <c r="G57" s="40"/>
      <c r="H57" s="39">
        <f>SUM(U52:U58)</f>
        <v>122.31</v>
      </c>
      <c r="I57" s="43"/>
      <c r="J57" s="37">
        <f>Source!AU26</f>
        <v>69</v>
      </c>
      <c r="K57" s="39">
        <f>SUM(V52:V58)</f>
        <v>4170.75</v>
      </c>
      <c r="L57" s="41"/>
    </row>
    <row r="58" spans="1:26" ht="14.25" x14ac:dyDescent="0.2">
      <c r="A58" s="52"/>
      <c r="B58" s="52"/>
      <c r="C58" s="52" t="s">
        <v>389</v>
      </c>
      <c r="D58" s="44" t="s">
        <v>390</v>
      </c>
      <c r="E58" s="45">
        <f>Source!AQ26</f>
        <v>2.67</v>
      </c>
      <c r="F58" s="46"/>
      <c r="G58" s="47" t="str">
        <f>Source!DI26</f>
        <v>)*1,15)*15</v>
      </c>
      <c r="H58" s="46"/>
      <c r="I58" s="47"/>
      <c r="J58" s="47"/>
      <c r="K58" s="46"/>
      <c r="L58" s="48">
        <f>Source!U26</f>
        <v>18.422999999999998</v>
      </c>
    </row>
    <row r="59" spans="1:26" ht="15" x14ac:dyDescent="0.25">
      <c r="G59" s="70">
        <f>H53+H54+H55+H56+H57</f>
        <v>2292.04</v>
      </c>
      <c r="H59" s="70"/>
      <c r="J59" s="70">
        <f>K53+K54+K55+K56+K57</f>
        <v>37036.86</v>
      </c>
      <c r="K59" s="70"/>
      <c r="L59" s="49">
        <f>Source!U26</f>
        <v>18.422999999999998</v>
      </c>
      <c r="O59" s="31">
        <f>G59</f>
        <v>2292.04</v>
      </c>
      <c r="P59" s="31">
        <f>J59</f>
        <v>37036.86</v>
      </c>
      <c r="Q59" s="31">
        <f>L59</f>
        <v>18.422999999999998</v>
      </c>
      <c r="W59">
        <f>IF(Source!BI26&lt;=1,H53+H54+H55+H56+H57, 0)</f>
        <v>2292.04</v>
      </c>
      <c r="X59">
        <f>IF(Source!BI26=2,H53+H54+H55+H56+H57, 0)</f>
        <v>0</v>
      </c>
      <c r="Y59">
        <f>IF(Source!BI26=3,H53+H54+H55+H56+H57, 0)</f>
        <v>0</v>
      </c>
      <c r="Z59">
        <f>IF(Source!BI26=4,H53+H54+H55+H56+H57, 0)</f>
        <v>0</v>
      </c>
    </row>
    <row r="60" spans="1:26" ht="28.5" x14ac:dyDescent="0.2">
      <c r="A60" s="51">
        <v>4</v>
      </c>
      <c r="B60" s="51" t="str">
        <f>Source!F27</f>
        <v>27-03-008-05</v>
      </c>
      <c r="C60" s="51" t="str">
        <f>Source!G27</f>
        <v>Разборка покрытий и оснований: цементно-бетонных</v>
      </c>
      <c r="D60" s="38" t="str">
        <f>Source!H27</f>
        <v>100 м3</v>
      </c>
      <c r="E60" s="10">
        <f>Source!I27</f>
        <v>0.4</v>
      </c>
      <c r="F60" s="39">
        <f>Source!AL27+Source!AM27+Source!AO27</f>
        <v>1766.29</v>
      </c>
      <c r="G60" s="40"/>
      <c r="H60" s="39"/>
      <c r="I60" s="40" t="str">
        <f>Source!BO27</f>
        <v/>
      </c>
      <c r="J60" s="40"/>
      <c r="K60" s="39"/>
      <c r="L60" s="41"/>
      <c r="S60">
        <f>ROUND((Source!FX27/100)*((ROUND(Source!AF27*Source!I27, 2)+ROUND(Source!AE27*Source!I27, 2))), 2)</f>
        <v>416.32</v>
      </c>
      <c r="T60">
        <f>Source!X27</f>
        <v>14196.77</v>
      </c>
      <c r="U60">
        <f>ROUND((Source!FY27/100)*((ROUND(Source!AF27*Source!I27, 2)+ROUND(Source!AE27*Source!I27, 2))), 2)</f>
        <v>379.5</v>
      </c>
      <c r="V60">
        <f>Source!Y27</f>
        <v>12941.28</v>
      </c>
    </row>
    <row r="61" spans="1:26" ht="14.25" x14ac:dyDescent="0.2">
      <c r="A61" s="51"/>
      <c r="B61" s="51"/>
      <c r="C61" s="51" t="s">
        <v>383</v>
      </c>
      <c r="D61" s="38"/>
      <c r="E61" s="10"/>
      <c r="F61" s="39">
        <f>Source!AO27</f>
        <v>447.88</v>
      </c>
      <c r="G61" s="40" t="str">
        <f>Source!DG27</f>
        <v>)*1,15</v>
      </c>
      <c r="H61" s="39">
        <f>ROUND(Source!AF27*Source!I27, 2)</f>
        <v>206.02</v>
      </c>
      <c r="I61" s="40"/>
      <c r="J61" s="40">
        <f>IF(Source!BA27&lt;&gt; 0, Source!BA27, 1)</f>
        <v>34.1</v>
      </c>
      <c r="K61" s="39">
        <f>Source!S27</f>
        <v>7025.42</v>
      </c>
      <c r="L61" s="41"/>
      <c r="R61">
        <f>H61</f>
        <v>206.02</v>
      </c>
    </row>
    <row r="62" spans="1:26" ht="14.25" x14ac:dyDescent="0.2">
      <c r="A62" s="51"/>
      <c r="B62" s="51"/>
      <c r="C62" s="51" t="s">
        <v>144</v>
      </c>
      <c r="D62" s="38"/>
      <c r="E62" s="10"/>
      <c r="F62" s="39">
        <f>Source!AM27</f>
        <v>1318.41</v>
      </c>
      <c r="G62" s="40" t="str">
        <f>Source!DE27</f>
        <v>)*1,15</v>
      </c>
      <c r="H62" s="39">
        <f>ROUND(((((Source!ET27*1.15))-((Source!EU27*1.15)))+Source!AE27)*Source!I27, 2)</f>
        <v>606.47</v>
      </c>
      <c r="I62" s="40"/>
      <c r="J62" s="40">
        <f>IF(Source!BB27&lt;&gt; 0, Source!BB27, 1)</f>
        <v>12.65</v>
      </c>
      <c r="K62" s="39">
        <f>Source!Q27</f>
        <v>7671.81</v>
      </c>
      <c r="L62" s="41"/>
    </row>
    <row r="63" spans="1:26" ht="14.25" x14ac:dyDescent="0.2">
      <c r="A63" s="51"/>
      <c r="B63" s="51"/>
      <c r="C63" s="51" t="s">
        <v>384</v>
      </c>
      <c r="D63" s="38"/>
      <c r="E63" s="10"/>
      <c r="F63" s="39">
        <f>Source!AN27</f>
        <v>167.81</v>
      </c>
      <c r="G63" s="40" t="str">
        <f>Source!DF27</f>
        <v>)*1,15</v>
      </c>
      <c r="H63" s="42">
        <f>ROUND(Source!AE27*Source!I27, 2)</f>
        <v>77.19</v>
      </c>
      <c r="I63" s="40"/>
      <c r="J63" s="40">
        <f>IF(Source!BS27&lt;&gt; 0, Source!BS27, 1)</f>
        <v>34.1</v>
      </c>
      <c r="K63" s="42">
        <f>Source!R27</f>
        <v>2632.25</v>
      </c>
      <c r="L63" s="41"/>
      <c r="R63">
        <f>H63</f>
        <v>77.19</v>
      </c>
    </row>
    <row r="64" spans="1:26" ht="14.25" x14ac:dyDescent="0.2">
      <c r="A64" s="51"/>
      <c r="B64" s="51"/>
      <c r="C64" s="51" t="s">
        <v>386</v>
      </c>
      <c r="D64" s="38" t="s">
        <v>387</v>
      </c>
      <c r="E64" s="10">
        <f>Source!BZ27</f>
        <v>147</v>
      </c>
      <c r="F64" s="53"/>
      <c r="G64" s="40"/>
      <c r="H64" s="39">
        <f>SUM(S60:S66)</f>
        <v>416.32</v>
      </c>
      <c r="I64" s="43"/>
      <c r="J64" s="37">
        <f>Source!AT27</f>
        <v>147</v>
      </c>
      <c r="K64" s="39">
        <f>SUM(T60:T66)</f>
        <v>14196.77</v>
      </c>
      <c r="L64" s="41"/>
    </row>
    <row r="65" spans="1:26" ht="14.25" x14ac:dyDescent="0.2">
      <c r="A65" s="51"/>
      <c r="B65" s="51"/>
      <c r="C65" s="51" t="s">
        <v>388</v>
      </c>
      <c r="D65" s="38" t="s">
        <v>387</v>
      </c>
      <c r="E65" s="10">
        <f>Source!CA27</f>
        <v>134</v>
      </c>
      <c r="F65" s="53"/>
      <c r="G65" s="40"/>
      <c r="H65" s="39">
        <f>SUM(U60:U66)</f>
        <v>379.5</v>
      </c>
      <c r="I65" s="43"/>
      <c r="J65" s="37">
        <f>Source!AU27</f>
        <v>134</v>
      </c>
      <c r="K65" s="39">
        <f>SUM(V60:V66)</f>
        <v>12941.28</v>
      </c>
      <c r="L65" s="41"/>
    </row>
    <row r="66" spans="1:26" ht="14.25" x14ac:dyDescent="0.2">
      <c r="A66" s="52"/>
      <c r="B66" s="52"/>
      <c r="C66" s="52" t="s">
        <v>389</v>
      </c>
      <c r="D66" s="44" t="s">
        <v>390</v>
      </c>
      <c r="E66" s="45">
        <f>Source!AQ27</f>
        <v>57.42</v>
      </c>
      <c r="F66" s="46"/>
      <c r="G66" s="47" t="str">
        <f>Source!DI27</f>
        <v>)*1,15</v>
      </c>
      <c r="H66" s="46"/>
      <c r="I66" s="47"/>
      <c r="J66" s="47"/>
      <c r="K66" s="46"/>
      <c r="L66" s="48">
        <f>Source!U27</f>
        <v>26.413200000000003</v>
      </c>
    </row>
    <row r="67" spans="1:26" ht="15" x14ac:dyDescent="0.25">
      <c r="G67" s="70">
        <f>H61+H62+H64+H65</f>
        <v>1608.31</v>
      </c>
      <c r="H67" s="70"/>
      <c r="J67" s="70">
        <f>K61+K62+K64+K65</f>
        <v>41835.279999999999</v>
      </c>
      <c r="K67" s="70"/>
      <c r="L67" s="49">
        <f>Source!U27</f>
        <v>26.413200000000003</v>
      </c>
      <c r="O67" s="31">
        <f>G67</f>
        <v>1608.31</v>
      </c>
      <c r="P67" s="31">
        <f>J67</f>
        <v>41835.279999999999</v>
      </c>
      <c r="Q67" s="31">
        <f>L67</f>
        <v>26.413200000000003</v>
      </c>
      <c r="W67">
        <f>IF(Source!BI27&lt;=1,H61+H62+H64+H65, 0)</f>
        <v>1608.31</v>
      </c>
      <c r="X67">
        <f>IF(Source!BI27=2,H61+H62+H64+H65, 0)</f>
        <v>0</v>
      </c>
      <c r="Y67">
        <f>IF(Source!BI27=3,H61+H62+H64+H65, 0)</f>
        <v>0</v>
      </c>
      <c r="Z67">
        <f>IF(Source!BI27=4,H61+H62+H64+H65, 0)</f>
        <v>0</v>
      </c>
    </row>
    <row r="68" spans="1:26" ht="42.75" x14ac:dyDescent="0.2">
      <c r="A68" s="52">
        <v>5</v>
      </c>
      <c r="B68" s="52" t="str">
        <f>Source!F28</f>
        <v>т01-01-01-041</v>
      </c>
      <c r="C68" s="52" t="str">
        <f>Source!G28</f>
        <v>Погрузка при автомобильных перевозках мусора строительного с погрузкой вручную</v>
      </c>
      <c r="D68" s="44" t="str">
        <f>Source!H28</f>
        <v>1 т груза</v>
      </c>
      <c r="E68" s="45">
        <f>Source!I28</f>
        <v>9.6</v>
      </c>
      <c r="F68" s="46">
        <f>Source!AK28</f>
        <v>42.98</v>
      </c>
      <c r="G68" s="47" t="str">
        <f>Source!DC28</f>
        <v/>
      </c>
      <c r="H68" s="46">
        <f>ROUND(Source!AB28*Source!I28, 2)</f>
        <v>412.61</v>
      </c>
      <c r="I68" s="47" t="str">
        <f>Source!BO28</f>
        <v/>
      </c>
      <c r="J68" s="47">
        <f>Source!AZ28</f>
        <v>13.47</v>
      </c>
      <c r="K68" s="46">
        <f>Source!GM28</f>
        <v>5557.83</v>
      </c>
      <c r="L68" s="50"/>
      <c r="S68">
        <f>ROUND((Source!FX28/100)*((ROUND(0*Source!I28, 2)+ROUND(0*Source!I28, 2))), 2)</f>
        <v>0</v>
      </c>
      <c r="T68">
        <f>Source!X28</f>
        <v>0</v>
      </c>
      <c r="U68">
        <f>ROUND((Source!FY28/100)*((ROUND(0*Source!I28, 2)+ROUND(0*Source!I28, 2))), 2)</f>
        <v>0</v>
      </c>
      <c r="V68">
        <f>Source!Y28</f>
        <v>0</v>
      </c>
    </row>
    <row r="69" spans="1:26" ht="15" x14ac:dyDescent="0.25">
      <c r="G69" s="70">
        <f>H68</f>
        <v>412.61</v>
      </c>
      <c r="H69" s="70"/>
      <c r="J69" s="70">
        <f>K68</f>
        <v>5557.83</v>
      </c>
      <c r="K69" s="70"/>
      <c r="L69" s="49">
        <f>Source!U28</f>
        <v>0</v>
      </c>
      <c r="O69" s="31">
        <f>G69</f>
        <v>412.61</v>
      </c>
      <c r="P69" s="31">
        <f>J69</f>
        <v>5557.83</v>
      </c>
      <c r="Q69" s="31">
        <f>L69</f>
        <v>0</v>
      </c>
      <c r="W69">
        <f>IF(Source!BI28&lt;=1,H68, 0)</f>
        <v>412.61</v>
      </c>
      <c r="X69">
        <f>IF(Source!BI28=2,H68, 0)</f>
        <v>0</v>
      </c>
      <c r="Y69">
        <f>IF(Source!BI28=3,H68, 0)</f>
        <v>0</v>
      </c>
      <c r="Z69">
        <f>IF(Source!BI28=4,H68, 0)</f>
        <v>0</v>
      </c>
    </row>
    <row r="70" spans="1:26" ht="57" x14ac:dyDescent="0.2">
      <c r="A70" s="52">
        <v>6</v>
      </c>
      <c r="B70" s="52" t="str">
        <f>Source!F29</f>
        <v>т01-01-01-043</v>
      </c>
      <c r="C70" s="52" t="str">
        <f>Source!G29</f>
        <v>Погрузка при автомобильных перевозках мусора строительного с погрузкой экскаваторами емкостью ковша до 0,5 м3</v>
      </c>
      <c r="D70" s="44" t="str">
        <f>Source!H29</f>
        <v>1 т груза</v>
      </c>
      <c r="E70" s="45">
        <f>Source!I29</f>
        <v>86.4</v>
      </c>
      <c r="F70" s="46">
        <f>Source!AK29</f>
        <v>3.28</v>
      </c>
      <c r="G70" s="47" t="str">
        <f>Source!DC29</f>
        <v/>
      </c>
      <c r="H70" s="46">
        <f>ROUND(Source!AB29*Source!I29, 2)</f>
        <v>283.39</v>
      </c>
      <c r="I70" s="47" t="str">
        <f>Source!BO29</f>
        <v/>
      </c>
      <c r="J70" s="47">
        <f>Source!AZ29</f>
        <v>13.47</v>
      </c>
      <c r="K70" s="46">
        <f>Source!GM29</f>
        <v>3817.29</v>
      </c>
      <c r="L70" s="50"/>
      <c r="S70">
        <f>ROUND((Source!FX29/100)*((ROUND(0*Source!I29, 2)+ROUND(0*Source!I29, 2))), 2)</f>
        <v>0</v>
      </c>
      <c r="T70">
        <f>Source!X29</f>
        <v>0</v>
      </c>
      <c r="U70">
        <f>ROUND((Source!FY29/100)*((ROUND(0*Source!I29, 2)+ROUND(0*Source!I29, 2))), 2)</f>
        <v>0</v>
      </c>
      <c r="V70">
        <f>Source!Y29</f>
        <v>0</v>
      </c>
    </row>
    <row r="71" spans="1:26" ht="15" x14ac:dyDescent="0.25">
      <c r="G71" s="70">
        <f>H70</f>
        <v>283.39</v>
      </c>
      <c r="H71" s="70"/>
      <c r="J71" s="70">
        <f>K70</f>
        <v>3817.29</v>
      </c>
      <c r="K71" s="70"/>
      <c r="L71" s="49">
        <f>Source!U29</f>
        <v>0</v>
      </c>
      <c r="O71" s="31">
        <f>G71</f>
        <v>283.39</v>
      </c>
      <c r="P71" s="31">
        <f>J71</f>
        <v>3817.29</v>
      </c>
      <c r="Q71" s="31">
        <f>L71</f>
        <v>0</v>
      </c>
      <c r="W71">
        <f>IF(Source!BI29&lt;=1,H70, 0)</f>
        <v>283.39</v>
      </c>
      <c r="X71">
        <f>IF(Source!BI29=2,H70, 0)</f>
        <v>0</v>
      </c>
      <c r="Y71">
        <f>IF(Source!BI29=3,H70, 0)</f>
        <v>0</v>
      </c>
      <c r="Z71">
        <f>IF(Source!BI29=4,H70, 0)</f>
        <v>0</v>
      </c>
    </row>
    <row r="72" spans="1:26" ht="57" x14ac:dyDescent="0.2">
      <c r="A72" s="52">
        <v>7</v>
      </c>
      <c r="B72" s="52" t="str">
        <f>Source!F30</f>
        <v>т03-21-01-070</v>
      </c>
      <c r="C72" s="52" t="str">
        <f>Source!G30</f>
        <v>Перевозка грузов I класса автомобилями-самосвалами грузоподъемностью 10 т работающих вне карьера на расстояние до 70 км</v>
      </c>
      <c r="D72" s="44" t="str">
        <f>Source!H30</f>
        <v>1 т груза</v>
      </c>
      <c r="E72" s="45">
        <f>Source!I30</f>
        <v>321.36</v>
      </c>
      <c r="F72" s="46">
        <f>Source!AK30</f>
        <v>35.03</v>
      </c>
      <c r="G72" s="47" t="str">
        <f>Source!DC30</f>
        <v/>
      </c>
      <c r="H72" s="46">
        <f>ROUND(Source!AB30*Source!I30, 2)</f>
        <v>11257.24</v>
      </c>
      <c r="I72" s="47" t="str">
        <f>Source!BO30</f>
        <v/>
      </c>
      <c r="J72" s="47">
        <f>Source!AZ30</f>
        <v>13.47</v>
      </c>
      <c r="K72" s="46">
        <f>Source!GM30</f>
        <v>151635.03</v>
      </c>
      <c r="L72" s="50"/>
      <c r="S72">
        <f>ROUND((Source!FX30/100)*((ROUND(0*Source!I30, 2)+ROUND(0*Source!I30, 2))), 2)</f>
        <v>0</v>
      </c>
      <c r="T72">
        <f>Source!X30</f>
        <v>0</v>
      </c>
      <c r="U72">
        <f>ROUND((Source!FY30/100)*((ROUND(0*Source!I30, 2)+ROUND(0*Source!I30, 2))), 2)</f>
        <v>0</v>
      </c>
      <c r="V72">
        <f>Source!Y30</f>
        <v>0</v>
      </c>
    </row>
    <row r="73" spans="1:26" ht="15" x14ac:dyDescent="0.25">
      <c r="G73" s="70">
        <f>H72</f>
        <v>11257.24</v>
      </c>
      <c r="H73" s="70"/>
      <c r="J73" s="70">
        <f>K72</f>
        <v>151635.03</v>
      </c>
      <c r="K73" s="70"/>
      <c r="L73" s="49">
        <f>Source!U30</f>
        <v>0</v>
      </c>
      <c r="O73" s="31">
        <f>G73</f>
        <v>11257.24</v>
      </c>
      <c r="P73" s="31">
        <f>J73</f>
        <v>151635.03</v>
      </c>
      <c r="Q73" s="31">
        <f>L73</f>
        <v>0</v>
      </c>
      <c r="W73">
        <f>IF(Source!BI30&lt;=1,H72, 0)</f>
        <v>11257.24</v>
      </c>
      <c r="X73">
        <f>IF(Source!BI30=2,H72, 0)</f>
        <v>0</v>
      </c>
      <c r="Y73">
        <f>IF(Source!BI30=3,H72, 0)</f>
        <v>0</v>
      </c>
      <c r="Z73">
        <f>IF(Source!BI30=4,H72, 0)</f>
        <v>0</v>
      </c>
    </row>
    <row r="74" spans="1:26" ht="28.5" x14ac:dyDescent="0.2">
      <c r="A74" s="52">
        <v>8</v>
      </c>
      <c r="B74" s="52" t="str">
        <f>Source!F31</f>
        <v>Договорная цена</v>
      </c>
      <c r="C74" s="52" t="s">
        <v>391</v>
      </c>
      <c r="D74" s="44" t="str">
        <f>Source!H31</f>
        <v>м3</v>
      </c>
      <c r="E74" s="45">
        <f>Source!I31</f>
        <v>133.9</v>
      </c>
      <c r="F74" s="46">
        <f>Source!AL31</f>
        <v>57.28</v>
      </c>
      <c r="G74" s="47" t="str">
        <f>Source!DD31</f>
        <v/>
      </c>
      <c r="H74" s="46">
        <f>ROUND(Source!AC31*Source!I31, 2)</f>
        <v>7669.79</v>
      </c>
      <c r="I74" s="47" t="str">
        <f>Source!BO31</f>
        <v/>
      </c>
      <c r="J74" s="47">
        <f>IF(Source!BC31&lt;&gt; 0, Source!BC31, 1)</f>
        <v>9.0500000000000007</v>
      </c>
      <c r="K74" s="46">
        <f>Source!P31</f>
        <v>69411.62</v>
      </c>
      <c r="L74" s="50"/>
      <c r="S74">
        <f>ROUND((Source!FX31/100)*((ROUND(Source!AF31*Source!I31, 2)+ROUND(Source!AE31*Source!I31, 2))), 2)</f>
        <v>0</v>
      </c>
      <c r="T74">
        <f>Source!X31</f>
        <v>0</v>
      </c>
      <c r="U74">
        <f>ROUND((Source!FY31/100)*((ROUND(Source!AF31*Source!I31, 2)+ROUND(Source!AE31*Source!I31, 2))), 2)</f>
        <v>0</v>
      </c>
      <c r="V74">
        <f>Source!Y31</f>
        <v>0</v>
      </c>
    </row>
    <row r="75" spans="1:26" ht="15" x14ac:dyDescent="0.25">
      <c r="G75" s="70">
        <f>H74</f>
        <v>7669.79</v>
      </c>
      <c r="H75" s="70"/>
      <c r="J75" s="70">
        <f>K74</f>
        <v>69411.62</v>
      </c>
      <c r="K75" s="70"/>
      <c r="L75" s="49">
        <f>Source!U31</f>
        <v>0</v>
      </c>
      <c r="O75" s="31">
        <f>G75</f>
        <v>7669.79</v>
      </c>
      <c r="P75" s="31">
        <f>J75</f>
        <v>69411.62</v>
      </c>
      <c r="Q75" s="31">
        <f>L75</f>
        <v>0</v>
      </c>
      <c r="W75">
        <f>IF(Source!BI31&lt;=1,H74, 0)</f>
        <v>7669.79</v>
      </c>
      <c r="X75">
        <f>IF(Source!BI31=2,H74, 0)</f>
        <v>0</v>
      </c>
      <c r="Y75">
        <f>IF(Source!BI31=3,H74, 0)</f>
        <v>0</v>
      </c>
      <c r="Z75">
        <f>IF(Source!BI31=4,H74, 0)</f>
        <v>0</v>
      </c>
    </row>
    <row r="76" spans="1:26" ht="71.25" x14ac:dyDescent="0.2">
      <c r="A76" s="51">
        <v>9</v>
      </c>
      <c r="B76" s="51" t="str">
        <f>Source!F32</f>
        <v>01-01-003-08</v>
      </c>
      <c r="C76" s="51" t="str">
        <f>Source!G32</f>
        <v>Разработка грунта в отвал экскаваторами "драглайн" или "обратная лопата" с ковшом вместимостью: 0,65 (0,5-1) м3, группа грунтов 2</v>
      </c>
      <c r="D76" s="38" t="str">
        <f>Source!H32</f>
        <v>1000 м3</v>
      </c>
      <c r="E76" s="10">
        <f>Source!I32</f>
        <v>4.48E-2</v>
      </c>
      <c r="F76" s="39">
        <f>Source!AL32+Source!AM32+Source!AO32</f>
        <v>2293.9700000000003</v>
      </c>
      <c r="G76" s="40"/>
      <c r="H76" s="39"/>
      <c r="I76" s="40" t="str">
        <f>Source!BO32</f>
        <v/>
      </c>
      <c r="J76" s="40"/>
      <c r="K76" s="39"/>
      <c r="L76" s="41"/>
      <c r="S76">
        <f>ROUND((Source!FX32/100)*((ROUND(Source!AF32*Source!I32, 2)+ROUND(Source!AE32*Source!I32, 2))), 2)</f>
        <v>19.21</v>
      </c>
      <c r="T76">
        <f>Source!X32</f>
        <v>655.15</v>
      </c>
      <c r="U76">
        <f>ROUND((Source!FY32/100)*((ROUND(Source!AF32*Source!I32, 2)+ROUND(Source!AE32*Source!I32, 2))), 2)</f>
        <v>8.16</v>
      </c>
      <c r="V76">
        <f>Source!Y32</f>
        <v>278.44</v>
      </c>
    </row>
    <row r="77" spans="1:26" ht="14.25" x14ac:dyDescent="0.2">
      <c r="A77" s="51"/>
      <c r="B77" s="51"/>
      <c r="C77" s="51" t="s">
        <v>383</v>
      </c>
      <c r="D77" s="38"/>
      <c r="E77" s="10"/>
      <c r="F77" s="39">
        <f>Source!AO32</f>
        <v>69.260000000000005</v>
      </c>
      <c r="G77" s="40" t="str">
        <f>Source!DG32</f>
        <v>)*1,15)*1,15</v>
      </c>
      <c r="H77" s="39">
        <f>ROUND(Source!AF32*Source!I32, 2)</f>
        <v>4.0999999999999996</v>
      </c>
      <c r="I77" s="40"/>
      <c r="J77" s="40">
        <f>IF(Source!BA32&lt;&gt; 0, Source!BA32, 1)</f>
        <v>34.1</v>
      </c>
      <c r="K77" s="39">
        <f>Source!S32</f>
        <v>139.94</v>
      </c>
      <c r="L77" s="41"/>
      <c r="R77">
        <f>H77</f>
        <v>4.0999999999999996</v>
      </c>
    </row>
    <row r="78" spans="1:26" ht="14.25" x14ac:dyDescent="0.2">
      <c r="A78" s="51"/>
      <c r="B78" s="51"/>
      <c r="C78" s="51" t="s">
        <v>144</v>
      </c>
      <c r="D78" s="38"/>
      <c r="E78" s="10"/>
      <c r="F78" s="39">
        <f>Source!AM32</f>
        <v>2224.71</v>
      </c>
      <c r="G78" s="40" t="str">
        <f>Source!DE32</f>
        <v>)*1,25)*1,15</v>
      </c>
      <c r="H78" s="39">
        <f>ROUND((((((Source!ET32*1.25)*1.15))-(((Source!EU32*1.25)*1.15)))+Source!AE32)*Source!I32, 2)</f>
        <v>143.27000000000001</v>
      </c>
      <c r="I78" s="40"/>
      <c r="J78" s="40">
        <f>IF(Source!BB32&lt;&gt; 0, Source!BB32, 1)</f>
        <v>12.65</v>
      </c>
      <c r="K78" s="39">
        <f>Source!Q32</f>
        <v>1812.38</v>
      </c>
      <c r="L78" s="41"/>
    </row>
    <row r="79" spans="1:26" ht="14.25" x14ac:dyDescent="0.2">
      <c r="A79" s="51"/>
      <c r="B79" s="51"/>
      <c r="C79" s="51" t="s">
        <v>384</v>
      </c>
      <c r="D79" s="38"/>
      <c r="E79" s="10"/>
      <c r="F79" s="39">
        <f>Source!AN32</f>
        <v>260.55</v>
      </c>
      <c r="G79" s="40" t="str">
        <f>Source!DF32</f>
        <v>)*1,25)*1,15</v>
      </c>
      <c r="H79" s="42">
        <f>ROUND(Source!AE32*Source!I32, 2)</f>
        <v>16.78</v>
      </c>
      <c r="I79" s="40"/>
      <c r="J79" s="40">
        <f>IF(Source!BS32&lt;&gt; 0, Source!BS32, 1)</f>
        <v>34.1</v>
      </c>
      <c r="K79" s="42">
        <f>Source!R32</f>
        <v>572.17999999999995</v>
      </c>
      <c r="L79" s="41"/>
      <c r="R79">
        <f>H79</f>
        <v>16.78</v>
      </c>
    </row>
    <row r="80" spans="1:26" ht="14.25" x14ac:dyDescent="0.2">
      <c r="A80" s="51"/>
      <c r="B80" s="51"/>
      <c r="C80" s="51" t="s">
        <v>386</v>
      </c>
      <c r="D80" s="38" t="s">
        <v>387</v>
      </c>
      <c r="E80" s="10">
        <f>Source!BZ32</f>
        <v>92</v>
      </c>
      <c r="F80" s="53"/>
      <c r="G80" s="40"/>
      <c r="H80" s="39">
        <f>SUM(S76:S82)</f>
        <v>19.21</v>
      </c>
      <c r="I80" s="43"/>
      <c r="J80" s="37">
        <f>Source!AT32</f>
        <v>92</v>
      </c>
      <c r="K80" s="39">
        <f>SUM(T76:T82)</f>
        <v>655.15</v>
      </c>
      <c r="L80" s="41"/>
    </row>
    <row r="81" spans="1:26" ht="14.25" x14ac:dyDescent="0.2">
      <c r="A81" s="51"/>
      <c r="B81" s="51"/>
      <c r="C81" s="51" t="s">
        <v>388</v>
      </c>
      <c r="D81" s="38" t="s">
        <v>387</v>
      </c>
      <c r="E81" s="10">
        <f>Source!CA32</f>
        <v>46</v>
      </c>
      <c r="F81" s="55" t="str">
        <f>CONCATENATE(" )", Source!DM32, Source!FU32, "=", Source!FY32)</f>
        <v xml:space="preserve"> ))*0,85=39,1</v>
      </c>
      <c r="G81" s="69"/>
      <c r="H81" s="39">
        <f>SUM(U76:U82)</f>
        <v>8.16</v>
      </c>
      <c r="I81" s="43"/>
      <c r="J81" s="37">
        <f>Source!AU32</f>
        <v>39.1</v>
      </c>
      <c r="K81" s="39">
        <f>SUM(V76:V82)</f>
        <v>278.44</v>
      </c>
      <c r="L81" s="41"/>
    </row>
    <row r="82" spans="1:26" ht="14.25" x14ac:dyDescent="0.2">
      <c r="A82" s="52"/>
      <c r="B82" s="52"/>
      <c r="C82" s="52" t="s">
        <v>389</v>
      </c>
      <c r="D82" s="44" t="s">
        <v>390</v>
      </c>
      <c r="E82" s="45">
        <f>Source!AQ32</f>
        <v>8.8800000000000008</v>
      </c>
      <c r="F82" s="46"/>
      <c r="G82" s="47" t="str">
        <f>Source!DI32</f>
        <v>)*1,15)*1,15</v>
      </c>
      <c r="H82" s="46"/>
      <c r="I82" s="47"/>
      <c r="J82" s="47"/>
      <c r="K82" s="46"/>
      <c r="L82" s="48">
        <f>Source!U32</f>
        <v>0.52612223999999996</v>
      </c>
    </row>
    <row r="83" spans="1:26" ht="15" x14ac:dyDescent="0.25">
      <c r="G83" s="70">
        <f>H77+H78+H80+H81</f>
        <v>174.74</v>
      </c>
      <c r="H83" s="70"/>
      <c r="J83" s="70">
        <f>K77+K78+K80+K81</f>
        <v>2885.9100000000003</v>
      </c>
      <c r="K83" s="70"/>
      <c r="L83" s="49">
        <f>Source!U32</f>
        <v>0.52612223999999996</v>
      </c>
      <c r="O83" s="31">
        <f>G83</f>
        <v>174.74</v>
      </c>
      <c r="P83" s="31">
        <f>J83</f>
        <v>2885.9100000000003</v>
      </c>
      <c r="Q83" s="31">
        <f>L83</f>
        <v>0.52612223999999996</v>
      </c>
      <c r="W83">
        <f>IF(Source!BI32&lt;=1,H77+H78+H80+H81, 0)</f>
        <v>174.74</v>
      </c>
      <c r="X83">
        <f>IF(Source!BI32=2,H77+H78+H80+H81, 0)</f>
        <v>0</v>
      </c>
      <c r="Y83">
        <f>IF(Source!BI32=3,H77+H78+H80+H81, 0)</f>
        <v>0</v>
      </c>
      <c r="Z83">
        <f>IF(Source!BI32=4,H77+H78+H80+H81, 0)</f>
        <v>0</v>
      </c>
    </row>
    <row r="84" spans="1:26" ht="42.75" x14ac:dyDescent="0.2">
      <c r="A84" s="51">
        <v>10</v>
      </c>
      <c r="B84" s="51" t="str">
        <f>Source!F33</f>
        <v>27-04-001-01</v>
      </c>
      <c r="C84" s="51" t="str">
        <f>Source!G33</f>
        <v>Устройство подстилающих и выравнивающих слоев оснований: из песка</v>
      </c>
      <c r="D84" s="38" t="str">
        <f>Source!H33</f>
        <v>100 м3</v>
      </c>
      <c r="E84" s="10">
        <f>Source!I33</f>
        <v>0.432</v>
      </c>
      <c r="F84" s="39">
        <f>Source!AL33+Source!AM33+Source!AO33</f>
        <v>3390.4799999999996</v>
      </c>
      <c r="G84" s="40"/>
      <c r="H84" s="39"/>
      <c r="I84" s="40" t="str">
        <f>Source!BO33</f>
        <v/>
      </c>
      <c r="J84" s="40"/>
      <c r="K84" s="39"/>
      <c r="L84" s="41"/>
      <c r="S84">
        <f>ROUND((Source!FX33/100)*((ROUND(Source!AF33*Source!I33, 2)+ROUND(Source!AE33*Source!I33, 2))), 2)</f>
        <v>253.3</v>
      </c>
      <c r="T84">
        <f>Source!X33</f>
        <v>8637.4699999999993</v>
      </c>
      <c r="U84">
        <f>ROUND((Source!FY33/100)*((ROUND(Source!AF33*Source!I33, 2)+ROUND(Source!AE33*Source!I33, 2))), 2)</f>
        <v>196.26</v>
      </c>
      <c r="V84">
        <f>Source!Y33</f>
        <v>6692.57</v>
      </c>
    </row>
    <row r="85" spans="1:26" ht="14.25" x14ac:dyDescent="0.2">
      <c r="A85" s="51"/>
      <c r="B85" s="51"/>
      <c r="C85" s="51" t="s">
        <v>383</v>
      </c>
      <c r="D85" s="38"/>
      <c r="E85" s="10"/>
      <c r="F85" s="39">
        <f>Source!AO33</f>
        <v>115.49</v>
      </c>
      <c r="G85" s="40" t="str">
        <f>Source!DG33</f>
        <v>)*1,15)*1,15</v>
      </c>
      <c r="H85" s="39">
        <f>ROUND(Source!AF33*Source!I33, 2)</f>
        <v>65.98</v>
      </c>
      <c r="I85" s="40"/>
      <c r="J85" s="40">
        <f>IF(Source!BA33&lt;&gt; 0, Source!BA33, 1)</f>
        <v>34.1</v>
      </c>
      <c r="K85" s="39">
        <f>Source!S33</f>
        <v>2250.04</v>
      </c>
      <c r="L85" s="41"/>
      <c r="R85">
        <f>H85</f>
        <v>65.98</v>
      </c>
    </row>
    <row r="86" spans="1:26" ht="14.25" x14ac:dyDescent="0.2">
      <c r="A86" s="51"/>
      <c r="B86" s="51"/>
      <c r="C86" s="51" t="s">
        <v>144</v>
      </c>
      <c r="D86" s="38"/>
      <c r="E86" s="10"/>
      <c r="F86" s="39">
        <f>Source!AM33</f>
        <v>3262.79</v>
      </c>
      <c r="G86" s="40" t="str">
        <f>Source!DE33</f>
        <v>)*1,25)*1,15</v>
      </c>
      <c r="H86" s="39">
        <f>ROUND((((((Source!ET33*1.25)*1.15))-(((Source!EU33*1.25)*1.15)))+Source!AE33)*Source!I33, 2)</f>
        <v>2026.19</v>
      </c>
      <c r="I86" s="40"/>
      <c r="J86" s="40">
        <f>IF(Source!BB33&lt;&gt; 0, Source!BB33, 1)</f>
        <v>12.65</v>
      </c>
      <c r="K86" s="39">
        <f>Source!Q33</f>
        <v>25631.35</v>
      </c>
      <c r="L86" s="41"/>
    </row>
    <row r="87" spans="1:26" ht="14.25" x14ac:dyDescent="0.2">
      <c r="A87" s="51"/>
      <c r="B87" s="51"/>
      <c r="C87" s="51" t="s">
        <v>384</v>
      </c>
      <c r="D87" s="38"/>
      <c r="E87" s="10"/>
      <c r="F87" s="39">
        <f>Source!AN33</f>
        <v>171.22</v>
      </c>
      <c r="G87" s="40" t="str">
        <f>Source!DF33</f>
        <v>)*1,25)*1,15</v>
      </c>
      <c r="H87" s="42">
        <f>ROUND(Source!AE33*Source!I33, 2)</f>
        <v>106.33</v>
      </c>
      <c r="I87" s="40"/>
      <c r="J87" s="40">
        <f>IF(Source!BS33&lt;&gt; 0, Source!BS33, 1)</f>
        <v>34.1</v>
      </c>
      <c r="K87" s="42">
        <f>Source!R33</f>
        <v>3625.79</v>
      </c>
      <c r="L87" s="41"/>
      <c r="R87">
        <f>H87</f>
        <v>106.33</v>
      </c>
    </row>
    <row r="88" spans="1:26" ht="14.25" x14ac:dyDescent="0.2">
      <c r="A88" s="51"/>
      <c r="B88" s="51"/>
      <c r="C88" s="51" t="s">
        <v>385</v>
      </c>
      <c r="D88" s="38"/>
      <c r="E88" s="10"/>
      <c r="F88" s="39">
        <f>Source!AL33</f>
        <v>12.2</v>
      </c>
      <c r="G88" s="40" t="str">
        <f>Source!DD33</f>
        <v/>
      </c>
      <c r="H88" s="39">
        <f>ROUND(Source!AC33*Source!I33, 2)</f>
        <v>5.27</v>
      </c>
      <c r="I88" s="40"/>
      <c r="J88" s="40">
        <f>IF(Source!BC33&lt;&gt; 0, Source!BC33, 1)</f>
        <v>9.0500000000000007</v>
      </c>
      <c r="K88" s="39">
        <f>Source!P33</f>
        <v>47.7</v>
      </c>
      <c r="L88" s="41"/>
    </row>
    <row r="89" spans="1:26" ht="14.25" x14ac:dyDescent="0.2">
      <c r="A89" s="51"/>
      <c r="B89" s="51"/>
      <c r="C89" s="51" t="s">
        <v>386</v>
      </c>
      <c r="D89" s="38" t="s">
        <v>387</v>
      </c>
      <c r="E89" s="10">
        <f>Source!BZ33</f>
        <v>147</v>
      </c>
      <c r="F89" s="53"/>
      <c r="G89" s="40"/>
      <c r="H89" s="39">
        <f>SUM(S84:S91)</f>
        <v>253.3</v>
      </c>
      <c r="I89" s="43"/>
      <c r="J89" s="37">
        <f>Source!AT33</f>
        <v>147</v>
      </c>
      <c r="K89" s="39">
        <f>SUM(T84:T91)</f>
        <v>8637.4699999999993</v>
      </c>
      <c r="L89" s="41"/>
    </row>
    <row r="90" spans="1:26" ht="14.25" x14ac:dyDescent="0.2">
      <c r="A90" s="51"/>
      <c r="B90" s="51"/>
      <c r="C90" s="51" t="s">
        <v>388</v>
      </c>
      <c r="D90" s="38" t="s">
        <v>387</v>
      </c>
      <c r="E90" s="10">
        <f>Source!CA33</f>
        <v>134</v>
      </c>
      <c r="F90" s="55" t="str">
        <f>CONCATENATE(" )", Source!DM33, Source!FU33, "=", Source!FY33)</f>
        <v xml:space="preserve"> ))*0,85=113,9</v>
      </c>
      <c r="G90" s="69"/>
      <c r="H90" s="39">
        <f>SUM(U84:U91)</f>
        <v>196.26</v>
      </c>
      <c r="I90" s="43"/>
      <c r="J90" s="37">
        <f>Source!AU33</f>
        <v>113.9</v>
      </c>
      <c r="K90" s="39">
        <f>SUM(V84:V91)</f>
        <v>6692.57</v>
      </c>
      <c r="L90" s="41"/>
    </row>
    <row r="91" spans="1:26" ht="14.25" x14ac:dyDescent="0.2">
      <c r="A91" s="52"/>
      <c r="B91" s="52"/>
      <c r="C91" s="52" t="s">
        <v>389</v>
      </c>
      <c r="D91" s="44" t="s">
        <v>390</v>
      </c>
      <c r="E91" s="45">
        <f>Source!AQ33</f>
        <v>14.4</v>
      </c>
      <c r="F91" s="46"/>
      <c r="G91" s="47" t="str">
        <f>Source!DI33</f>
        <v>)*1,15)*1,15</v>
      </c>
      <c r="H91" s="46"/>
      <c r="I91" s="47"/>
      <c r="J91" s="47"/>
      <c r="K91" s="46"/>
      <c r="L91" s="48">
        <f>Source!U33</f>
        <v>8.2270079999999979</v>
      </c>
    </row>
    <row r="92" spans="1:26" ht="15" x14ac:dyDescent="0.25">
      <c r="G92" s="70">
        <f>H85+H86+H88+H89+H90</f>
        <v>2547</v>
      </c>
      <c r="H92" s="70"/>
      <c r="J92" s="70">
        <f>K85+K86+K88+K89+K90</f>
        <v>43259.13</v>
      </c>
      <c r="K92" s="70"/>
      <c r="L92" s="49">
        <f>Source!U33</f>
        <v>8.2270079999999979</v>
      </c>
      <c r="O92" s="31">
        <f>G92</f>
        <v>2547</v>
      </c>
      <c r="P92" s="31">
        <f>J92</f>
        <v>43259.13</v>
      </c>
      <c r="Q92" s="31">
        <f>L92</f>
        <v>8.2270079999999979</v>
      </c>
      <c r="W92">
        <f>IF(Source!BI33&lt;=1,H85+H86+H88+H89+H90, 0)</f>
        <v>2547</v>
      </c>
      <c r="X92">
        <f>IF(Source!BI33=2,H85+H86+H88+H89+H90, 0)</f>
        <v>0</v>
      </c>
      <c r="Y92">
        <f>IF(Source!BI33=3,H85+H86+H88+H89+H90, 0)</f>
        <v>0</v>
      </c>
      <c r="Z92">
        <f>IF(Source!BI33=4,H85+H86+H88+H89+H90, 0)</f>
        <v>0</v>
      </c>
    </row>
    <row r="93" spans="1:26" ht="42.75" x14ac:dyDescent="0.2">
      <c r="A93" s="52">
        <v>11</v>
      </c>
      <c r="B93" s="52" t="str">
        <f>Source!F34</f>
        <v>Цена Поставщика</v>
      </c>
      <c r="C93" s="52" t="s">
        <v>392</v>
      </c>
      <c r="D93" s="44" t="str">
        <f>Source!H34</f>
        <v>т</v>
      </c>
      <c r="E93" s="45">
        <f>Source!I34</f>
        <v>71.28</v>
      </c>
      <c r="F93" s="46">
        <f>Source!AL34</f>
        <v>90.61</v>
      </c>
      <c r="G93" s="47" t="str">
        <f>Source!DD34</f>
        <v/>
      </c>
      <c r="H93" s="46">
        <f>ROUND(Source!AC34*Source!I34, 2)</f>
        <v>6458.68</v>
      </c>
      <c r="I93" s="47" t="str">
        <f>Source!BO34</f>
        <v/>
      </c>
      <c r="J93" s="47">
        <f>IF(Source!BC34&lt;&gt; 0, Source!BC34, 1)</f>
        <v>9.0500000000000007</v>
      </c>
      <c r="K93" s="46">
        <f>Source!P34</f>
        <v>58451.06</v>
      </c>
      <c r="L93" s="50"/>
      <c r="S93">
        <f>ROUND((Source!FX34/100)*((ROUND(Source!AF34*Source!I34, 2)+ROUND(Source!AE34*Source!I34, 2))), 2)</f>
        <v>0</v>
      </c>
      <c r="T93">
        <f>Source!X34</f>
        <v>0</v>
      </c>
      <c r="U93">
        <f>ROUND((Source!FY34/100)*((ROUND(Source!AF34*Source!I34, 2)+ROUND(Source!AE34*Source!I34, 2))), 2)</f>
        <v>0</v>
      </c>
      <c r="V93">
        <f>Source!Y34</f>
        <v>0</v>
      </c>
    </row>
    <row r="94" spans="1:26" ht="15" x14ac:dyDescent="0.25">
      <c r="G94" s="70">
        <f>H93</f>
        <v>6458.68</v>
      </c>
      <c r="H94" s="70"/>
      <c r="J94" s="70">
        <f>K93</f>
        <v>58451.06</v>
      </c>
      <c r="K94" s="70"/>
      <c r="L94" s="49">
        <f>Source!U34</f>
        <v>0</v>
      </c>
      <c r="O94" s="31">
        <f>G94</f>
        <v>6458.68</v>
      </c>
      <c r="P94" s="31">
        <f>J94</f>
        <v>58451.06</v>
      </c>
      <c r="Q94" s="31">
        <f>L94</f>
        <v>0</v>
      </c>
      <c r="W94">
        <f>IF(Source!BI34&lt;=1,H93, 0)</f>
        <v>6458.68</v>
      </c>
      <c r="X94">
        <f>IF(Source!BI34=2,H93, 0)</f>
        <v>0</v>
      </c>
      <c r="Y94">
        <f>IF(Source!BI34=3,H93, 0)</f>
        <v>0</v>
      </c>
      <c r="Z94">
        <f>IF(Source!BI34=4,H93, 0)</f>
        <v>0</v>
      </c>
    </row>
    <row r="95" spans="1:26" ht="42.75" x14ac:dyDescent="0.2">
      <c r="A95" s="51">
        <v>12</v>
      </c>
      <c r="B95" s="51" t="str">
        <f>Source!F35</f>
        <v>27-04-001-04</v>
      </c>
      <c r="C95" s="51" t="str">
        <f>Source!G35</f>
        <v>Устройство подстилающих и выравнивающих слоев оснований: из щебня</v>
      </c>
      <c r="D95" s="38" t="str">
        <f>Source!H35</f>
        <v>100 м3</v>
      </c>
      <c r="E95" s="10">
        <f>Source!I35</f>
        <v>0.432</v>
      </c>
      <c r="F95" s="39">
        <f>Source!AL35+Source!AM35+Source!AO35</f>
        <v>5459.07</v>
      </c>
      <c r="G95" s="40"/>
      <c r="H95" s="39"/>
      <c r="I95" s="40" t="str">
        <f>Source!BO35</f>
        <v/>
      </c>
      <c r="J95" s="40"/>
      <c r="K95" s="39"/>
      <c r="L95" s="41"/>
      <c r="S95">
        <f>ROUND((Source!FX35/100)*((ROUND(Source!AF35*Source!I35, 2)+ROUND(Source!AE35*Source!I35, 2))), 2)</f>
        <v>389.83</v>
      </c>
      <c r="T95">
        <f>Source!X35</f>
        <v>13293.49</v>
      </c>
      <c r="U95">
        <f>ROUND((Source!FY35/100)*((ROUND(Source!AF35*Source!I35, 2)+ROUND(Source!AE35*Source!I35, 2))), 2)</f>
        <v>302.05</v>
      </c>
      <c r="V95">
        <f>Source!Y35</f>
        <v>10300.19</v>
      </c>
    </row>
    <row r="96" spans="1:26" ht="14.25" x14ac:dyDescent="0.2">
      <c r="A96" s="51"/>
      <c r="B96" s="51"/>
      <c r="C96" s="51" t="s">
        <v>383</v>
      </c>
      <c r="D96" s="38"/>
      <c r="E96" s="10"/>
      <c r="F96" s="39">
        <f>Source!AO35</f>
        <v>173.23</v>
      </c>
      <c r="G96" s="40" t="str">
        <f>Source!DG35</f>
        <v>)*1,15)*1,15</v>
      </c>
      <c r="H96" s="39">
        <f>ROUND(Source!AF35*Source!I35, 2)</f>
        <v>98.97</v>
      </c>
      <c r="I96" s="40"/>
      <c r="J96" s="40">
        <f>IF(Source!BA35&lt;&gt; 0, Source!BA35, 1)</f>
        <v>34.1</v>
      </c>
      <c r="K96" s="39">
        <f>Source!S35</f>
        <v>3374.92</v>
      </c>
      <c r="L96" s="41"/>
      <c r="R96">
        <f>H96</f>
        <v>98.97</v>
      </c>
    </row>
    <row r="97" spans="1:26" ht="14.25" x14ac:dyDescent="0.2">
      <c r="A97" s="51"/>
      <c r="B97" s="51"/>
      <c r="C97" s="51" t="s">
        <v>144</v>
      </c>
      <c r="D97" s="38"/>
      <c r="E97" s="10"/>
      <c r="F97" s="39">
        <f>Source!AM35</f>
        <v>5268.76</v>
      </c>
      <c r="G97" s="40" t="str">
        <f>Source!DE35</f>
        <v>)*1,25)*1,15</v>
      </c>
      <c r="H97" s="39">
        <f>ROUND((((((Source!ET35*1.25)*1.15))-(((Source!EU35*1.25)*1.15)))+Source!AE35)*Source!I35, 2)</f>
        <v>3271.9</v>
      </c>
      <c r="I97" s="40"/>
      <c r="J97" s="40">
        <f>IF(Source!BB35&lt;&gt; 0, Source!BB35, 1)</f>
        <v>12.65</v>
      </c>
      <c r="K97" s="39">
        <f>Source!Q35</f>
        <v>41389.599999999999</v>
      </c>
      <c r="L97" s="41"/>
    </row>
    <row r="98" spans="1:26" ht="14.25" x14ac:dyDescent="0.2">
      <c r="A98" s="51"/>
      <c r="B98" s="51"/>
      <c r="C98" s="51" t="s">
        <v>384</v>
      </c>
      <c r="D98" s="38"/>
      <c r="E98" s="10"/>
      <c r="F98" s="39">
        <f>Source!AN35</f>
        <v>267.67</v>
      </c>
      <c r="G98" s="40" t="str">
        <f>Source!DF35</f>
        <v>)*1,25)*1,15</v>
      </c>
      <c r="H98" s="42">
        <f>ROUND(Source!AE35*Source!I35, 2)</f>
        <v>166.22</v>
      </c>
      <c r="I98" s="40"/>
      <c r="J98" s="40">
        <f>IF(Source!BS35&lt;&gt; 0, Source!BS35, 1)</f>
        <v>34.1</v>
      </c>
      <c r="K98" s="42">
        <f>Source!R35</f>
        <v>5668.27</v>
      </c>
      <c r="L98" s="41"/>
      <c r="R98">
        <f>H98</f>
        <v>166.22</v>
      </c>
    </row>
    <row r="99" spans="1:26" ht="14.25" x14ac:dyDescent="0.2">
      <c r="A99" s="51"/>
      <c r="B99" s="51"/>
      <c r="C99" s="51" t="s">
        <v>385</v>
      </c>
      <c r="D99" s="38"/>
      <c r="E99" s="10"/>
      <c r="F99" s="39">
        <f>Source!AL35</f>
        <v>17.079999999999998</v>
      </c>
      <c r="G99" s="40" t="str">
        <f>Source!DD35</f>
        <v/>
      </c>
      <c r="H99" s="39">
        <f>ROUND(Source!AC35*Source!I35, 2)</f>
        <v>7.38</v>
      </c>
      <c r="I99" s="40"/>
      <c r="J99" s="40">
        <f>IF(Source!BC35&lt;&gt; 0, Source!BC35, 1)</f>
        <v>9.0500000000000007</v>
      </c>
      <c r="K99" s="39">
        <f>Source!P35</f>
        <v>66.78</v>
      </c>
      <c r="L99" s="41"/>
    </row>
    <row r="100" spans="1:26" ht="14.25" x14ac:dyDescent="0.2">
      <c r="A100" s="51"/>
      <c r="B100" s="51"/>
      <c r="C100" s="51" t="s">
        <v>386</v>
      </c>
      <c r="D100" s="38" t="s">
        <v>387</v>
      </c>
      <c r="E100" s="10">
        <f>Source!BZ35</f>
        <v>147</v>
      </c>
      <c r="F100" s="53"/>
      <c r="G100" s="40"/>
      <c r="H100" s="39">
        <f>SUM(S95:S102)</f>
        <v>389.83</v>
      </c>
      <c r="I100" s="43"/>
      <c r="J100" s="37">
        <f>Source!AT35</f>
        <v>147</v>
      </c>
      <c r="K100" s="39">
        <f>SUM(T95:T102)</f>
        <v>13293.49</v>
      </c>
      <c r="L100" s="41"/>
    </row>
    <row r="101" spans="1:26" ht="14.25" x14ac:dyDescent="0.2">
      <c r="A101" s="51"/>
      <c r="B101" s="51"/>
      <c r="C101" s="51" t="s">
        <v>388</v>
      </c>
      <c r="D101" s="38" t="s">
        <v>387</v>
      </c>
      <c r="E101" s="10">
        <f>Source!CA35</f>
        <v>134</v>
      </c>
      <c r="F101" s="55" t="str">
        <f>CONCATENATE(" )", Source!DM35, Source!FU35, "=", Source!FY35)</f>
        <v xml:space="preserve"> ))*0,85=113,9</v>
      </c>
      <c r="G101" s="69"/>
      <c r="H101" s="39">
        <f>SUM(U95:U102)</f>
        <v>302.05</v>
      </c>
      <c r="I101" s="43"/>
      <c r="J101" s="37">
        <f>Source!AU35</f>
        <v>113.9</v>
      </c>
      <c r="K101" s="39">
        <f>SUM(V95:V102)</f>
        <v>10300.19</v>
      </c>
      <c r="L101" s="41"/>
    </row>
    <row r="102" spans="1:26" ht="14.25" x14ac:dyDescent="0.2">
      <c r="A102" s="52"/>
      <c r="B102" s="52"/>
      <c r="C102" s="52" t="s">
        <v>389</v>
      </c>
      <c r="D102" s="44" t="s">
        <v>390</v>
      </c>
      <c r="E102" s="45">
        <f>Source!AQ35</f>
        <v>21.6</v>
      </c>
      <c r="F102" s="46"/>
      <c r="G102" s="47" t="str">
        <f>Source!DI35</f>
        <v>)*1,15)*1,15</v>
      </c>
      <c r="H102" s="46"/>
      <c r="I102" s="47"/>
      <c r="J102" s="47"/>
      <c r="K102" s="46"/>
      <c r="L102" s="48">
        <f>Source!U35</f>
        <v>12.340511999999999</v>
      </c>
    </row>
    <row r="103" spans="1:26" ht="15" x14ac:dyDescent="0.25">
      <c r="G103" s="70">
        <f>H96+H97+H99+H100+H101</f>
        <v>4070.13</v>
      </c>
      <c r="H103" s="70"/>
      <c r="J103" s="70">
        <f>K96+K97+K99+K100+K101</f>
        <v>68424.98</v>
      </c>
      <c r="K103" s="70"/>
      <c r="L103" s="49">
        <f>Source!U35</f>
        <v>12.340511999999999</v>
      </c>
      <c r="O103" s="31">
        <f>G103</f>
        <v>4070.13</v>
      </c>
      <c r="P103" s="31">
        <f>J103</f>
        <v>68424.98</v>
      </c>
      <c r="Q103" s="31">
        <f>L103</f>
        <v>12.340511999999999</v>
      </c>
      <c r="W103">
        <f>IF(Source!BI35&lt;=1,H96+H97+H99+H100+H101, 0)</f>
        <v>4070.13</v>
      </c>
      <c r="X103">
        <f>IF(Source!BI35=2,H96+H97+H99+H100+H101, 0)</f>
        <v>0</v>
      </c>
      <c r="Y103">
        <f>IF(Source!BI35=3,H96+H97+H99+H100+H101, 0)</f>
        <v>0</v>
      </c>
      <c r="Z103">
        <f>IF(Source!BI35=4,H96+H97+H99+H100+H101, 0)</f>
        <v>0</v>
      </c>
    </row>
    <row r="104" spans="1:26" ht="42.75" x14ac:dyDescent="0.2">
      <c r="A104" s="52">
        <v>13</v>
      </c>
      <c r="B104" s="52" t="str">
        <f>Source!F36</f>
        <v>Цена Поставщика</v>
      </c>
      <c r="C104" s="52" t="s">
        <v>393</v>
      </c>
      <c r="D104" s="44" t="str">
        <f>Source!H36</f>
        <v>т</v>
      </c>
      <c r="E104" s="45">
        <f>Source!I36</f>
        <v>73.48</v>
      </c>
      <c r="F104" s="46">
        <f>Source!AL36</f>
        <v>450.83</v>
      </c>
      <c r="G104" s="47" t="str">
        <f>Source!DD36</f>
        <v/>
      </c>
      <c r="H104" s="46">
        <f>ROUND(Source!AC36*Source!I36, 2)</f>
        <v>33126.99</v>
      </c>
      <c r="I104" s="47" t="str">
        <f>Source!BO36</f>
        <v/>
      </c>
      <c r="J104" s="47">
        <f>IF(Source!BC36&lt;&gt; 0, Source!BC36, 1)</f>
        <v>9.0500000000000007</v>
      </c>
      <c r="K104" s="46">
        <f>Source!P36</f>
        <v>299799.25</v>
      </c>
      <c r="L104" s="50"/>
      <c r="S104">
        <f>ROUND((Source!FX36/100)*((ROUND(Source!AF36*Source!I36, 2)+ROUND(Source!AE36*Source!I36, 2))), 2)</f>
        <v>0</v>
      </c>
      <c r="T104">
        <f>Source!X36</f>
        <v>0</v>
      </c>
      <c r="U104">
        <f>ROUND((Source!FY36/100)*((ROUND(Source!AF36*Source!I36, 2)+ROUND(Source!AE36*Source!I36, 2))), 2)</f>
        <v>0</v>
      </c>
      <c r="V104">
        <f>Source!Y36</f>
        <v>0</v>
      </c>
    </row>
    <row r="105" spans="1:26" ht="15" x14ac:dyDescent="0.25">
      <c r="G105" s="70">
        <f>H104</f>
        <v>33126.99</v>
      </c>
      <c r="H105" s="70"/>
      <c r="J105" s="70">
        <f>K104</f>
        <v>299799.25</v>
      </c>
      <c r="K105" s="70"/>
      <c r="L105" s="49">
        <f>Source!U36</f>
        <v>0</v>
      </c>
      <c r="O105" s="31">
        <f>G105</f>
        <v>33126.99</v>
      </c>
      <c r="P105" s="31">
        <f>J105</f>
        <v>299799.25</v>
      </c>
      <c r="Q105" s="31">
        <f>L105</f>
        <v>0</v>
      </c>
      <c r="W105">
        <f>IF(Source!BI36&lt;=1,H104, 0)</f>
        <v>33126.99</v>
      </c>
      <c r="X105">
        <f>IF(Source!BI36=2,H104, 0)</f>
        <v>0</v>
      </c>
      <c r="Y105">
        <f>IF(Source!BI36=3,H104, 0)</f>
        <v>0</v>
      </c>
      <c r="Z105">
        <f>IF(Source!BI36=4,H104, 0)</f>
        <v>0</v>
      </c>
    </row>
    <row r="106" spans="1:26" ht="28.5" x14ac:dyDescent="0.2">
      <c r="A106" s="51">
        <v>14</v>
      </c>
      <c r="B106" s="51" t="str">
        <f>Source!F37</f>
        <v>27-06-009-01</v>
      </c>
      <c r="C106" s="51" t="str">
        <f>Source!G37</f>
        <v>Укладка металлической сетки в цементобетонное дорожное покрытие</v>
      </c>
      <c r="D106" s="38" t="str">
        <f>Source!H37</f>
        <v>1000 м2</v>
      </c>
      <c r="E106" s="10">
        <f>Source!I37</f>
        <v>0.95499999999999996</v>
      </c>
      <c r="F106" s="39">
        <f>Source!AL37+Source!AM37+Source!AO37</f>
        <v>117.39</v>
      </c>
      <c r="G106" s="40"/>
      <c r="H106" s="39"/>
      <c r="I106" s="40" t="str">
        <f>Source!BO37</f>
        <v/>
      </c>
      <c r="J106" s="40"/>
      <c r="K106" s="39"/>
      <c r="L106" s="41"/>
      <c r="S106">
        <f>ROUND((Source!FX37/100)*((ROUND(Source!AF37*Source!I37, 2)+ROUND(Source!AE37*Source!I37, 2))), 2)</f>
        <v>196</v>
      </c>
      <c r="T106">
        <f>Source!X37</f>
        <v>6683.31</v>
      </c>
      <c r="U106">
        <f>ROUND((Source!FY37/100)*((ROUND(Source!AF37*Source!I37, 2)+ROUND(Source!AE37*Source!I37, 2))), 2)</f>
        <v>151.86000000000001</v>
      </c>
      <c r="V106">
        <f>Source!Y37</f>
        <v>5178.43</v>
      </c>
    </row>
    <row r="107" spans="1:26" x14ac:dyDescent="0.2">
      <c r="C107" s="30" t="str">
        <f>"Объем: "&amp;Source!I37&amp;"=955/"&amp;"1000"</f>
        <v>Объем: 0,955=955/1000</v>
      </c>
    </row>
    <row r="108" spans="1:26" ht="14.25" x14ac:dyDescent="0.2">
      <c r="A108" s="51"/>
      <c r="B108" s="51"/>
      <c r="C108" s="51" t="s">
        <v>383</v>
      </c>
      <c r="D108" s="38"/>
      <c r="E108" s="10"/>
      <c r="F108" s="39">
        <f>Source!AO37</f>
        <v>103.4</v>
      </c>
      <c r="G108" s="40" t="str">
        <f>Source!DG37</f>
        <v>)*1,15)*1,15</v>
      </c>
      <c r="H108" s="39">
        <f>ROUND(Source!AF37*Source!I37, 2)</f>
        <v>130.6</v>
      </c>
      <c r="I108" s="40"/>
      <c r="J108" s="40">
        <f>IF(Source!BA37&lt;&gt; 0, Source!BA37, 1)</f>
        <v>34.1</v>
      </c>
      <c r="K108" s="39">
        <f>Source!S37</f>
        <v>4453.33</v>
      </c>
      <c r="L108" s="41"/>
      <c r="R108">
        <f>H108</f>
        <v>130.6</v>
      </c>
    </row>
    <row r="109" spans="1:26" ht="14.25" x14ac:dyDescent="0.2">
      <c r="A109" s="51"/>
      <c r="B109" s="51"/>
      <c r="C109" s="51" t="s">
        <v>144</v>
      </c>
      <c r="D109" s="38"/>
      <c r="E109" s="10"/>
      <c r="F109" s="39">
        <f>Source!AM37</f>
        <v>13.99</v>
      </c>
      <c r="G109" s="40" t="str">
        <f>Source!DE37</f>
        <v>)*1,25)*1,15</v>
      </c>
      <c r="H109" s="39">
        <f>ROUND((((((Source!ET37*1.25)*1.15))-(((Source!EU37*1.25)*1.15)))+Source!AE37)*Source!I37, 2)</f>
        <v>19.21</v>
      </c>
      <c r="I109" s="40"/>
      <c r="J109" s="40">
        <f>IF(Source!BB37&lt;&gt; 0, Source!BB37, 1)</f>
        <v>12.65</v>
      </c>
      <c r="K109" s="39">
        <f>Source!Q37</f>
        <v>242.93</v>
      </c>
      <c r="L109" s="41"/>
    </row>
    <row r="110" spans="1:26" ht="14.25" x14ac:dyDescent="0.2">
      <c r="A110" s="51"/>
      <c r="B110" s="51"/>
      <c r="C110" s="51" t="s">
        <v>384</v>
      </c>
      <c r="D110" s="38"/>
      <c r="E110" s="10"/>
      <c r="F110" s="39">
        <f>Source!AN37</f>
        <v>1.99</v>
      </c>
      <c r="G110" s="40" t="str">
        <f>Source!DF37</f>
        <v>)*1,25)*1,15</v>
      </c>
      <c r="H110" s="42">
        <f>ROUND(Source!AE37*Source!I37, 2)</f>
        <v>2.73</v>
      </c>
      <c r="I110" s="40"/>
      <c r="J110" s="40">
        <f>IF(Source!BS37&lt;&gt; 0, Source!BS37, 1)</f>
        <v>34.1</v>
      </c>
      <c r="K110" s="42">
        <f>Source!R37</f>
        <v>93.14</v>
      </c>
      <c r="L110" s="41"/>
      <c r="R110">
        <f>H110</f>
        <v>2.73</v>
      </c>
    </row>
    <row r="111" spans="1:26" ht="14.25" x14ac:dyDescent="0.2">
      <c r="A111" s="51"/>
      <c r="B111" s="51"/>
      <c r="C111" s="51" t="s">
        <v>386</v>
      </c>
      <c r="D111" s="38" t="s">
        <v>387</v>
      </c>
      <c r="E111" s="10">
        <f>Source!BZ37</f>
        <v>147</v>
      </c>
      <c r="F111" s="53"/>
      <c r="G111" s="40"/>
      <c r="H111" s="39">
        <f>SUM(S106:S113)</f>
        <v>196</v>
      </c>
      <c r="I111" s="43"/>
      <c r="J111" s="37">
        <f>Source!AT37</f>
        <v>147</v>
      </c>
      <c r="K111" s="39">
        <f>SUM(T106:T113)</f>
        <v>6683.31</v>
      </c>
      <c r="L111" s="41"/>
    </row>
    <row r="112" spans="1:26" ht="14.25" x14ac:dyDescent="0.2">
      <c r="A112" s="51"/>
      <c r="B112" s="51"/>
      <c r="C112" s="51" t="s">
        <v>388</v>
      </c>
      <c r="D112" s="38" t="s">
        <v>387</v>
      </c>
      <c r="E112" s="10">
        <f>Source!CA37</f>
        <v>134</v>
      </c>
      <c r="F112" s="55" t="str">
        <f>CONCATENATE(" )", Source!DM37, Source!FU37, "=", Source!FY37)</f>
        <v xml:space="preserve"> ))*0,85=113,9</v>
      </c>
      <c r="G112" s="69"/>
      <c r="H112" s="39">
        <f>SUM(U106:U113)</f>
        <v>151.86000000000001</v>
      </c>
      <c r="I112" s="43"/>
      <c r="J112" s="37">
        <f>Source!AU37</f>
        <v>113.9</v>
      </c>
      <c r="K112" s="39">
        <f>SUM(V106:V113)</f>
        <v>5178.43</v>
      </c>
      <c r="L112" s="41"/>
    </row>
    <row r="113" spans="1:26" ht="14.25" x14ac:dyDescent="0.2">
      <c r="A113" s="52"/>
      <c r="B113" s="52"/>
      <c r="C113" s="52" t="s">
        <v>389</v>
      </c>
      <c r="D113" s="44" t="s">
        <v>390</v>
      </c>
      <c r="E113" s="45">
        <f>Source!AQ37</f>
        <v>11.4</v>
      </c>
      <c r="F113" s="46"/>
      <c r="G113" s="47" t="str">
        <f>Source!DI37</f>
        <v>)*1,15)*1,15</v>
      </c>
      <c r="H113" s="46"/>
      <c r="I113" s="47"/>
      <c r="J113" s="47"/>
      <c r="K113" s="46"/>
      <c r="L113" s="48">
        <f>Source!U37</f>
        <v>14.398057499999997</v>
      </c>
    </row>
    <row r="114" spans="1:26" ht="15" x14ac:dyDescent="0.25">
      <c r="G114" s="70">
        <f>H108+H109+H111+H112</f>
        <v>497.67</v>
      </c>
      <c r="H114" s="70"/>
      <c r="J114" s="70">
        <f>K108+K109+K111+K112</f>
        <v>16558</v>
      </c>
      <c r="K114" s="70"/>
      <c r="L114" s="49">
        <f>Source!U37</f>
        <v>14.398057499999997</v>
      </c>
      <c r="O114" s="31">
        <f>G114</f>
        <v>497.67</v>
      </c>
      <c r="P114" s="31">
        <f>J114</f>
        <v>16558</v>
      </c>
      <c r="Q114" s="31">
        <f>L114</f>
        <v>14.398057499999997</v>
      </c>
      <c r="W114">
        <f>IF(Source!BI37&lt;=1,H108+H109+H111+H112, 0)</f>
        <v>497.67</v>
      </c>
      <c r="X114">
        <f>IF(Source!BI37=2,H108+H109+H111+H112, 0)</f>
        <v>0</v>
      </c>
      <c r="Y114">
        <f>IF(Source!BI37=3,H108+H109+H111+H112, 0)</f>
        <v>0</v>
      </c>
      <c r="Z114">
        <f>IF(Source!BI37=4,H108+H109+H111+H112, 0)</f>
        <v>0</v>
      </c>
    </row>
    <row r="115" spans="1:26" ht="42.75" x14ac:dyDescent="0.2">
      <c r="A115" s="51">
        <v>15</v>
      </c>
      <c r="B115" s="51" t="str">
        <f>Source!F38</f>
        <v>Цена Поставщика</v>
      </c>
      <c r="C115" s="51" t="s">
        <v>394</v>
      </c>
      <c r="D115" s="38" t="str">
        <f>Source!H38</f>
        <v>м2</v>
      </c>
      <c r="E115" s="10">
        <f>Source!I38</f>
        <v>1050.5</v>
      </c>
      <c r="F115" s="39">
        <f>Source!AL38</f>
        <v>12.33</v>
      </c>
      <c r="G115" s="40" t="str">
        <f>Source!DD38</f>
        <v/>
      </c>
      <c r="H115" s="39">
        <f>ROUND(Source!AC38*Source!I38, 2)</f>
        <v>12952.67</v>
      </c>
      <c r="I115" s="40" t="str">
        <f>Source!BO38</f>
        <v/>
      </c>
      <c r="J115" s="40">
        <f>IF(Source!BC38&lt;&gt; 0, Source!BC38, 1)</f>
        <v>9.0500000000000007</v>
      </c>
      <c r="K115" s="39">
        <f>Source!P38</f>
        <v>117221.62</v>
      </c>
      <c r="L115" s="41"/>
      <c r="S115">
        <f>ROUND((Source!FX38/100)*((ROUND(Source!AF38*Source!I38, 2)+ROUND(Source!AE38*Source!I38, 2))), 2)</f>
        <v>0</v>
      </c>
      <c r="T115">
        <f>Source!X38</f>
        <v>0</v>
      </c>
      <c r="U115">
        <f>ROUND((Source!FY38/100)*((ROUND(Source!AF38*Source!I38, 2)+ROUND(Source!AE38*Source!I38, 2))), 2)</f>
        <v>0</v>
      </c>
      <c r="V115">
        <f>Source!Y38</f>
        <v>0</v>
      </c>
    </row>
    <row r="116" spans="1:26" x14ac:dyDescent="0.2">
      <c r="A116" s="33"/>
      <c r="B116" s="33"/>
      <c r="C116" s="34" t="str">
        <f>"Объем: "&amp;Source!I38&amp;"="&amp;Source!I37&amp;"*"&amp;"1100"</f>
        <v>Объем: 1050,5=0,955*1100</v>
      </c>
      <c r="D116" s="33"/>
      <c r="E116" s="33"/>
      <c r="F116" s="33"/>
      <c r="G116" s="33"/>
      <c r="H116" s="33"/>
      <c r="I116" s="33"/>
      <c r="J116" s="33"/>
      <c r="K116" s="33"/>
      <c r="L116" s="33"/>
    </row>
    <row r="117" spans="1:26" ht="15" x14ac:dyDescent="0.25">
      <c r="G117" s="70">
        <f>H115</f>
        <v>12952.67</v>
      </c>
      <c r="H117" s="70"/>
      <c r="J117" s="70">
        <f>K115</f>
        <v>117221.62</v>
      </c>
      <c r="K117" s="70"/>
      <c r="L117" s="49">
        <f>Source!U38</f>
        <v>0</v>
      </c>
      <c r="O117" s="31">
        <f>G117</f>
        <v>12952.67</v>
      </c>
      <c r="P117" s="31">
        <f>J117</f>
        <v>117221.62</v>
      </c>
      <c r="Q117" s="31">
        <f>L117</f>
        <v>0</v>
      </c>
      <c r="W117">
        <f>IF(Source!BI38&lt;=1,H115, 0)</f>
        <v>12952.67</v>
      </c>
      <c r="X117">
        <f>IF(Source!BI38=2,H115, 0)</f>
        <v>0</v>
      </c>
      <c r="Y117">
        <f>IF(Source!BI38=3,H115, 0)</f>
        <v>0</v>
      </c>
      <c r="Z117">
        <f>IF(Source!BI38=4,H115, 0)</f>
        <v>0</v>
      </c>
    </row>
    <row r="118" spans="1:26" ht="42.75" x14ac:dyDescent="0.2">
      <c r="A118" s="52">
        <v>16</v>
      </c>
      <c r="B118" s="52" t="str">
        <f>Source!F39</f>
        <v>Цена Поставщика</v>
      </c>
      <c r="C118" s="52" t="s">
        <v>395</v>
      </c>
      <c r="D118" s="44" t="str">
        <f>Source!H39</f>
        <v>т</v>
      </c>
      <c r="E118" s="45">
        <f>Source!I39</f>
        <v>4.4400000000000002E-2</v>
      </c>
      <c r="F118" s="46">
        <f>Source!AL39</f>
        <v>6607.4600000000009</v>
      </c>
      <c r="G118" s="47" t="str">
        <f>Source!DD39</f>
        <v/>
      </c>
      <c r="H118" s="46">
        <f>ROUND(Source!AC39*Source!I39, 2)</f>
        <v>293.37</v>
      </c>
      <c r="I118" s="47" t="str">
        <f>Source!BO39</f>
        <v/>
      </c>
      <c r="J118" s="47">
        <f>IF(Source!BC39&lt;&gt; 0, Source!BC39, 1)</f>
        <v>9.0500000000000007</v>
      </c>
      <c r="K118" s="46">
        <f>Source!P39</f>
        <v>2655.01</v>
      </c>
      <c r="L118" s="50"/>
      <c r="S118">
        <f>ROUND((Source!FX39/100)*((ROUND(Source!AF39*Source!I39, 2)+ROUND(Source!AE39*Source!I39, 2))), 2)</f>
        <v>0</v>
      </c>
      <c r="T118">
        <f>Source!X39</f>
        <v>0</v>
      </c>
      <c r="U118">
        <f>ROUND((Source!FY39/100)*((ROUND(Source!AF39*Source!I39, 2)+ROUND(Source!AE39*Source!I39, 2))), 2)</f>
        <v>0</v>
      </c>
      <c r="V118">
        <f>Source!Y39</f>
        <v>0</v>
      </c>
    </row>
    <row r="119" spans="1:26" ht="15" x14ac:dyDescent="0.25">
      <c r="G119" s="70">
        <f>H118</f>
        <v>293.37</v>
      </c>
      <c r="H119" s="70"/>
      <c r="J119" s="70">
        <f>K118</f>
        <v>2655.01</v>
      </c>
      <c r="K119" s="70"/>
      <c r="L119" s="49">
        <f>Source!U39</f>
        <v>0</v>
      </c>
      <c r="O119" s="31">
        <f>G119</f>
        <v>293.37</v>
      </c>
      <c r="P119" s="31">
        <f>J119</f>
        <v>2655.01</v>
      </c>
      <c r="Q119" s="31">
        <f>L119</f>
        <v>0</v>
      </c>
      <c r="W119">
        <f>IF(Source!BI39&lt;=1,H118, 0)</f>
        <v>293.37</v>
      </c>
      <c r="X119">
        <f>IF(Source!BI39=2,H118, 0)</f>
        <v>0</v>
      </c>
      <c r="Y119">
        <f>IF(Source!BI39=3,H118, 0)</f>
        <v>0</v>
      </c>
      <c r="Z119">
        <f>IF(Source!BI39=4,H118, 0)</f>
        <v>0</v>
      </c>
    </row>
    <row r="120" spans="1:26" ht="57" x14ac:dyDescent="0.2">
      <c r="A120" s="51">
        <v>17</v>
      </c>
      <c r="B120" s="51" t="str">
        <f>Source!F40</f>
        <v>27-06-002-17</v>
      </c>
      <c r="C120" s="51" t="str">
        <f>Source!G40</f>
        <v>Устройство цементобетонных покрытий однослойных средствами малой механизации, толщина слоя 20 см</v>
      </c>
      <c r="D120" s="38" t="str">
        <f>Source!H40</f>
        <v>1000 м2</v>
      </c>
      <c r="E120" s="10">
        <f>Source!I40</f>
        <v>0.95499999999999996</v>
      </c>
      <c r="F120" s="39">
        <f>Source!AL40+Source!AM40+Source!AO40</f>
        <v>12272.97</v>
      </c>
      <c r="G120" s="40"/>
      <c r="H120" s="39"/>
      <c r="I120" s="40" t="str">
        <f>Source!BO40</f>
        <v/>
      </c>
      <c r="J120" s="40"/>
      <c r="K120" s="39"/>
      <c r="L120" s="41"/>
      <c r="S120">
        <f>ROUND((Source!FX40/100)*((ROUND(Source!AF40*Source!I40, 2)+ROUND(Source!AE40*Source!I40, 2))), 2)</f>
        <v>5867.9</v>
      </c>
      <c r="T120">
        <f>Source!X40</f>
        <v>200095.27</v>
      </c>
      <c r="U120">
        <f>ROUND((Source!FY40/100)*((ROUND(Source!AF40*Source!I40, 2)+ROUND(Source!AE40*Source!I40, 2))), 2)</f>
        <v>4546.63</v>
      </c>
      <c r="V120">
        <f>Source!Y40</f>
        <v>155039.79999999999</v>
      </c>
    </row>
    <row r="121" spans="1:26" x14ac:dyDescent="0.2">
      <c r="C121" s="30" t="str">
        <f>"Объем: "&amp;Source!I40&amp;"=955/"&amp;"1000"</f>
        <v>Объем: 0,955=955/1000</v>
      </c>
    </row>
    <row r="122" spans="1:26" ht="14.25" x14ac:dyDescent="0.2">
      <c r="A122" s="51"/>
      <c r="B122" s="51"/>
      <c r="C122" s="51" t="s">
        <v>383</v>
      </c>
      <c r="D122" s="38"/>
      <c r="E122" s="10"/>
      <c r="F122" s="39">
        <f>Source!AO40</f>
        <v>2554.92</v>
      </c>
      <c r="G122" s="40" t="str">
        <f>Source!DG40</f>
        <v>)*1,15)*1,15</v>
      </c>
      <c r="H122" s="39">
        <f>ROUND(Source!AF40*Source!I40, 2)</f>
        <v>3226.83</v>
      </c>
      <c r="I122" s="40"/>
      <c r="J122" s="40">
        <f>IF(Source!BA40&lt;&gt; 0, Source!BA40, 1)</f>
        <v>34.1</v>
      </c>
      <c r="K122" s="39">
        <f>Source!S40</f>
        <v>110034.92</v>
      </c>
      <c r="L122" s="41"/>
      <c r="R122">
        <f>H122</f>
        <v>3226.83</v>
      </c>
    </row>
    <row r="123" spans="1:26" ht="14.25" x14ac:dyDescent="0.2">
      <c r="A123" s="51"/>
      <c r="B123" s="51"/>
      <c r="C123" s="51" t="s">
        <v>144</v>
      </c>
      <c r="D123" s="38"/>
      <c r="E123" s="10"/>
      <c r="F123" s="39">
        <f>Source!AM40</f>
        <v>3667.91</v>
      </c>
      <c r="G123" s="40" t="str">
        <f>Source!DE40</f>
        <v>)*1,25)*1,15</v>
      </c>
      <c r="H123" s="39">
        <f>ROUND((((((Source!ET40*1.25)*1.15))-(((Source!EU40*1.25)*1.15)))+Source!AE40)*Source!I40, 2)</f>
        <v>5035.3599999999997</v>
      </c>
      <c r="I123" s="40"/>
      <c r="J123" s="40">
        <f>IF(Source!BB40&lt;&gt; 0, Source!BB40, 1)</f>
        <v>12.65</v>
      </c>
      <c r="K123" s="39">
        <f>Source!Q40</f>
        <v>63697.37</v>
      </c>
      <c r="L123" s="41"/>
    </row>
    <row r="124" spans="1:26" ht="14.25" x14ac:dyDescent="0.2">
      <c r="A124" s="51"/>
      <c r="B124" s="51"/>
      <c r="C124" s="51" t="s">
        <v>384</v>
      </c>
      <c r="D124" s="38"/>
      <c r="E124" s="10"/>
      <c r="F124" s="39">
        <f>Source!AN40</f>
        <v>557.20000000000005</v>
      </c>
      <c r="G124" s="40" t="str">
        <f>Source!DF40</f>
        <v>)*1,25)*1,15</v>
      </c>
      <c r="H124" s="42">
        <f>ROUND(Source!AE40*Source!I40, 2)</f>
        <v>764.94</v>
      </c>
      <c r="I124" s="40"/>
      <c r="J124" s="40">
        <f>IF(Source!BS40&lt;&gt; 0, Source!BS40, 1)</f>
        <v>34.1</v>
      </c>
      <c r="K124" s="42">
        <f>Source!R40</f>
        <v>26084.31</v>
      </c>
      <c r="L124" s="41"/>
      <c r="R124">
        <f>H124</f>
        <v>764.94</v>
      </c>
    </row>
    <row r="125" spans="1:26" ht="14.25" x14ac:dyDescent="0.2">
      <c r="A125" s="51"/>
      <c r="B125" s="51"/>
      <c r="C125" s="51" t="s">
        <v>385</v>
      </c>
      <c r="D125" s="38"/>
      <c r="E125" s="10"/>
      <c r="F125" s="39">
        <f>Source!AL40</f>
        <v>6050.14</v>
      </c>
      <c r="G125" s="40" t="str">
        <f>Source!DD40</f>
        <v/>
      </c>
      <c r="H125" s="39">
        <f>ROUND(Source!AC40*Source!I40, 2)</f>
        <v>5777.88</v>
      </c>
      <c r="I125" s="40"/>
      <c r="J125" s="40">
        <f>IF(Source!BC40&lt;&gt; 0, Source!BC40, 1)</f>
        <v>9.0500000000000007</v>
      </c>
      <c r="K125" s="39">
        <f>Source!P40</f>
        <v>52289.85</v>
      </c>
      <c r="L125" s="41"/>
    </row>
    <row r="126" spans="1:26" ht="14.25" x14ac:dyDescent="0.2">
      <c r="A126" s="51"/>
      <c r="B126" s="51"/>
      <c r="C126" s="51" t="s">
        <v>386</v>
      </c>
      <c r="D126" s="38" t="s">
        <v>387</v>
      </c>
      <c r="E126" s="10">
        <f>Source!BZ40</f>
        <v>147</v>
      </c>
      <c r="F126" s="53"/>
      <c r="G126" s="40"/>
      <c r="H126" s="39">
        <f>SUM(S120:S128)</f>
        <v>5867.9</v>
      </c>
      <c r="I126" s="43"/>
      <c r="J126" s="37">
        <f>Source!AT40</f>
        <v>147</v>
      </c>
      <c r="K126" s="39">
        <f>SUM(T120:T128)</f>
        <v>200095.27</v>
      </c>
      <c r="L126" s="41"/>
    </row>
    <row r="127" spans="1:26" ht="14.25" x14ac:dyDescent="0.2">
      <c r="A127" s="51"/>
      <c r="B127" s="51"/>
      <c r="C127" s="51" t="s">
        <v>388</v>
      </c>
      <c r="D127" s="38" t="s">
        <v>387</v>
      </c>
      <c r="E127" s="10">
        <f>Source!CA40</f>
        <v>134</v>
      </c>
      <c r="F127" s="55" t="str">
        <f>CONCATENATE(" )", Source!DM40, Source!FU40, "=", Source!FY40)</f>
        <v xml:space="preserve"> ))*0,85=113,9</v>
      </c>
      <c r="G127" s="69"/>
      <c r="H127" s="39">
        <f>SUM(U120:U128)</f>
        <v>4546.63</v>
      </c>
      <c r="I127" s="43"/>
      <c r="J127" s="37">
        <f>Source!AU40</f>
        <v>113.9</v>
      </c>
      <c r="K127" s="39">
        <f>SUM(V120:V128)</f>
        <v>155039.79999999999</v>
      </c>
      <c r="L127" s="41"/>
    </row>
    <row r="128" spans="1:26" ht="14.25" x14ac:dyDescent="0.2">
      <c r="A128" s="52"/>
      <c r="B128" s="52"/>
      <c r="C128" s="52" t="s">
        <v>389</v>
      </c>
      <c r="D128" s="44" t="s">
        <v>390</v>
      </c>
      <c r="E128" s="45">
        <f>Source!AQ40</f>
        <v>302</v>
      </c>
      <c r="F128" s="46"/>
      <c r="G128" s="47" t="str">
        <f>Source!DI40</f>
        <v>)*1,15)*1,15</v>
      </c>
      <c r="H128" s="46"/>
      <c r="I128" s="47"/>
      <c r="J128" s="47"/>
      <c r="K128" s="46"/>
      <c r="L128" s="48">
        <f>Source!U40</f>
        <v>381.42222499999991</v>
      </c>
    </row>
    <row r="129" spans="1:26" ht="15" x14ac:dyDescent="0.25">
      <c r="G129" s="70">
        <f>H122+H123+H125+H126+H127</f>
        <v>24454.600000000002</v>
      </c>
      <c r="H129" s="70"/>
      <c r="J129" s="70">
        <f>K122+K123+K125+K126+K127</f>
        <v>581157.21</v>
      </c>
      <c r="K129" s="70"/>
      <c r="L129" s="49">
        <f>Source!U40</f>
        <v>381.42222499999991</v>
      </c>
      <c r="O129" s="31">
        <f>G129</f>
        <v>24454.600000000002</v>
      </c>
      <c r="P129" s="31">
        <f>J129</f>
        <v>581157.21</v>
      </c>
      <c r="Q129" s="31">
        <f>L129</f>
        <v>381.42222499999991</v>
      </c>
      <c r="W129">
        <f>IF(Source!BI40&lt;=1,H122+H123+H125+H126+H127, 0)</f>
        <v>24454.600000000002</v>
      </c>
      <c r="X129">
        <f>IF(Source!BI40=2,H122+H123+H125+H126+H127, 0)</f>
        <v>0</v>
      </c>
      <c r="Y129">
        <f>IF(Source!BI40=3,H122+H123+H125+H126+H127, 0)</f>
        <v>0</v>
      </c>
      <c r="Z129">
        <f>IF(Source!BI40=4,H122+H123+H125+H126+H127, 0)</f>
        <v>0</v>
      </c>
    </row>
    <row r="130" spans="1:26" ht="55.5" x14ac:dyDescent="0.2">
      <c r="A130" s="51">
        <v>18</v>
      </c>
      <c r="B130" s="51" t="str">
        <f>Source!F41</f>
        <v>Цена Поставщика</v>
      </c>
      <c r="C130" s="51" t="s">
        <v>396</v>
      </c>
      <c r="D130" s="38" t="str">
        <f>Source!H41</f>
        <v>м3</v>
      </c>
      <c r="E130" s="10">
        <f>Source!I41</f>
        <v>194.82</v>
      </c>
      <c r="F130" s="39">
        <f>Source!AL41</f>
        <v>1072.0999999999999</v>
      </c>
      <c r="G130" s="40" t="str">
        <f>Source!DD41</f>
        <v/>
      </c>
      <c r="H130" s="39">
        <f>ROUND(Source!AC41*Source!I41, 2)</f>
        <v>208866.52</v>
      </c>
      <c r="I130" s="40" t="str">
        <f>Source!BO41</f>
        <v/>
      </c>
      <c r="J130" s="40">
        <f>IF(Source!BC41&lt;&gt; 0, Source!BC41, 1)</f>
        <v>9.0500000000000007</v>
      </c>
      <c r="K130" s="39">
        <f>Source!P41</f>
        <v>1890242.02</v>
      </c>
      <c r="L130" s="41"/>
      <c r="S130">
        <f>ROUND((Source!FX41/100)*((ROUND(Source!AF41*Source!I41, 2)+ROUND(Source!AE41*Source!I41, 2))), 2)</f>
        <v>0</v>
      </c>
      <c r="T130">
        <f>Source!X41</f>
        <v>0</v>
      </c>
      <c r="U130">
        <f>ROUND((Source!FY41/100)*((ROUND(Source!AF41*Source!I41, 2)+ROUND(Source!AE41*Source!I41, 2))), 2)</f>
        <v>0</v>
      </c>
      <c r="V130">
        <f>Source!Y41</f>
        <v>0</v>
      </c>
    </row>
    <row r="131" spans="1:26" x14ac:dyDescent="0.2">
      <c r="A131" s="33"/>
      <c r="B131" s="33"/>
      <c r="C131" s="34" t="str">
        <f>"Объем: "&amp;Source!I41&amp;"="&amp;Source!I40&amp;"*"&amp;"204"</f>
        <v>Объем: 194,82=0,955*204</v>
      </c>
      <c r="D131" s="33"/>
      <c r="E131" s="33"/>
      <c r="F131" s="33"/>
      <c r="G131" s="33"/>
      <c r="H131" s="33"/>
      <c r="I131" s="33"/>
      <c r="J131" s="33"/>
      <c r="K131" s="33"/>
      <c r="L131" s="33"/>
    </row>
    <row r="132" spans="1:26" ht="15" x14ac:dyDescent="0.25">
      <c r="G132" s="70">
        <f>H130</f>
        <v>208866.52</v>
      </c>
      <c r="H132" s="70"/>
      <c r="J132" s="70">
        <f>K130</f>
        <v>1890242.02</v>
      </c>
      <c r="K132" s="70"/>
      <c r="L132" s="49">
        <f>Source!U41</f>
        <v>0</v>
      </c>
      <c r="O132" s="31">
        <f>G132</f>
        <v>208866.52</v>
      </c>
      <c r="P132" s="31">
        <f>J132</f>
        <v>1890242.02</v>
      </c>
      <c r="Q132" s="31">
        <f>L132</f>
        <v>0</v>
      </c>
      <c r="W132">
        <f>IF(Source!BI41&lt;=1,H130, 0)</f>
        <v>208866.52</v>
      </c>
      <c r="X132">
        <f>IF(Source!BI41=2,H130, 0)</f>
        <v>0</v>
      </c>
      <c r="Y132">
        <f>IF(Source!BI41=3,H130, 0)</f>
        <v>0</v>
      </c>
      <c r="Z132">
        <f>IF(Source!BI41=4,H130, 0)</f>
        <v>0</v>
      </c>
    </row>
    <row r="134" spans="1:26" ht="15" x14ac:dyDescent="0.25">
      <c r="A134" s="74" t="str">
        <f>CONCATENATE("Итого по локальной смете: ",IF(Source!G43&lt;&gt;"Новая локальная смета", Source!G43, ""))</f>
        <v xml:space="preserve">Итого по локальной смете: </v>
      </c>
      <c r="B134" s="74"/>
      <c r="C134" s="74"/>
      <c r="D134" s="74"/>
      <c r="E134" s="74"/>
      <c r="F134" s="74"/>
      <c r="G134" s="73">
        <f>SUM(O33:O133)</f>
        <v>331771.09999999998</v>
      </c>
      <c r="H134" s="73"/>
      <c r="I134" s="36"/>
      <c r="J134" s="73">
        <f>SUM(P33:P133)</f>
        <v>3588705.2699999996</v>
      </c>
      <c r="K134" s="73"/>
      <c r="L134" s="49">
        <f>SUM(Q33:Q133)</f>
        <v>472.42890973999988</v>
      </c>
    </row>
    <row r="137" spans="1:26" ht="14.25" x14ac:dyDescent="0.2">
      <c r="C137" s="60" t="str">
        <f>Source!H45</f>
        <v>Прямые затраты</v>
      </c>
      <c r="D137" s="60"/>
      <c r="E137" s="60"/>
      <c r="F137" s="60"/>
      <c r="G137" s="60"/>
      <c r="H137" s="60"/>
      <c r="I137" s="60"/>
      <c r="J137" s="65">
        <f>IF(Source!F45=0, "", Source!F45)</f>
        <v>2967074.49</v>
      </c>
      <c r="K137" s="65"/>
    </row>
    <row r="138" spans="1:26" ht="14.25" x14ac:dyDescent="0.2">
      <c r="C138" s="60" t="str">
        <f>Source!H46</f>
        <v>Стоимость материальных ресурсов (всего)</v>
      </c>
      <c r="D138" s="60"/>
      <c r="E138" s="60"/>
      <c r="F138" s="60"/>
      <c r="G138" s="60"/>
      <c r="H138" s="60"/>
      <c r="I138" s="60"/>
      <c r="J138" s="65">
        <f>IF(Source!F46=0, "", Source!F46)</f>
        <v>2498316.7999999998</v>
      </c>
      <c r="K138" s="65"/>
    </row>
    <row r="139" spans="1:26" ht="14.25" x14ac:dyDescent="0.2">
      <c r="C139" s="60" t="str">
        <f>Source!H48</f>
        <v>Стоимость материалов и оборудования подрядчика</v>
      </c>
      <c r="D139" s="60"/>
      <c r="E139" s="60"/>
      <c r="F139" s="60"/>
      <c r="G139" s="60"/>
      <c r="H139" s="60"/>
      <c r="I139" s="60"/>
      <c r="J139" s="65">
        <f>IF(Source!F48=0, "", Source!F48)</f>
        <v>2498316.7999999998</v>
      </c>
      <c r="K139" s="65"/>
    </row>
    <row r="140" spans="1:26" ht="14.25" x14ac:dyDescent="0.2">
      <c r="C140" s="60" t="str">
        <f>Source!H49</f>
        <v>Стоимость материалов (всего)</v>
      </c>
      <c r="D140" s="60"/>
      <c r="E140" s="60"/>
      <c r="F140" s="60"/>
      <c r="G140" s="60"/>
      <c r="H140" s="60"/>
      <c r="I140" s="60"/>
      <c r="J140" s="65">
        <f>IF(Source!F49=0, "", Source!F49)</f>
        <v>2498316.7999999998</v>
      </c>
      <c r="K140" s="65"/>
    </row>
    <row r="141" spans="1:26" ht="14.25" x14ac:dyDescent="0.2">
      <c r="C141" s="60" t="str">
        <f>Source!H51</f>
        <v>Стоимость материалов подрядчика</v>
      </c>
      <c r="D141" s="60"/>
      <c r="E141" s="60"/>
      <c r="F141" s="60"/>
      <c r="G141" s="60"/>
      <c r="H141" s="60"/>
      <c r="I141" s="60"/>
      <c r="J141" s="65">
        <f>IF(Source!F51=0, "", Source!F51)</f>
        <v>2498316.7999999998</v>
      </c>
      <c r="K141" s="65"/>
    </row>
    <row r="142" spans="1:26" ht="14.25" x14ac:dyDescent="0.2">
      <c r="C142" s="60" t="str">
        <f>Source!H55</f>
        <v>Эксплуатация машин</v>
      </c>
      <c r="D142" s="60"/>
      <c r="E142" s="60"/>
      <c r="F142" s="60"/>
      <c r="G142" s="60"/>
      <c r="H142" s="60"/>
      <c r="I142" s="60"/>
      <c r="J142" s="65">
        <f>IF(Source!F55=0, "", Source!F55)</f>
        <v>331946.09000000003</v>
      </c>
      <c r="K142" s="65"/>
    </row>
    <row r="143" spans="1:26" ht="14.25" x14ac:dyDescent="0.2">
      <c r="C143" s="60" t="str">
        <f>Source!H57</f>
        <v>ЗП машинистов</v>
      </c>
      <c r="D143" s="60"/>
      <c r="E143" s="60"/>
      <c r="F143" s="60"/>
      <c r="G143" s="60"/>
      <c r="H143" s="60"/>
      <c r="I143" s="60"/>
      <c r="J143" s="65">
        <f>IF(Source!F57=0, "", Source!F57)</f>
        <v>41644.18</v>
      </c>
      <c r="K143" s="65"/>
    </row>
    <row r="144" spans="1:26" ht="14.25" x14ac:dyDescent="0.2">
      <c r="C144" s="60" t="str">
        <f>Source!H58</f>
        <v>Основная ЗП рабочих</v>
      </c>
      <c r="D144" s="60"/>
      <c r="E144" s="60"/>
      <c r="F144" s="60"/>
      <c r="G144" s="60"/>
      <c r="H144" s="60"/>
      <c r="I144" s="60"/>
      <c r="J144" s="65">
        <f>IF(Source!F58=0, "", Source!F58)</f>
        <v>136811.6</v>
      </c>
      <c r="K144" s="65"/>
    </row>
    <row r="145" spans="1:12" ht="14.25" x14ac:dyDescent="0.2">
      <c r="C145" s="60" t="str">
        <f>Source!H60</f>
        <v>Строительные работы с НР и СП</v>
      </c>
      <c r="D145" s="60"/>
      <c r="E145" s="60"/>
      <c r="F145" s="60"/>
      <c r="G145" s="60"/>
      <c r="H145" s="60"/>
      <c r="I145" s="60"/>
      <c r="J145" s="65">
        <f>IF(Source!F60=0, "", Source!F60)</f>
        <v>3588705.27</v>
      </c>
      <c r="K145" s="65"/>
    </row>
    <row r="146" spans="1:12" ht="14.25" x14ac:dyDescent="0.2">
      <c r="C146" s="60" t="str">
        <f>Source!H65</f>
        <v>Трудозатраты строителей</v>
      </c>
      <c r="D146" s="60"/>
      <c r="E146" s="60"/>
      <c r="F146" s="60"/>
      <c r="G146" s="60"/>
      <c r="H146" s="60"/>
      <c r="I146" s="60"/>
      <c r="J146" s="72">
        <f>IF(Source!F65=0, "", Source!F65)</f>
        <v>472.42890973999988</v>
      </c>
      <c r="K146" s="72"/>
    </row>
    <row r="147" spans="1:12" ht="14.25" x14ac:dyDescent="0.2">
      <c r="C147" s="60" t="str">
        <f>Source!H66</f>
        <v>Трудозатраты машинистов</v>
      </c>
      <c r="D147" s="60"/>
      <c r="E147" s="60"/>
      <c r="F147" s="60"/>
      <c r="G147" s="60"/>
      <c r="H147" s="60"/>
      <c r="I147" s="60"/>
      <c r="J147" s="72">
        <f>IF(Source!F66=0, "", Source!F66)</f>
        <v>101.60625187499998</v>
      </c>
      <c r="K147" s="72"/>
    </row>
    <row r="148" spans="1:12" ht="14.25" x14ac:dyDescent="0.2">
      <c r="C148" s="60" t="str">
        <f>Source!H68</f>
        <v>Перевозка грузов</v>
      </c>
      <c r="D148" s="60"/>
      <c r="E148" s="60"/>
      <c r="F148" s="60"/>
      <c r="G148" s="60"/>
      <c r="H148" s="60"/>
      <c r="I148" s="60"/>
      <c r="J148" s="65">
        <f>IF(Source!F68=0, "", Source!F68)</f>
        <v>161010.15</v>
      </c>
      <c r="K148" s="65"/>
    </row>
    <row r="149" spans="1:12" ht="14.25" x14ac:dyDescent="0.2">
      <c r="C149" s="60" t="str">
        <f>Source!H69</f>
        <v>Накладные расходы</v>
      </c>
      <c r="D149" s="60"/>
      <c r="E149" s="60"/>
      <c r="F149" s="60"/>
      <c r="G149" s="60"/>
      <c r="H149" s="60"/>
      <c r="I149" s="60"/>
      <c r="J149" s="65">
        <f>IF(Source!F69=0, "", Source!F69)</f>
        <v>258700.19</v>
      </c>
      <c r="K149" s="65"/>
    </row>
    <row r="150" spans="1:12" ht="14.25" x14ac:dyDescent="0.2">
      <c r="C150" s="60" t="str">
        <f>Source!H70</f>
        <v>Сметная прибыль</v>
      </c>
      <c r="D150" s="60"/>
      <c r="E150" s="60"/>
      <c r="F150" s="60"/>
      <c r="G150" s="60"/>
      <c r="H150" s="60"/>
      <c r="I150" s="60"/>
      <c r="J150" s="65">
        <f>IF(Source!F70=0, "", Source!F70)</f>
        <v>201920.44</v>
      </c>
      <c r="K150" s="65"/>
    </row>
    <row r="151" spans="1:12" ht="14.25" x14ac:dyDescent="0.2">
      <c r="C151" s="60" t="str">
        <f>Source!H71</f>
        <v>Всего с НР и СП</v>
      </c>
      <c r="D151" s="60"/>
      <c r="E151" s="60"/>
      <c r="F151" s="60"/>
      <c r="G151" s="60"/>
      <c r="H151" s="60"/>
      <c r="I151" s="60"/>
      <c r="J151" s="65">
        <f>IF(Source!F71=0, "", Source!F71)</f>
        <v>3588705.27</v>
      </c>
      <c r="K151" s="65"/>
    </row>
    <row r="152" spans="1:12" ht="14.25" x14ac:dyDescent="0.2">
      <c r="C152" s="60" t="str">
        <f>Source!H72</f>
        <v>НДС 20%</v>
      </c>
      <c r="D152" s="60"/>
      <c r="E152" s="60"/>
      <c r="F152" s="60"/>
      <c r="G152" s="60"/>
      <c r="H152" s="60"/>
      <c r="I152" s="60"/>
      <c r="J152" s="65">
        <f>IF(Source!F72=0, "", Source!F72)</f>
        <v>717741.05</v>
      </c>
      <c r="K152" s="65"/>
    </row>
    <row r="153" spans="1:12" ht="14.25" x14ac:dyDescent="0.2">
      <c r="C153" s="60" t="str">
        <f>Source!H73</f>
        <v>Всего с НДС 20%</v>
      </c>
      <c r="D153" s="60"/>
      <c r="E153" s="60"/>
      <c r="F153" s="60"/>
      <c r="G153" s="60"/>
      <c r="H153" s="60"/>
      <c r="I153" s="60"/>
      <c r="J153" s="65">
        <f>IF(Source!F73=0, "", Source!F73)</f>
        <v>4306446.32</v>
      </c>
      <c r="K153" s="65"/>
    </row>
    <row r="158" spans="1:12" ht="14.25" hidden="1" x14ac:dyDescent="0.2">
      <c r="A158" s="35" t="s">
        <v>397</v>
      </c>
      <c r="B158" s="35"/>
      <c r="C158" s="10" t="s">
        <v>398</v>
      </c>
      <c r="D158" s="32"/>
      <c r="E158" s="32"/>
      <c r="F158" s="32"/>
      <c r="G158" s="32"/>
      <c r="H158" s="32"/>
      <c r="I158" s="11"/>
      <c r="J158" s="10"/>
      <c r="K158" s="11"/>
      <c r="L158" s="11"/>
    </row>
    <row r="159" spans="1:12" ht="14.25" hidden="1" x14ac:dyDescent="0.2">
      <c r="A159" s="11"/>
      <c r="B159" s="11"/>
      <c r="C159" s="10"/>
      <c r="D159" s="71" t="s">
        <v>399</v>
      </c>
      <c r="E159" s="71"/>
      <c r="F159" s="71"/>
      <c r="G159" s="71"/>
      <c r="H159" s="71"/>
      <c r="I159" s="11"/>
      <c r="J159" s="10"/>
      <c r="K159" s="11"/>
      <c r="L159" s="11"/>
    </row>
    <row r="160" spans="1:12" ht="14.25" hidden="1" x14ac:dyDescent="0.2">
      <c r="A160" s="11"/>
      <c r="B160" s="11"/>
      <c r="C160" s="10"/>
      <c r="D160" s="11"/>
      <c r="E160" s="11"/>
      <c r="F160" s="11"/>
      <c r="G160" s="11"/>
      <c r="H160" s="11"/>
      <c r="I160" s="11"/>
      <c r="J160" s="10"/>
      <c r="K160" s="11"/>
      <c r="L160" s="11"/>
    </row>
    <row r="161" spans="1:12" ht="14.25" x14ac:dyDescent="0.2">
      <c r="A161" s="35" t="s">
        <v>397</v>
      </c>
      <c r="B161" s="35"/>
      <c r="C161" s="10" t="s">
        <v>400</v>
      </c>
      <c r="D161" s="32" t="str">
        <f>IF(Source!AC12&lt;&gt;"", Source!AC12," ")</f>
        <v xml:space="preserve"> </v>
      </c>
      <c r="E161" s="32"/>
      <c r="F161" s="32"/>
      <c r="G161" s="32"/>
      <c r="H161" s="32"/>
      <c r="I161" s="11" t="str">
        <f>IF(Source!AB12&lt;&gt;"", Source!AB12," ")</f>
        <v xml:space="preserve"> </v>
      </c>
      <c r="J161" s="10"/>
      <c r="K161" s="11"/>
      <c r="L161" s="11"/>
    </row>
    <row r="162" spans="1:12" ht="14.25" x14ac:dyDescent="0.2">
      <c r="A162" s="11"/>
      <c r="B162" s="11"/>
      <c r="C162" s="11"/>
      <c r="D162" s="71" t="s">
        <v>399</v>
      </c>
      <c r="E162" s="71"/>
      <c r="F162" s="71"/>
      <c r="G162" s="71"/>
      <c r="H162" s="71"/>
      <c r="I162" s="11"/>
      <c r="J162" s="11"/>
      <c r="K162" s="11"/>
      <c r="L162" s="11"/>
    </row>
    <row r="163" spans="1:12" ht="14.25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1:12" ht="14.25" x14ac:dyDescent="0.2">
      <c r="A164" s="11"/>
      <c r="B164" s="11"/>
      <c r="C164" s="10" t="s">
        <v>401</v>
      </c>
      <c r="D164" s="32" t="str">
        <f>IF(Source!AE12&lt;&gt;"", Source!AE12," ")</f>
        <v xml:space="preserve"> </v>
      </c>
      <c r="E164" s="32"/>
      <c r="F164" s="32"/>
      <c r="G164" s="32"/>
      <c r="H164" s="32"/>
      <c r="I164" s="11" t="str">
        <f>IF(Source!AD12&lt;&gt;"", Source!AD12," ")</f>
        <v xml:space="preserve"> </v>
      </c>
      <c r="J164" s="10"/>
      <c r="K164" s="11"/>
      <c r="L164" s="11"/>
    </row>
    <row r="165" spans="1:12" ht="14.25" x14ac:dyDescent="0.2">
      <c r="A165" s="11"/>
      <c r="B165" s="11"/>
      <c r="C165" s="11"/>
      <c r="D165" s="71" t="s">
        <v>399</v>
      </c>
      <c r="E165" s="71"/>
      <c r="F165" s="71"/>
      <c r="G165" s="71"/>
      <c r="H165" s="71"/>
      <c r="I165" s="11"/>
      <c r="J165" s="11"/>
      <c r="K165" s="11"/>
      <c r="L165" s="11"/>
    </row>
  </sheetData>
  <mergeCells count="106">
    <mergeCell ref="C148:I148"/>
    <mergeCell ref="J148:K148"/>
    <mergeCell ref="C143:I143"/>
    <mergeCell ref="J143:K143"/>
    <mergeCell ref="C144:I144"/>
    <mergeCell ref="J144:K144"/>
    <mergeCell ref="C145:I145"/>
    <mergeCell ref="J145:K145"/>
    <mergeCell ref="G134:H134"/>
    <mergeCell ref="G117:H117"/>
    <mergeCell ref="J114:K114"/>
    <mergeCell ref="G114:H114"/>
    <mergeCell ref="F112:G112"/>
    <mergeCell ref="J105:K105"/>
    <mergeCell ref="G105:H105"/>
    <mergeCell ref="C147:I147"/>
    <mergeCell ref="J147:K147"/>
    <mergeCell ref="G132:H132"/>
    <mergeCell ref="J129:K129"/>
    <mergeCell ref="G129:H129"/>
    <mergeCell ref="F127:G127"/>
    <mergeCell ref="J67:K67"/>
    <mergeCell ref="G67:H67"/>
    <mergeCell ref="J59:K59"/>
    <mergeCell ref="G59:H59"/>
    <mergeCell ref="J51:K51"/>
    <mergeCell ref="G51:H51"/>
    <mergeCell ref="J73:K73"/>
    <mergeCell ref="G73:H73"/>
    <mergeCell ref="J71:K71"/>
    <mergeCell ref="G71:H71"/>
    <mergeCell ref="J69:K69"/>
    <mergeCell ref="G69:H69"/>
    <mergeCell ref="J103:K103"/>
    <mergeCell ref="G103:H103"/>
    <mergeCell ref="F101:G101"/>
    <mergeCell ref="J94:K94"/>
    <mergeCell ref="D165:H165"/>
    <mergeCell ref="G94:H94"/>
    <mergeCell ref="J92:K92"/>
    <mergeCell ref="G92:H92"/>
    <mergeCell ref="F90:G90"/>
    <mergeCell ref="J83:K83"/>
    <mergeCell ref="G83:H83"/>
    <mergeCell ref="J119:K119"/>
    <mergeCell ref="G119:H119"/>
    <mergeCell ref="J117:K117"/>
    <mergeCell ref="C152:I152"/>
    <mergeCell ref="J152:K152"/>
    <mergeCell ref="C153:I153"/>
    <mergeCell ref="J153:K153"/>
    <mergeCell ref="D159:H159"/>
    <mergeCell ref="D162:H162"/>
    <mergeCell ref="C149:I149"/>
    <mergeCell ref="J149:K149"/>
    <mergeCell ref="C150:I150"/>
    <mergeCell ref="J150:K150"/>
    <mergeCell ref="C151:I151"/>
    <mergeCell ref="J151:K151"/>
    <mergeCell ref="C146:I146"/>
    <mergeCell ref="J146:K146"/>
    <mergeCell ref="C25:F25"/>
    <mergeCell ref="G25:H25"/>
    <mergeCell ref="I25:J25"/>
    <mergeCell ref="C140:I140"/>
    <mergeCell ref="J140:K140"/>
    <mergeCell ref="C141:I141"/>
    <mergeCell ref="J141:K141"/>
    <mergeCell ref="C142:I142"/>
    <mergeCell ref="J142:K142"/>
    <mergeCell ref="A30:L30"/>
    <mergeCell ref="C137:I137"/>
    <mergeCell ref="J137:K137"/>
    <mergeCell ref="C138:I138"/>
    <mergeCell ref="J138:K138"/>
    <mergeCell ref="C139:I139"/>
    <mergeCell ref="J139:K139"/>
    <mergeCell ref="F81:G81"/>
    <mergeCell ref="J75:K75"/>
    <mergeCell ref="G75:H75"/>
    <mergeCell ref="J42:K42"/>
    <mergeCell ref="G42:H42"/>
    <mergeCell ref="J134:K134"/>
    <mergeCell ref="A134:F134"/>
    <mergeCell ref="J132:K132"/>
    <mergeCell ref="B18:K18"/>
    <mergeCell ref="A20:L20"/>
    <mergeCell ref="G23:H23"/>
    <mergeCell ref="I23:J23"/>
    <mergeCell ref="B7:E7"/>
    <mergeCell ref="H7:L7"/>
    <mergeCell ref="B10:K10"/>
    <mergeCell ref="B11:K11"/>
    <mergeCell ref="C24:F24"/>
    <mergeCell ref="G24:H24"/>
    <mergeCell ref="I24:J24"/>
    <mergeCell ref="K24:L24"/>
    <mergeCell ref="B3:E3"/>
    <mergeCell ref="H3:L3"/>
    <mergeCell ref="B4:E4"/>
    <mergeCell ref="H4:L4"/>
    <mergeCell ref="B6:E6"/>
    <mergeCell ref="H6:L6"/>
    <mergeCell ref="B13:K13"/>
    <mergeCell ref="B15:K15"/>
    <mergeCell ref="B17:K17"/>
  </mergeCells>
  <pageMargins left="0.4" right="0.2" top="0.2" bottom="0.4" header="0.2" footer="0.2"/>
  <pageSetup paperSize="9" scale="59" fitToHeight="0" orientation="portrait" horizontalDpi="4294967292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40"/>
  <sheetViews>
    <sheetView workbookViewId="0">
      <selection activeCell="A136" sqref="A136:AN136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0</v>
      </c>
      <c r="L1">
        <v>31883</v>
      </c>
      <c r="M1">
        <v>18266318</v>
      </c>
      <c r="N1">
        <v>11</v>
      </c>
      <c r="O1">
        <v>6</v>
      </c>
      <c r="P1">
        <v>5</v>
      </c>
      <c r="Q1">
        <v>6</v>
      </c>
    </row>
    <row r="12" spans="1:133" x14ac:dyDescent="0.2">
      <c r="A12" s="1">
        <v>1</v>
      </c>
      <c r="B12" s="1">
        <v>135</v>
      </c>
      <c r="C12" s="1">
        <v>0</v>
      </c>
      <c r="D12" s="1">
        <f>ROW(A75)</f>
        <v>75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6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7</v>
      </c>
      <c r="BI12" s="1" t="s">
        <v>8</v>
      </c>
      <c r="BJ12" s="1">
        <v>0</v>
      </c>
      <c r="BK12" s="1">
        <v>0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9</v>
      </c>
      <c r="BZ12" s="1" t="s">
        <v>10</v>
      </c>
      <c r="CA12" s="1" t="s">
        <v>11</v>
      </c>
      <c r="CB12" s="1" t="s">
        <v>11</v>
      </c>
      <c r="CC12" s="1" t="s">
        <v>11</v>
      </c>
      <c r="CD12" s="1" t="s">
        <v>11</v>
      </c>
      <c r="CE12" s="1" t="s">
        <v>12</v>
      </c>
      <c r="CF12" s="1">
        <v>0</v>
      </c>
      <c r="CG12" s="1">
        <v>0</v>
      </c>
      <c r="CH12" s="1">
        <v>17301512</v>
      </c>
      <c r="CI12" s="1" t="s">
        <v>3</v>
      </c>
      <c r="CJ12" s="1" t="s">
        <v>3</v>
      </c>
      <c r="CK12" s="1">
        <v>9</v>
      </c>
      <c r="CL12" s="1"/>
      <c r="CM12" s="1"/>
      <c r="CN12" s="1"/>
      <c r="CO12" s="1"/>
      <c r="CP12" s="1"/>
      <c r="CQ12" s="1" t="s">
        <v>357</v>
      </c>
      <c r="CR12" s="1" t="s">
        <v>13</v>
      </c>
      <c r="CS12" s="1">
        <v>44551</v>
      </c>
      <c r="CT12" s="1">
        <v>395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B75</f>
        <v>135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1</v>
      </c>
      <c r="G18" s="2" t="str">
        <f t="shared" si="0"/>
        <v>Ремонт автодороги на территории завода - вариант 3</v>
      </c>
      <c r="H18" s="2"/>
      <c r="I18" s="2"/>
      <c r="J18" s="2"/>
      <c r="K18" s="2"/>
      <c r="L18" s="2"/>
      <c r="M18" s="2"/>
      <c r="N18" s="2"/>
      <c r="O18" s="2">
        <f t="shared" ref="O18:AT18" si="1">O75</f>
        <v>2967074.49</v>
      </c>
      <c r="P18" s="2">
        <f t="shared" si="1"/>
        <v>2498316.7999999998</v>
      </c>
      <c r="Q18" s="2">
        <f t="shared" si="1"/>
        <v>331946.09000000003</v>
      </c>
      <c r="R18" s="2">
        <f t="shared" si="1"/>
        <v>41644.18</v>
      </c>
      <c r="S18" s="2">
        <f t="shared" si="1"/>
        <v>136811.6</v>
      </c>
      <c r="T18" s="2">
        <f t="shared" si="1"/>
        <v>0</v>
      </c>
      <c r="U18" s="2">
        <f t="shared" si="1"/>
        <v>472.42890973999988</v>
      </c>
      <c r="V18" s="2">
        <f t="shared" si="1"/>
        <v>101.60625187499998</v>
      </c>
      <c r="W18" s="2">
        <f t="shared" si="1"/>
        <v>0</v>
      </c>
      <c r="X18" s="2">
        <f t="shared" si="1"/>
        <v>258700.19</v>
      </c>
      <c r="Y18" s="2">
        <f t="shared" si="1"/>
        <v>201920.44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3588705.27</v>
      </c>
      <c r="AS18" s="2">
        <f t="shared" si="1"/>
        <v>3588705.27</v>
      </c>
      <c r="AT18" s="2">
        <f t="shared" si="1"/>
        <v>0</v>
      </c>
      <c r="AU18" s="2">
        <f t="shared" ref="AU18:BZ18" si="2">AU75</f>
        <v>0</v>
      </c>
      <c r="AV18" s="2">
        <f t="shared" si="2"/>
        <v>2498316.7999999998</v>
      </c>
      <c r="AW18" s="2">
        <f t="shared" si="2"/>
        <v>2498316.7999999998</v>
      </c>
      <c r="AX18" s="2">
        <f t="shared" si="2"/>
        <v>0</v>
      </c>
      <c r="AY18" s="2">
        <f t="shared" si="2"/>
        <v>2498316.7999999998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161010.15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CA75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DG75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EM75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FS75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ROW(A43)</f>
        <v>43</v>
      </c>
      <c r="E20" s="1"/>
      <c r="F20" s="1" t="s">
        <v>14</v>
      </c>
      <c r="G20" s="1" t="s">
        <v>14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B43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O43</f>
        <v>2967074.49</v>
      </c>
      <c r="P22" s="2">
        <f t="shared" si="8"/>
        <v>2498316.7999999998</v>
      </c>
      <c r="Q22" s="2">
        <f t="shared" si="8"/>
        <v>331946.09000000003</v>
      </c>
      <c r="R22" s="2">
        <f t="shared" si="8"/>
        <v>41644.18</v>
      </c>
      <c r="S22" s="2">
        <f t="shared" si="8"/>
        <v>136811.6</v>
      </c>
      <c r="T22" s="2">
        <f t="shared" si="8"/>
        <v>0</v>
      </c>
      <c r="U22" s="2">
        <f t="shared" si="8"/>
        <v>472.42890973999988</v>
      </c>
      <c r="V22" s="2">
        <f t="shared" si="8"/>
        <v>101.60625187499998</v>
      </c>
      <c r="W22" s="2">
        <f t="shared" si="8"/>
        <v>0</v>
      </c>
      <c r="X22" s="2">
        <f t="shared" si="8"/>
        <v>258700.19</v>
      </c>
      <c r="Y22" s="2">
        <f t="shared" si="8"/>
        <v>201920.44</v>
      </c>
      <c r="Z22" s="2">
        <f t="shared" si="8"/>
        <v>0</v>
      </c>
      <c r="AA22" s="2">
        <f t="shared" si="8"/>
        <v>0</v>
      </c>
      <c r="AB22" s="2">
        <f t="shared" si="8"/>
        <v>2967074.49</v>
      </c>
      <c r="AC22" s="2">
        <f t="shared" si="8"/>
        <v>2498316.7999999998</v>
      </c>
      <c r="AD22" s="2">
        <f t="shared" si="8"/>
        <v>331946.09000000003</v>
      </c>
      <c r="AE22" s="2">
        <f t="shared" si="8"/>
        <v>41644.18</v>
      </c>
      <c r="AF22" s="2">
        <f t="shared" si="8"/>
        <v>136811.6</v>
      </c>
      <c r="AG22" s="2">
        <f t="shared" si="8"/>
        <v>0</v>
      </c>
      <c r="AH22" s="2">
        <f t="shared" si="8"/>
        <v>472.42890973999988</v>
      </c>
      <c r="AI22" s="2">
        <f t="shared" si="8"/>
        <v>101.60625187499998</v>
      </c>
      <c r="AJ22" s="2">
        <f t="shared" si="8"/>
        <v>0</v>
      </c>
      <c r="AK22" s="2">
        <f t="shared" si="8"/>
        <v>258700.19</v>
      </c>
      <c r="AL22" s="2">
        <f t="shared" si="8"/>
        <v>201920.44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3588705.27</v>
      </c>
      <c r="AS22" s="2">
        <f t="shared" si="8"/>
        <v>3588705.27</v>
      </c>
      <c r="AT22" s="2">
        <f t="shared" si="8"/>
        <v>0</v>
      </c>
      <c r="AU22" s="2">
        <f t="shared" ref="AU22:BZ22" si="9">AU43</f>
        <v>0</v>
      </c>
      <c r="AV22" s="2">
        <f t="shared" si="9"/>
        <v>2498316.7999999998</v>
      </c>
      <c r="AW22" s="2">
        <f t="shared" si="9"/>
        <v>2498316.7999999998</v>
      </c>
      <c r="AX22" s="2">
        <f t="shared" si="9"/>
        <v>0</v>
      </c>
      <c r="AY22" s="2">
        <f t="shared" si="9"/>
        <v>2498316.7999999998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161010.15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CA43</f>
        <v>3588705.27</v>
      </c>
      <c r="CB22" s="2">
        <f t="shared" si="10"/>
        <v>3588705.27</v>
      </c>
      <c r="CC22" s="2">
        <f t="shared" si="10"/>
        <v>0</v>
      </c>
      <c r="CD22" s="2">
        <f t="shared" si="10"/>
        <v>0</v>
      </c>
      <c r="CE22" s="2">
        <f t="shared" si="10"/>
        <v>2498316.7999999998</v>
      </c>
      <c r="CF22" s="2">
        <f t="shared" si="10"/>
        <v>2498316.7999999998</v>
      </c>
      <c r="CG22" s="2">
        <f t="shared" si="10"/>
        <v>0</v>
      </c>
      <c r="CH22" s="2">
        <f t="shared" si="10"/>
        <v>2498316.7999999998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161010.15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DG43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EM43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FS43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ROW(SmtRes!A7)</f>
        <v>7</v>
      </c>
      <c r="D24">
        <f>ROW(EtalonRes!A7)</f>
        <v>7</v>
      </c>
      <c r="E24" t="s">
        <v>4</v>
      </c>
      <c r="F24" t="s">
        <v>15</v>
      </c>
      <c r="G24" t="s">
        <v>16</v>
      </c>
      <c r="H24" t="s">
        <v>17</v>
      </c>
      <c r="I24">
        <f>ROUND(ROUND(939/100,4),9)</f>
        <v>9.39</v>
      </c>
      <c r="J24">
        <v>0</v>
      </c>
      <c r="K24">
        <f>ROUND(ROUND(939/100,4),9)</f>
        <v>9.39</v>
      </c>
      <c r="O24">
        <f>ROUND(CP24,2)</f>
        <v>173953.56</v>
      </c>
      <c r="P24">
        <f>ROUND(CQ24*I24,2)</f>
        <v>21.24</v>
      </c>
      <c r="Q24">
        <f>ROUND(CR24*I24,2)</f>
        <v>172494.63</v>
      </c>
      <c r="R24">
        <f>ROUND(CS24*I24,2)</f>
        <v>2968.24</v>
      </c>
      <c r="S24">
        <f>ROUND(CT24*I24,2)</f>
        <v>1437.69</v>
      </c>
      <c r="T24">
        <f>ROUND(CU24*I24,2)</f>
        <v>0</v>
      </c>
      <c r="U24">
        <f>CV24*I24</f>
        <v>4.4273849999999992</v>
      </c>
      <c r="V24">
        <f>CW24*I24</f>
        <v>6.8030549999999996</v>
      </c>
      <c r="W24">
        <f>ROUND(CX24*I24,2)</f>
        <v>0</v>
      </c>
      <c r="X24">
        <f t="shared" ref="X24:Y27" si="14">ROUND(CY24,2)</f>
        <v>6476.72</v>
      </c>
      <c r="Y24">
        <f t="shared" si="14"/>
        <v>5903.95</v>
      </c>
      <c r="AA24">
        <v>146929938</v>
      </c>
      <c r="AB24">
        <f>ROUND((AC24+AD24+AF24),2)</f>
        <v>1456.92</v>
      </c>
      <c r="AC24">
        <f>ROUND((ES24),2)</f>
        <v>0.25</v>
      </c>
      <c r="AD24">
        <f>ROUND(((((ET24*1.15))-((EU24*1.15)))+AE24),2)</f>
        <v>1452.18</v>
      </c>
      <c r="AE24">
        <f>ROUND(((EU24*1.15)),2)</f>
        <v>9.27</v>
      </c>
      <c r="AF24">
        <f>ROUND(((EV24*1.15)),2)</f>
        <v>4.49</v>
      </c>
      <c r="AG24">
        <f>ROUND((AP24),2)</f>
        <v>0</v>
      </c>
      <c r="AH24">
        <f>((EW24*1.15))</f>
        <v>0.47149999999999992</v>
      </c>
      <c r="AI24">
        <f>((EX24*1.15))</f>
        <v>0.72449999999999992</v>
      </c>
      <c r="AJ24">
        <f>(AS24)</f>
        <v>0</v>
      </c>
      <c r="AK24">
        <v>1266.9100000000001</v>
      </c>
      <c r="AL24">
        <v>0.25</v>
      </c>
      <c r="AM24">
        <v>1262.76</v>
      </c>
      <c r="AN24">
        <v>8.06</v>
      </c>
      <c r="AO24">
        <v>3.9</v>
      </c>
      <c r="AP24">
        <v>0</v>
      </c>
      <c r="AQ24">
        <v>0.41</v>
      </c>
      <c r="AR24">
        <v>0.63</v>
      </c>
      <c r="AS24">
        <v>0</v>
      </c>
      <c r="AT24">
        <v>147</v>
      </c>
      <c r="AU24">
        <v>134</v>
      </c>
      <c r="AV24">
        <v>1</v>
      </c>
      <c r="AW24">
        <v>1</v>
      </c>
      <c r="AZ24">
        <v>1</v>
      </c>
      <c r="BA24">
        <v>34.1</v>
      </c>
      <c r="BB24">
        <v>12.65</v>
      </c>
      <c r="BC24">
        <v>9.0500000000000007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1</v>
      </c>
      <c r="BJ24" t="s">
        <v>18</v>
      </c>
      <c r="BM24">
        <v>27001</v>
      </c>
      <c r="BN24">
        <v>0</v>
      </c>
      <c r="BO24" t="s">
        <v>3</v>
      </c>
      <c r="BP24">
        <v>0</v>
      </c>
      <c r="BQ24">
        <v>2</v>
      </c>
      <c r="BR24">
        <v>0</v>
      </c>
      <c r="BS24">
        <v>34.1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147</v>
      </c>
      <c r="CA24">
        <v>134</v>
      </c>
      <c r="CB24" t="s">
        <v>3</v>
      </c>
      <c r="CE24">
        <v>0</v>
      </c>
      <c r="CF24">
        <v>0</v>
      </c>
      <c r="CG24">
        <v>0</v>
      </c>
      <c r="CM24">
        <v>0</v>
      </c>
      <c r="CN24" t="s">
        <v>358</v>
      </c>
      <c r="CO24">
        <v>0</v>
      </c>
      <c r="CP24">
        <f>(P24+Q24+S24)</f>
        <v>173953.56</v>
      </c>
      <c r="CQ24">
        <f>AC24*BC24</f>
        <v>2.2625000000000002</v>
      </c>
      <c r="CR24">
        <f>((((ET24*1.15))*BB24-((EU24*1.15))*BS24)+AE24*BS24)</f>
        <v>18370.035200000002</v>
      </c>
      <c r="CS24">
        <f>AE24*BS24</f>
        <v>316.10699999999997</v>
      </c>
      <c r="CT24">
        <f>AF24*BA24</f>
        <v>153.10900000000001</v>
      </c>
      <c r="CU24">
        <f t="shared" ref="CU24:CX27" si="15">AG24</f>
        <v>0</v>
      </c>
      <c r="CV24">
        <f t="shared" si="15"/>
        <v>0.47149999999999992</v>
      </c>
      <c r="CW24">
        <f t="shared" si="15"/>
        <v>0.72449999999999992</v>
      </c>
      <c r="CX24">
        <f t="shared" si="15"/>
        <v>0</v>
      </c>
      <c r="CY24">
        <f>(((S24+R24)*AT24)/100)</f>
        <v>6476.7171000000008</v>
      </c>
      <c r="CZ24">
        <f>(((S24+R24)*AU24)/100)</f>
        <v>5903.9462000000003</v>
      </c>
      <c r="DC24" t="s">
        <v>3</v>
      </c>
      <c r="DD24" t="s">
        <v>3</v>
      </c>
      <c r="DE24" t="s">
        <v>19</v>
      </c>
      <c r="DF24" t="s">
        <v>19</v>
      </c>
      <c r="DG24" t="s">
        <v>19</v>
      </c>
      <c r="DH24" t="s">
        <v>3</v>
      </c>
      <c r="DI24" t="s">
        <v>19</v>
      </c>
      <c r="DJ24" t="s">
        <v>19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1005</v>
      </c>
      <c r="DV24" t="s">
        <v>17</v>
      </c>
      <c r="DW24" t="s">
        <v>17</v>
      </c>
      <c r="DX24">
        <v>100</v>
      </c>
      <c r="DZ24" t="s">
        <v>3</v>
      </c>
      <c r="EA24" t="s">
        <v>3</v>
      </c>
      <c r="EB24" t="s">
        <v>3</v>
      </c>
      <c r="EC24" t="s">
        <v>3</v>
      </c>
      <c r="EE24">
        <v>140625082</v>
      </c>
      <c r="EF24">
        <v>2</v>
      </c>
      <c r="EG24" t="s">
        <v>20</v>
      </c>
      <c r="EH24">
        <v>21</v>
      </c>
      <c r="EI24" t="s">
        <v>21</v>
      </c>
      <c r="EJ24">
        <v>1</v>
      </c>
      <c r="EK24">
        <v>27001</v>
      </c>
      <c r="EL24" t="s">
        <v>21</v>
      </c>
      <c r="EM24" t="s">
        <v>22</v>
      </c>
      <c r="EO24" t="s">
        <v>23</v>
      </c>
      <c r="EQ24">
        <v>0</v>
      </c>
      <c r="ER24">
        <v>1266.9100000000001</v>
      </c>
      <c r="ES24">
        <v>0.25</v>
      </c>
      <c r="ET24">
        <v>1262.76</v>
      </c>
      <c r="EU24">
        <v>8.06</v>
      </c>
      <c r="EV24">
        <v>3.9</v>
      </c>
      <c r="EW24">
        <v>0.41</v>
      </c>
      <c r="EX24">
        <v>0.63</v>
      </c>
      <c r="EY24">
        <v>0</v>
      </c>
      <c r="FQ24">
        <v>0</v>
      </c>
      <c r="FR24">
        <f t="shared" ref="FR24:FR41" si="16">ROUND(IF(BI24=3,GM24,0),2)</f>
        <v>0</v>
      </c>
      <c r="FS24">
        <v>0</v>
      </c>
      <c r="FX24">
        <v>147</v>
      </c>
      <c r="FY24">
        <v>134</v>
      </c>
      <c r="GA24" t="s">
        <v>3</v>
      </c>
      <c r="GD24">
        <v>1</v>
      </c>
      <c r="GF24">
        <v>-952905748</v>
      </c>
      <c r="GG24">
        <v>2</v>
      </c>
      <c r="GH24">
        <v>1</v>
      </c>
      <c r="GI24">
        <v>4</v>
      </c>
      <c r="GJ24">
        <v>0</v>
      </c>
      <c r="GK24">
        <v>0</v>
      </c>
      <c r="GL24">
        <f t="shared" ref="GL24:GL41" si="17">ROUND(IF(AND(BH24=3,BI24=3,FS24&lt;&gt;0),P24,0),2)</f>
        <v>0</v>
      </c>
      <c r="GM24">
        <f>ROUND(O24+X24+Y24,2)+GX24</f>
        <v>186334.23</v>
      </c>
      <c r="GN24">
        <f>IF(OR(BI24=0,BI24=1),ROUND(O24+X24+Y24,2),0)</f>
        <v>186334.23</v>
      </c>
      <c r="GO24">
        <f>IF(BI24=2,ROUND(O24+X24+Y24,2),0)</f>
        <v>0</v>
      </c>
      <c r="GP24">
        <f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>ROUND((GT24),2)</f>
        <v>0</v>
      </c>
      <c r="GW24">
        <v>1</v>
      </c>
      <c r="GX24">
        <f>ROUND(HC24*I24,2)</f>
        <v>0</v>
      </c>
      <c r="HA24">
        <v>0</v>
      </c>
      <c r="HB24">
        <v>0</v>
      </c>
      <c r="HC24">
        <f>GV24*GW24</f>
        <v>0</v>
      </c>
      <c r="HE24" t="s">
        <v>3</v>
      </c>
      <c r="HF24" t="s">
        <v>3</v>
      </c>
      <c r="HM24" t="s">
        <v>3</v>
      </c>
      <c r="HN24" t="s">
        <v>24</v>
      </c>
      <c r="HO24" t="s">
        <v>25</v>
      </c>
      <c r="HP24" t="s">
        <v>21</v>
      </c>
      <c r="HQ24" t="s">
        <v>21</v>
      </c>
      <c r="IK24">
        <v>0</v>
      </c>
    </row>
    <row r="25" spans="1:245" x14ac:dyDescent="0.2">
      <c r="A25">
        <v>17</v>
      </c>
      <c r="B25">
        <v>1</v>
      </c>
      <c r="C25">
        <f>ROW(SmtRes!A10)</f>
        <v>10</v>
      </c>
      <c r="D25">
        <f>ROW(EtalonRes!A10)</f>
        <v>10</v>
      </c>
      <c r="E25" t="s">
        <v>26</v>
      </c>
      <c r="F25" t="s">
        <v>27</v>
      </c>
      <c r="G25" t="s">
        <v>28</v>
      </c>
      <c r="H25" t="s">
        <v>29</v>
      </c>
      <c r="I25">
        <f>ROUND((20*2)/100,9)</f>
        <v>0.4</v>
      </c>
      <c r="J25">
        <v>0</v>
      </c>
      <c r="K25">
        <f>ROUND((20*2)/100,9)</f>
        <v>0.4</v>
      </c>
      <c r="O25">
        <f>ROUND(CP25,2)</f>
        <v>8813.59</v>
      </c>
      <c r="P25">
        <f>ROUND(CQ25*I25,2)</f>
        <v>1947.6</v>
      </c>
      <c r="Q25">
        <f>ROUND(CR25*I25,2)</f>
        <v>4815.22</v>
      </c>
      <c r="R25">
        <f>ROUND(CS25*I25,2)</f>
        <v>0</v>
      </c>
      <c r="S25">
        <f>ROUND(CT25*I25,2)</f>
        <v>2050.77</v>
      </c>
      <c r="T25">
        <f>ROUND(CU25*I25,2)</f>
        <v>0</v>
      </c>
      <c r="U25">
        <f>CV25*I25</f>
        <v>6.2514000000000003</v>
      </c>
      <c r="V25">
        <f>CW25*I25</f>
        <v>0</v>
      </c>
      <c r="W25">
        <f>ROUND(CX25*I25,2)</f>
        <v>0</v>
      </c>
      <c r="X25">
        <f t="shared" si="14"/>
        <v>2194.3200000000002</v>
      </c>
      <c r="Y25">
        <f t="shared" si="14"/>
        <v>1415.03</v>
      </c>
      <c r="AA25">
        <v>146929938</v>
      </c>
      <c r="AB25">
        <f>ROUND((AC25+AD25+AF25),2)</f>
        <v>1639.99</v>
      </c>
      <c r="AC25">
        <f>ROUND((ES25),2)</f>
        <v>538.01</v>
      </c>
      <c r="AD25">
        <f>ROUND(((((ET25*1.15))-((EU25*1.15)))+AE25),2)</f>
        <v>951.63</v>
      </c>
      <c r="AE25">
        <f>ROUND(((EU25*1.15)),2)</f>
        <v>0</v>
      </c>
      <c r="AF25">
        <f>ROUND(((EV25*1.15)),2)</f>
        <v>150.35</v>
      </c>
      <c r="AG25">
        <f>ROUND((AP25),2)</f>
        <v>0</v>
      </c>
      <c r="AH25">
        <f>((EW25*1.15))</f>
        <v>15.628499999999999</v>
      </c>
      <c r="AI25">
        <f>((EX25*1.15))</f>
        <v>0</v>
      </c>
      <c r="AJ25">
        <f>(AS25)</f>
        <v>0</v>
      </c>
      <c r="AK25">
        <v>1496.25</v>
      </c>
      <c r="AL25">
        <v>538.01</v>
      </c>
      <c r="AM25">
        <v>827.5</v>
      </c>
      <c r="AN25">
        <v>0</v>
      </c>
      <c r="AO25">
        <v>130.74</v>
      </c>
      <c r="AP25">
        <v>0</v>
      </c>
      <c r="AQ25">
        <v>13.59</v>
      </c>
      <c r="AR25">
        <v>0</v>
      </c>
      <c r="AS25">
        <v>0</v>
      </c>
      <c r="AT25">
        <v>107</v>
      </c>
      <c r="AU25">
        <v>69</v>
      </c>
      <c r="AV25">
        <v>1</v>
      </c>
      <c r="AW25">
        <v>1</v>
      </c>
      <c r="AZ25">
        <v>1</v>
      </c>
      <c r="BA25">
        <v>34.1</v>
      </c>
      <c r="BB25">
        <v>12.65</v>
      </c>
      <c r="BC25">
        <v>9.0500000000000007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30</v>
      </c>
      <c r="BM25">
        <v>31001</v>
      </c>
      <c r="BN25">
        <v>0</v>
      </c>
      <c r="BO25" t="s">
        <v>3</v>
      </c>
      <c r="BP25">
        <v>0</v>
      </c>
      <c r="BQ25">
        <v>2</v>
      </c>
      <c r="BR25">
        <v>0</v>
      </c>
      <c r="BS25">
        <v>34.1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107</v>
      </c>
      <c r="CA25">
        <v>69</v>
      </c>
      <c r="CB25" t="s">
        <v>3</v>
      </c>
      <c r="CE25">
        <v>0</v>
      </c>
      <c r="CF25">
        <v>0</v>
      </c>
      <c r="CG25">
        <v>0</v>
      </c>
      <c r="CM25">
        <v>0</v>
      </c>
      <c r="CN25" t="s">
        <v>358</v>
      </c>
      <c r="CO25">
        <v>0</v>
      </c>
      <c r="CP25">
        <f>(P25+Q25+S25)</f>
        <v>8813.59</v>
      </c>
      <c r="CQ25">
        <f>AC25*BC25</f>
        <v>4868.9904999999999</v>
      </c>
      <c r="CR25">
        <f>((((ET25*1.15))*BB25-((EU25*1.15))*BS25)+AE25*BS25)</f>
        <v>12038.05625</v>
      </c>
      <c r="CS25">
        <f>AE25*BS25</f>
        <v>0</v>
      </c>
      <c r="CT25">
        <f>AF25*BA25</f>
        <v>5126.9350000000004</v>
      </c>
      <c r="CU25">
        <f t="shared" si="15"/>
        <v>0</v>
      </c>
      <c r="CV25">
        <f t="shared" si="15"/>
        <v>15.628499999999999</v>
      </c>
      <c r="CW25">
        <f t="shared" si="15"/>
        <v>0</v>
      </c>
      <c r="CX25">
        <f t="shared" si="15"/>
        <v>0</v>
      </c>
      <c r="CY25">
        <f>(((S25+R25)*AT25)/100)</f>
        <v>2194.3238999999999</v>
      </c>
      <c r="CZ25">
        <f>(((S25+R25)*AU25)/100)</f>
        <v>1415.0313000000001</v>
      </c>
      <c r="DC25" t="s">
        <v>3</v>
      </c>
      <c r="DD25" t="s">
        <v>3</v>
      </c>
      <c r="DE25" t="s">
        <v>19</v>
      </c>
      <c r="DF25" t="s">
        <v>19</v>
      </c>
      <c r="DG25" t="s">
        <v>19</v>
      </c>
      <c r="DH25" t="s">
        <v>3</v>
      </c>
      <c r="DI25" t="s">
        <v>19</v>
      </c>
      <c r="DJ25" t="s">
        <v>19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1003</v>
      </c>
      <c r="DV25" t="s">
        <v>29</v>
      </c>
      <c r="DW25" t="s">
        <v>29</v>
      </c>
      <c r="DX25">
        <v>100</v>
      </c>
      <c r="DZ25" t="s">
        <v>3</v>
      </c>
      <c r="EA25" t="s">
        <v>3</v>
      </c>
      <c r="EB25" t="s">
        <v>3</v>
      </c>
      <c r="EC25" t="s">
        <v>3</v>
      </c>
      <c r="EE25">
        <v>140625101</v>
      </c>
      <c r="EF25">
        <v>2</v>
      </c>
      <c r="EG25" t="s">
        <v>20</v>
      </c>
      <c r="EH25">
        <v>25</v>
      </c>
      <c r="EI25" t="s">
        <v>31</v>
      </c>
      <c r="EJ25">
        <v>1</v>
      </c>
      <c r="EK25">
        <v>31001</v>
      </c>
      <c r="EL25" t="s">
        <v>31</v>
      </c>
      <c r="EM25" t="s">
        <v>32</v>
      </c>
      <c r="EO25" t="s">
        <v>23</v>
      </c>
      <c r="EQ25">
        <v>0</v>
      </c>
      <c r="ER25">
        <v>1496.25</v>
      </c>
      <c r="ES25">
        <v>538.01</v>
      </c>
      <c r="ET25">
        <v>827.5</v>
      </c>
      <c r="EU25">
        <v>0</v>
      </c>
      <c r="EV25">
        <v>130.74</v>
      </c>
      <c r="EW25">
        <v>13.59</v>
      </c>
      <c r="EX25">
        <v>0</v>
      </c>
      <c r="EY25">
        <v>0</v>
      </c>
      <c r="FQ25">
        <v>0</v>
      </c>
      <c r="FR25">
        <f t="shared" si="16"/>
        <v>0</v>
      </c>
      <c r="FS25">
        <v>0</v>
      </c>
      <c r="FX25">
        <v>107</v>
      </c>
      <c r="FY25">
        <v>69</v>
      </c>
      <c r="GA25" t="s">
        <v>3</v>
      </c>
      <c r="GD25">
        <v>1</v>
      </c>
      <c r="GF25">
        <v>-675532346</v>
      </c>
      <c r="GG25">
        <v>2</v>
      </c>
      <c r="GH25">
        <v>1</v>
      </c>
      <c r="GI25">
        <v>4</v>
      </c>
      <c r="GJ25">
        <v>0</v>
      </c>
      <c r="GK25">
        <v>0</v>
      </c>
      <c r="GL25">
        <f t="shared" si="17"/>
        <v>0</v>
      </c>
      <c r="GM25">
        <f>ROUND(O25+X25+Y25,2)+GX25</f>
        <v>12422.94</v>
      </c>
      <c r="GN25">
        <f>IF(OR(BI25=0,BI25=1),ROUND(O25+X25+Y25,2),0)</f>
        <v>12422.94</v>
      </c>
      <c r="GO25">
        <f>IF(BI25=2,ROUND(O25+X25+Y25,2),0)</f>
        <v>0</v>
      </c>
      <c r="GP25">
        <f>IF(BI25=4,ROUND(O25+X25+Y25,2)+GX25,0)</f>
        <v>0</v>
      </c>
      <c r="GR25">
        <v>0</v>
      </c>
      <c r="GS25">
        <v>3</v>
      </c>
      <c r="GT25">
        <v>0</v>
      </c>
      <c r="GU25" t="s">
        <v>3</v>
      </c>
      <c r="GV25">
        <f>ROUND((GT25),2)</f>
        <v>0</v>
      </c>
      <c r="GW25">
        <v>1</v>
      </c>
      <c r="GX25">
        <f>ROUND(HC25*I25,2)</f>
        <v>0</v>
      </c>
      <c r="HA25">
        <v>0</v>
      </c>
      <c r="HB25">
        <v>0</v>
      </c>
      <c r="HC25">
        <f>GV25*GW25</f>
        <v>0</v>
      </c>
      <c r="HE25" t="s">
        <v>3</v>
      </c>
      <c r="HF25" t="s">
        <v>3</v>
      </c>
      <c r="HM25" t="s">
        <v>3</v>
      </c>
      <c r="HN25" t="s">
        <v>33</v>
      </c>
      <c r="HO25" t="s">
        <v>34</v>
      </c>
      <c r="HP25" t="s">
        <v>31</v>
      </c>
      <c r="HQ25" t="s">
        <v>31</v>
      </c>
      <c r="IK25">
        <v>0</v>
      </c>
    </row>
    <row r="26" spans="1:245" x14ac:dyDescent="0.2">
      <c r="A26">
        <v>17</v>
      </c>
      <c r="B26">
        <v>1</v>
      </c>
      <c r="C26">
        <f>ROW(SmtRes!A13)</f>
        <v>13</v>
      </c>
      <c r="D26">
        <f>ROW(EtalonRes!A13)</f>
        <v>13</v>
      </c>
      <c r="E26" t="s">
        <v>35</v>
      </c>
      <c r="F26" t="s">
        <v>36</v>
      </c>
      <c r="G26" t="s">
        <v>37</v>
      </c>
      <c r="H26" t="s">
        <v>29</v>
      </c>
      <c r="I26">
        <f>ROUND(I25,9)</f>
        <v>0.4</v>
      </c>
      <c r="J26">
        <v>0</v>
      </c>
      <c r="K26">
        <f>ROUND(I25,9)</f>
        <v>0.4</v>
      </c>
      <c r="O26">
        <f>ROUND(CP26,2)</f>
        <v>26398.42</v>
      </c>
      <c r="P26">
        <f>ROUND(CQ26*I26,2)</f>
        <v>6163.05</v>
      </c>
      <c r="Q26">
        <f>ROUND(CR26*I26,2)</f>
        <v>14190.8</v>
      </c>
      <c r="R26">
        <f>ROUND(CS26*I26,2)</f>
        <v>0</v>
      </c>
      <c r="S26">
        <f>ROUND(CT26*I26,2)</f>
        <v>6044.57</v>
      </c>
      <c r="T26">
        <f>ROUND(CU26*I26,2)</f>
        <v>0</v>
      </c>
      <c r="U26">
        <f>CV26*I26</f>
        <v>18.422999999999998</v>
      </c>
      <c r="V26">
        <f>CW26*I26</f>
        <v>0</v>
      </c>
      <c r="W26">
        <f>ROUND(CX26*I26,2)</f>
        <v>0</v>
      </c>
      <c r="X26">
        <f t="shared" si="14"/>
        <v>6467.69</v>
      </c>
      <c r="Y26">
        <f t="shared" si="14"/>
        <v>4170.75</v>
      </c>
      <c r="AA26">
        <v>146929938</v>
      </c>
      <c r="AB26">
        <f>ROUND((AC26+AD26+AF26),2)</f>
        <v>4950.16</v>
      </c>
      <c r="AC26">
        <f>ROUND(((ES26*15)),2)</f>
        <v>1702.5</v>
      </c>
      <c r="AD26">
        <f>ROUND((((((ET26*1.15)*15))-(((EU26*1.15)*15)))+AE26),2)</f>
        <v>2804.51</v>
      </c>
      <c r="AE26">
        <f>ROUND((((EU26*1.15)*15)),2)</f>
        <v>0</v>
      </c>
      <c r="AF26">
        <f>ROUND((((EV26*1.15)*15)),2)</f>
        <v>443.15</v>
      </c>
      <c r="AG26">
        <f>ROUND((AP26),2)</f>
        <v>0</v>
      </c>
      <c r="AH26">
        <f>(((EW26*1.15)*15))</f>
        <v>46.05749999999999</v>
      </c>
      <c r="AI26">
        <f>(((EX26*1.15)*15))</f>
        <v>0</v>
      </c>
      <c r="AJ26">
        <f>(AS26)</f>
        <v>0</v>
      </c>
      <c r="AK26">
        <v>301.77</v>
      </c>
      <c r="AL26">
        <v>113.5</v>
      </c>
      <c r="AM26">
        <v>162.58000000000001</v>
      </c>
      <c r="AN26">
        <v>0</v>
      </c>
      <c r="AO26">
        <v>25.69</v>
      </c>
      <c r="AP26">
        <v>0</v>
      </c>
      <c r="AQ26">
        <v>2.67</v>
      </c>
      <c r="AR26">
        <v>0</v>
      </c>
      <c r="AS26">
        <v>0</v>
      </c>
      <c r="AT26">
        <v>107</v>
      </c>
      <c r="AU26">
        <v>69</v>
      </c>
      <c r="AV26">
        <v>1</v>
      </c>
      <c r="AW26">
        <v>1</v>
      </c>
      <c r="AZ26">
        <v>1</v>
      </c>
      <c r="BA26">
        <v>34.1</v>
      </c>
      <c r="BB26">
        <v>12.65</v>
      </c>
      <c r="BC26">
        <v>9.0500000000000007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1</v>
      </c>
      <c r="BJ26" t="s">
        <v>38</v>
      </c>
      <c r="BM26">
        <v>31001</v>
      </c>
      <c r="BN26">
        <v>0</v>
      </c>
      <c r="BO26" t="s">
        <v>3</v>
      </c>
      <c r="BP26">
        <v>0</v>
      </c>
      <c r="BQ26">
        <v>2</v>
      </c>
      <c r="BR26">
        <v>0</v>
      </c>
      <c r="BS26">
        <v>34.1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107</v>
      </c>
      <c r="CA26">
        <v>69</v>
      </c>
      <c r="CB26" t="s">
        <v>3</v>
      </c>
      <c r="CE26">
        <v>0</v>
      </c>
      <c r="CF26">
        <v>0</v>
      </c>
      <c r="CG26">
        <v>0</v>
      </c>
      <c r="CM26">
        <v>0</v>
      </c>
      <c r="CN26" t="s">
        <v>358</v>
      </c>
      <c r="CO26">
        <v>0</v>
      </c>
      <c r="CP26">
        <f>(P26+Q26+S26)</f>
        <v>26398.42</v>
      </c>
      <c r="CQ26">
        <f>AC26*BC26</f>
        <v>15407.625000000002</v>
      </c>
      <c r="CR26">
        <f>(((((ET26*1.15)*15))*BB26-(((EU26*1.15)*15))*BS26)+AE26*BS26)</f>
        <v>35476.988250000002</v>
      </c>
      <c r="CS26">
        <f>AE26*BS26</f>
        <v>0</v>
      </c>
      <c r="CT26">
        <f>AF26*BA26</f>
        <v>15111.414999999999</v>
      </c>
      <c r="CU26">
        <f t="shared" si="15"/>
        <v>0</v>
      </c>
      <c r="CV26">
        <f t="shared" si="15"/>
        <v>46.05749999999999</v>
      </c>
      <c r="CW26">
        <f t="shared" si="15"/>
        <v>0</v>
      </c>
      <c r="CX26">
        <f t="shared" si="15"/>
        <v>0</v>
      </c>
      <c r="CY26">
        <f>(((S26+R26)*AT26)/100)</f>
        <v>6467.6899000000003</v>
      </c>
      <c r="CZ26">
        <f>(((S26+R26)*AU26)/100)</f>
        <v>4170.7532999999994</v>
      </c>
      <c r="DC26" t="s">
        <v>3</v>
      </c>
      <c r="DD26" t="s">
        <v>39</v>
      </c>
      <c r="DE26" t="s">
        <v>40</v>
      </c>
      <c r="DF26" t="s">
        <v>40</v>
      </c>
      <c r="DG26" t="s">
        <v>40</v>
      </c>
      <c r="DH26" t="s">
        <v>3</v>
      </c>
      <c r="DI26" t="s">
        <v>40</v>
      </c>
      <c r="DJ26" t="s">
        <v>40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1003</v>
      </c>
      <c r="DV26" t="s">
        <v>29</v>
      </c>
      <c r="DW26" t="s">
        <v>29</v>
      </c>
      <c r="DX26">
        <v>100</v>
      </c>
      <c r="DZ26" t="s">
        <v>3</v>
      </c>
      <c r="EA26" t="s">
        <v>3</v>
      </c>
      <c r="EB26" t="s">
        <v>3</v>
      </c>
      <c r="EC26" t="s">
        <v>3</v>
      </c>
      <c r="EE26">
        <v>140625101</v>
      </c>
      <c r="EF26">
        <v>2</v>
      </c>
      <c r="EG26" t="s">
        <v>20</v>
      </c>
      <c r="EH26">
        <v>25</v>
      </c>
      <c r="EI26" t="s">
        <v>31</v>
      </c>
      <c r="EJ26">
        <v>1</v>
      </c>
      <c r="EK26">
        <v>31001</v>
      </c>
      <c r="EL26" t="s">
        <v>31</v>
      </c>
      <c r="EM26" t="s">
        <v>32</v>
      </c>
      <c r="EO26" t="s">
        <v>23</v>
      </c>
      <c r="EQ26">
        <v>0</v>
      </c>
      <c r="ER26">
        <v>301.77</v>
      </c>
      <c r="ES26">
        <v>113.5</v>
      </c>
      <c r="ET26">
        <v>162.58000000000001</v>
      </c>
      <c r="EU26">
        <v>0</v>
      </c>
      <c r="EV26">
        <v>25.69</v>
      </c>
      <c r="EW26">
        <v>2.67</v>
      </c>
      <c r="EX26">
        <v>0</v>
      </c>
      <c r="EY26">
        <v>0</v>
      </c>
      <c r="FQ26">
        <v>0</v>
      </c>
      <c r="FR26">
        <f t="shared" si="16"/>
        <v>0</v>
      </c>
      <c r="FS26">
        <v>0</v>
      </c>
      <c r="FX26">
        <v>107</v>
      </c>
      <c r="FY26">
        <v>69</v>
      </c>
      <c r="GA26" t="s">
        <v>3</v>
      </c>
      <c r="GD26">
        <v>1</v>
      </c>
      <c r="GF26">
        <v>1876405340</v>
      </c>
      <c r="GG26">
        <v>2</v>
      </c>
      <c r="GH26">
        <v>1</v>
      </c>
      <c r="GI26">
        <v>4</v>
      </c>
      <c r="GJ26">
        <v>0</v>
      </c>
      <c r="GK26">
        <v>0</v>
      </c>
      <c r="GL26">
        <f t="shared" si="17"/>
        <v>0</v>
      </c>
      <c r="GM26">
        <f>ROUND(O26+X26+Y26,2)+GX26</f>
        <v>37036.86</v>
      </c>
      <c r="GN26">
        <f>IF(OR(BI26=0,BI26=1),ROUND(O26+X26+Y26,2),0)</f>
        <v>37036.86</v>
      </c>
      <c r="GO26">
        <f>IF(BI26=2,ROUND(O26+X26+Y26,2),0)</f>
        <v>0</v>
      </c>
      <c r="GP26">
        <f>IF(BI26=4,ROUND(O26+X26+Y26,2)+GX26,0)</f>
        <v>0</v>
      </c>
      <c r="GR26">
        <v>0</v>
      </c>
      <c r="GS26">
        <v>3</v>
      </c>
      <c r="GT26">
        <v>0</v>
      </c>
      <c r="GU26" t="s">
        <v>39</v>
      </c>
      <c r="GV26">
        <f>ROUND(((GT26*15)),2)</f>
        <v>0</v>
      </c>
      <c r="GW26">
        <v>1</v>
      </c>
      <c r="GX26">
        <f>ROUND(HC26*I26,2)</f>
        <v>0</v>
      </c>
      <c r="HA26">
        <v>0</v>
      </c>
      <c r="HB26">
        <v>0</v>
      </c>
      <c r="HC26">
        <f>GV26*GW26</f>
        <v>0</v>
      </c>
      <c r="HE26" t="s">
        <v>3</v>
      </c>
      <c r="HF26" t="s">
        <v>3</v>
      </c>
      <c r="HM26" t="s">
        <v>3</v>
      </c>
      <c r="HN26" t="s">
        <v>33</v>
      </c>
      <c r="HO26" t="s">
        <v>34</v>
      </c>
      <c r="HP26" t="s">
        <v>31</v>
      </c>
      <c r="HQ26" t="s">
        <v>31</v>
      </c>
      <c r="IK26">
        <v>0</v>
      </c>
    </row>
    <row r="27" spans="1:245" x14ac:dyDescent="0.2">
      <c r="A27">
        <v>17</v>
      </c>
      <c r="B27">
        <v>1</v>
      </c>
      <c r="C27">
        <f>ROW(SmtRes!A17)</f>
        <v>17</v>
      </c>
      <c r="D27">
        <f>ROW(EtalonRes!A17)</f>
        <v>17</v>
      </c>
      <c r="E27" t="s">
        <v>41</v>
      </c>
      <c r="F27" t="s">
        <v>42</v>
      </c>
      <c r="G27" t="s">
        <v>43</v>
      </c>
      <c r="H27" t="s">
        <v>44</v>
      </c>
      <c r="I27">
        <f>ROUND((20*10*0.2)/100,9)</f>
        <v>0.4</v>
      </c>
      <c r="J27">
        <v>0</v>
      </c>
      <c r="K27">
        <f>ROUND((20*10*0.2)/100,9)</f>
        <v>0.4</v>
      </c>
      <c r="O27">
        <f>ROUND(CP27,2)</f>
        <v>14697.23</v>
      </c>
      <c r="P27">
        <f>ROUND(CQ27*I27,2)</f>
        <v>0</v>
      </c>
      <c r="Q27">
        <f>ROUND(CR27*I27,2)</f>
        <v>7671.81</v>
      </c>
      <c r="R27">
        <f>ROUND(CS27*I27,2)</f>
        <v>2632.25</v>
      </c>
      <c r="S27">
        <f>ROUND(CT27*I27,2)</f>
        <v>7025.42</v>
      </c>
      <c r="T27">
        <f>ROUND(CU27*I27,2)</f>
        <v>0</v>
      </c>
      <c r="U27">
        <f>CV27*I27</f>
        <v>26.413200000000003</v>
      </c>
      <c r="V27">
        <f>CW27*I27</f>
        <v>5.7178000000000004</v>
      </c>
      <c r="W27">
        <f>ROUND(CX27*I27,2)</f>
        <v>0</v>
      </c>
      <c r="X27">
        <f t="shared" si="14"/>
        <v>14196.77</v>
      </c>
      <c r="Y27">
        <f t="shared" si="14"/>
        <v>12941.28</v>
      </c>
      <c r="AA27">
        <v>146929938</v>
      </c>
      <c r="AB27">
        <f>ROUND((AC27+AD27+AF27),2)</f>
        <v>2031.23</v>
      </c>
      <c r="AC27">
        <f>ROUND((ES27),2)</f>
        <v>0</v>
      </c>
      <c r="AD27">
        <f>ROUND(((((ET27*1.15))-((EU27*1.15)))+AE27),2)</f>
        <v>1516.17</v>
      </c>
      <c r="AE27">
        <f>ROUND(((EU27*1.15)),2)</f>
        <v>192.98</v>
      </c>
      <c r="AF27">
        <f>ROUND(((EV27*1.15)),2)</f>
        <v>515.05999999999995</v>
      </c>
      <c r="AG27">
        <f>ROUND((AP27),2)</f>
        <v>0</v>
      </c>
      <c r="AH27">
        <f>((EW27*1.15))</f>
        <v>66.033000000000001</v>
      </c>
      <c r="AI27">
        <f>((EX27*1.15))</f>
        <v>14.294499999999999</v>
      </c>
      <c r="AJ27">
        <f>(AS27)</f>
        <v>0</v>
      </c>
      <c r="AK27">
        <v>1766.29</v>
      </c>
      <c r="AL27">
        <v>0</v>
      </c>
      <c r="AM27">
        <v>1318.41</v>
      </c>
      <c r="AN27">
        <v>167.81</v>
      </c>
      <c r="AO27">
        <v>447.88</v>
      </c>
      <c r="AP27">
        <v>0</v>
      </c>
      <c r="AQ27">
        <v>57.42</v>
      </c>
      <c r="AR27">
        <v>12.43</v>
      </c>
      <c r="AS27">
        <v>0</v>
      </c>
      <c r="AT27">
        <v>147</v>
      </c>
      <c r="AU27">
        <v>134</v>
      </c>
      <c r="AV27">
        <v>1</v>
      </c>
      <c r="AW27">
        <v>1</v>
      </c>
      <c r="AZ27">
        <v>1</v>
      </c>
      <c r="BA27">
        <v>34.1</v>
      </c>
      <c r="BB27">
        <v>12.65</v>
      </c>
      <c r="BC27">
        <v>9.0500000000000007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1</v>
      </c>
      <c r="BJ27" t="s">
        <v>45</v>
      </c>
      <c r="BM27">
        <v>27001</v>
      </c>
      <c r="BN27">
        <v>0</v>
      </c>
      <c r="BO27" t="s">
        <v>3</v>
      </c>
      <c r="BP27">
        <v>0</v>
      </c>
      <c r="BQ27">
        <v>2</v>
      </c>
      <c r="BR27">
        <v>0</v>
      </c>
      <c r="BS27">
        <v>34.1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147</v>
      </c>
      <c r="CA27">
        <v>134</v>
      </c>
      <c r="CB27" t="s">
        <v>3</v>
      </c>
      <c r="CE27">
        <v>0</v>
      </c>
      <c r="CF27">
        <v>0</v>
      </c>
      <c r="CG27">
        <v>0</v>
      </c>
      <c r="CM27">
        <v>0</v>
      </c>
      <c r="CN27" t="s">
        <v>358</v>
      </c>
      <c r="CO27">
        <v>0</v>
      </c>
      <c r="CP27">
        <f>(P27+Q27+S27)</f>
        <v>14697.23</v>
      </c>
      <c r="CQ27">
        <f>AC27*BC27</f>
        <v>0</v>
      </c>
      <c r="CR27">
        <f>((((ET27*1.15))*BB27-((EU27*1.15))*BS27)+AE27*BS27)</f>
        <v>19179.518325000001</v>
      </c>
      <c r="CS27">
        <f>AE27*BS27</f>
        <v>6580.6179999999995</v>
      </c>
      <c r="CT27">
        <f>AF27*BA27</f>
        <v>17563.545999999998</v>
      </c>
      <c r="CU27">
        <f t="shared" si="15"/>
        <v>0</v>
      </c>
      <c r="CV27">
        <f t="shared" si="15"/>
        <v>66.033000000000001</v>
      </c>
      <c r="CW27">
        <f t="shared" si="15"/>
        <v>14.294499999999999</v>
      </c>
      <c r="CX27">
        <f t="shared" si="15"/>
        <v>0</v>
      </c>
      <c r="CY27">
        <f>(((S27+R27)*AT27)/100)</f>
        <v>14196.7749</v>
      </c>
      <c r="CZ27">
        <f>(((S27+R27)*AU27)/100)</f>
        <v>12941.2778</v>
      </c>
      <c r="DC27" t="s">
        <v>3</v>
      </c>
      <c r="DD27" t="s">
        <v>3</v>
      </c>
      <c r="DE27" t="s">
        <v>19</v>
      </c>
      <c r="DF27" t="s">
        <v>19</v>
      </c>
      <c r="DG27" t="s">
        <v>19</v>
      </c>
      <c r="DH27" t="s">
        <v>3</v>
      </c>
      <c r="DI27" t="s">
        <v>19</v>
      </c>
      <c r="DJ27" t="s">
        <v>19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1007</v>
      </c>
      <c r="DV27" t="s">
        <v>44</v>
      </c>
      <c r="DW27" t="s">
        <v>44</v>
      </c>
      <c r="DX27">
        <v>100</v>
      </c>
      <c r="DZ27" t="s">
        <v>3</v>
      </c>
      <c r="EA27" t="s">
        <v>3</v>
      </c>
      <c r="EB27" t="s">
        <v>3</v>
      </c>
      <c r="EC27" t="s">
        <v>3</v>
      </c>
      <c r="EE27">
        <v>140625082</v>
      </c>
      <c r="EF27">
        <v>2</v>
      </c>
      <c r="EG27" t="s">
        <v>20</v>
      </c>
      <c r="EH27">
        <v>21</v>
      </c>
      <c r="EI27" t="s">
        <v>21</v>
      </c>
      <c r="EJ27">
        <v>1</v>
      </c>
      <c r="EK27">
        <v>27001</v>
      </c>
      <c r="EL27" t="s">
        <v>21</v>
      </c>
      <c r="EM27" t="s">
        <v>22</v>
      </c>
      <c r="EO27" t="s">
        <v>23</v>
      </c>
      <c r="EQ27">
        <v>0</v>
      </c>
      <c r="ER27">
        <v>1766.29</v>
      </c>
      <c r="ES27">
        <v>0</v>
      </c>
      <c r="ET27">
        <v>1318.41</v>
      </c>
      <c r="EU27">
        <v>167.81</v>
      </c>
      <c r="EV27">
        <v>447.88</v>
      </c>
      <c r="EW27">
        <v>57.42</v>
      </c>
      <c r="EX27">
        <v>12.43</v>
      </c>
      <c r="EY27">
        <v>0</v>
      </c>
      <c r="FQ27">
        <v>0</v>
      </c>
      <c r="FR27">
        <f t="shared" si="16"/>
        <v>0</v>
      </c>
      <c r="FS27">
        <v>0</v>
      </c>
      <c r="FX27">
        <v>147</v>
      </c>
      <c r="FY27">
        <v>134</v>
      </c>
      <c r="GA27" t="s">
        <v>3</v>
      </c>
      <c r="GD27">
        <v>1</v>
      </c>
      <c r="GF27">
        <v>1962715587</v>
      </c>
      <c r="GG27">
        <v>2</v>
      </c>
      <c r="GH27">
        <v>1</v>
      </c>
      <c r="GI27">
        <v>4</v>
      </c>
      <c r="GJ27">
        <v>0</v>
      </c>
      <c r="GK27">
        <v>0</v>
      </c>
      <c r="GL27">
        <f t="shared" si="17"/>
        <v>0</v>
      </c>
      <c r="GM27">
        <f>ROUND(O27+X27+Y27,2)+GX27</f>
        <v>41835.279999999999</v>
      </c>
      <c r="GN27">
        <f>IF(OR(BI27=0,BI27=1),ROUND(O27+X27+Y27,2),0)</f>
        <v>41835.279999999999</v>
      </c>
      <c r="GO27">
        <f>IF(BI27=2,ROUND(O27+X27+Y27,2),0)</f>
        <v>0</v>
      </c>
      <c r="GP27">
        <f>IF(BI27=4,ROUND(O27+X27+Y27,2)+GX27,0)</f>
        <v>0</v>
      </c>
      <c r="GR27">
        <v>0</v>
      </c>
      <c r="GS27">
        <v>3</v>
      </c>
      <c r="GT27">
        <v>0</v>
      </c>
      <c r="GU27" t="s">
        <v>3</v>
      </c>
      <c r="GV27">
        <f>ROUND((GT27),2)</f>
        <v>0</v>
      </c>
      <c r="GW27">
        <v>1</v>
      </c>
      <c r="GX27">
        <f>ROUND(HC27*I27,2)</f>
        <v>0</v>
      </c>
      <c r="HA27">
        <v>0</v>
      </c>
      <c r="HB27">
        <v>0</v>
      </c>
      <c r="HC27">
        <f>GV27*GW27</f>
        <v>0</v>
      </c>
      <c r="HE27" t="s">
        <v>3</v>
      </c>
      <c r="HF27" t="s">
        <v>3</v>
      </c>
      <c r="HM27" t="s">
        <v>3</v>
      </c>
      <c r="HN27" t="s">
        <v>24</v>
      </c>
      <c r="HO27" t="s">
        <v>25</v>
      </c>
      <c r="HP27" t="s">
        <v>21</v>
      </c>
      <c r="HQ27" t="s">
        <v>21</v>
      </c>
      <c r="IK27">
        <v>0</v>
      </c>
    </row>
    <row r="28" spans="1:245" x14ac:dyDescent="0.2">
      <c r="A28">
        <v>17</v>
      </c>
      <c r="B28">
        <v>1</v>
      </c>
      <c r="E28" t="s">
        <v>46</v>
      </c>
      <c r="F28" t="s">
        <v>47</v>
      </c>
      <c r="G28" t="s">
        <v>48</v>
      </c>
      <c r="H28" t="s">
        <v>49</v>
      </c>
      <c r="I28">
        <f>ROUND(40*2.4*0.1,9)</f>
        <v>9.6</v>
      </c>
      <c r="J28">
        <v>0</v>
      </c>
      <c r="K28">
        <f>ROUND(40*2.4*0.1,9)</f>
        <v>9.6</v>
      </c>
      <c r="O28">
        <f>0</f>
        <v>0</v>
      </c>
      <c r="P28">
        <f>0</f>
        <v>0</v>
      </c>
      <c r="Q28">
        <f>0</f>
        <v>0</v>
      </c>
      <c r="R28">
        <f>0</f>
        <v>0</v>
      </c>
      <c r="S28">
        <f>0</f>
        <v>0</v>
      </c>
      <c r="T28">
        <f>0</f>
        <v>0</v>
      </c>
      <c r="U28">
        <f>0</f>
        <v>0</v>
      </c>
      <c r="V28">
        <f>0</f>
        <v>0</v>
      </c>
      <c r="W28">
        <f>0</f>
        <v>0</v>
      </c>
      <c r="X28">
        <f>0</f>
        <v>0</v>
      </c>
      <c r="Y28">
        <f>0</f>
        <v>0</v>
      </c>
      <c r="AA28">
        <v>146929938</v>
      </c>
      <c r="AB28">
        <f>ROUND((AK28),2)</f>
        <v>42.98</v>
      </c>
      <c r="AC28">
        <f>0</f>
        <v>0</v>
      </c>
      <c r="AD28">
        <f>0</f>
        <v>0</v>
      </c>
      <c r="AE28">
        <f>0</f>
        <v>0</v>
      </c>
      <c r="AF28">
        <f>0</f>
        <v>0</v>
      </c>
      <c r="AG28">
        <f>0</f>
        <v>0</v>
      </c>
      <c r="AH28">
        <f>0</f>
        <v>0</v>
      </c>
      <c r="AI28">
        <f>0</f>
        <v>0</v>
      </c>
      <c r="AJ28">
        <f>0</f>
        <v>0</v>
      </c>
      <c r="AK28">
        <v>42.98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1</v>
      </c>
      <c r="AW28">
        <v>1</v>
      </c>
      <c r="AZ28">
        <v>13.47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50</v>
      </c>
      <c r="BM28">
        <v>700004</v>
      </c>
      <c r="BN28">
        <v>0</v>
      </c>
      <c r="BO28" t="s">
        <v>3</v>
      </c>
      <c r="BP28">
        <v>0</v>
      </c>
      <c r="BQ28">
        <v>19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0</v>
      </c>
      <c r="CA28">
        <v>0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>AB28*AZ28</f>
        <v>578.94060000000002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49</v>
      </c>
      <c r="DW28" t="s">
        <v>49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140625282</v>
      </c>
      <c r="EF28">
        <v>19</v>
      </c>
      <c r="EG28" t="s">
        <v>51</v>
      </c>
      <c r="EH28">
        <v>106</v>
      </c>
      <c r="EI28" t="s">
        <v>51</v>
      </c>
      <c r="EJ28">
        <v>1</v>
      </c>
      <c r="EK28">
        <v>700004</v>
      </c>
      <c r="EL28" t="s">
        <v>51</v>
      </c>
      <c r="EM28" t="s">
        <v>52</v>
      </c>
      <c r="EO28" t="s">
        <v>3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FQ28">
        <v>0</v>
      </c>
      <c r="FR28">
        <f t="shared" si="16"/>
        <v>0</v>
      </c>
      <c r="FS28">
        <v>0</v>
      </c>
      <c r="FX28">
        <v>0</v>
      </c>
      <c r="FY28">
        <v>0</v>
      </c>
      <c r="GA28" t="s">
        <v>3</v>
      </c>
      <c r="GD28">
        <v>1</v>
      </c>
      <c r="GF28">
        <v>-1368885421</v>
      </c>
      <c r="GG28">
        <v>2</v>
      </c>
      <c r="GH28">
        <v>1</v>
      </c>
      <c r="GI28">
        <v>4</v>
      </c>
      <c r="GJ28">
        <v>2</v>
      </c>
      <c r="GK28">
        <v>0</v>
      </c>
      <c r="GL28">
        <f t="shared" si="17"/>
        <v>0</v>
      </c>
      <c r="GM28">
        <f>ROUND(CP28*I28,2)</f>
        <v>5557.83</v>
      </c>
      <c r="GN28">
        <f>IF(OR(BI28=0,BI28=1),ROUND(CP28*I28,2),0)</f>
        <v>5557.83</v>
      </c>
      <c r="GO28">
        <f>IF(BI28=2,ROUND(CP28*I28,2),0)</f>
        <v>0</v>
      </c>
      <c r="GP28">
        <f>IF(BI28=4,ROUND(CP28*I28,2)+GX28,0)</f>
        <v>0</v>
      </c>
      <c r="GR28">
        <v>0</v>
      </c>
      <c r="GS28">
        <v>3</v>
      </c>
      <c r="GT28">
        <v>0</v>
      </c>
      <c r="GU28" t="s">
        <v>3</v>
      </c>
      <c r="GV28">
        <f>0</f>
        <v>0</v>
      </c>
      <c r="GW28">
        <v>1</v>
      </c>
      <c r="GX28">
        <f>0</f>
        <v>0</v>
      </c>
      <c r="HA28">
        <v>0</v>
      </c>
      <c r="HB28">
        <v>0</v>
      </c>
      <c r="HC28">
        <v>0</v>
      </c>
      <c r="HD28">
        <f>GM28</f>
        <v>5557.83</v>
      </c>
      <c r="HE28" t="s">
        <v>3</v>
      </c>
      <c r="HF28" t="s">
        <v>3</v>
      </c>
      <c r="HM28" t="s">
        <v>3</v>
      </c>
      <c r="HN28" t="s">
        <v>3</v>
      </c>
      <c r="HO28" t="s">
        <v>3</v>
      </c>
      <c r="HP28" t="s">
        <v>3</v>
      </c>
      <c r="HQ28" t="s">
        <v>3</v>
      </c>
      <c r="IK28">
        <v>0</v>
      </c>
    </row>
    <row r="29" spans="1:245" x14ac:dyDescent="0.2">
      <c r="A29">
        <v>17</v>
      </c>
      <c r="B29">
        <v>1</v>
      </c>
      <c r="E29" t="s">
        <v>53</v>
      </c>
      <c r="F29" t="s">
        <v>54</v>
      </c>
      <c r="G29" t="s">
        <v>55</v>
      </c>
      <c r="H29" t="s">
        <v>49</v>
      </c>
      <c r="I29">
        <f>ROUND(40*2.4*0.9,9)</f>
        <v>86.4</v>
      </c>
      <c r="J29">
        <v>0</v>
      </c>
      <c r="K29">
        <f>ROUND(40*2.4*0.9,9)</f>
        <v>86.4</v>
      </c>
      <c r="O29">
        <f>0</f>
        <v>0</v>
      </c>
      <c r="P29">
        <f>0</f>
        <v>0</v>
      </c>
      <c r="Q29">
        <f>0</f>
        <v>0</v>
      </c>
      <c r="R29">
        <f>0</f>
        <v>0</v>
      </c>
      <c r="S29">
        <f>0</f>
        <v>0</v>
      </c>
      <c r="T29">
        <f>0</f>
        <v>0</v>
      </c>
      <c r="U29">
        <f>0</f>
        <v>0</v>
      </c>
      <c r="V29">
        <f>0</f>
        <v>0</v>
      </c>
      <c r="W29">
        <f>0</f>
        <v>0</v>
      </c>
      <c r="X29">
        <f>0</f>
        <v>0</v>
      </c>
      <c r="Y29">
        <f>0</f>
        <v>0</v>
      </c>
      <c r="AA29">
        <v>146929938</v>
      </c>
      <c r="AB29">
        <f>ROUND((AK29),2)</f>
        <v>3.28</v>
      </c>
      <c r="AC29">
        <f>0</f>
        <v>0</v>
      </c>
      <c r="AD29">
        <f>0</f>
        <v>0</v>
      </c>
      <c r="AE29">
        <f>0</f>
        <v>0</v>
      </c>
      <c r="AF29">
        <f>0</f>
        <v>0</v>
      </c>
      <c r="AG29">
        <f>0</f>
        <v>0</v>
      </c>
      <c r="AH29">
        <f>0</f>
        <v>0</v>
      </c>
      <c r="AI29">
        <f>0</f>
        <v>0</v>
      </c>
      <c r="AJ29">
        <f>0</f>
        <v>0</v>
      </c>
      <c r="AK29">
        <v>3.28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1</v>
      </c>
      <c r="AW29">
        <v>1</v>
      </c>
      <c r="AZ29">
        <v>13.47</v>
      </c>
      <c r="BA29">
        <v>1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56</v>
      </c>
      <c r="BM29">
        <v>700004</v>
      </c>
      <c r="BN29">
        <v>0</v>
      </c>
      <c r="BO29" t="s">
        <v>3</v>
      </c>
      <c r="BP29">
        <v>0</v>
      </c>
      <c r="BQ29">
        <v>19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0</v>
      </c>
      <c r="CA29">
        <v>0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>AB29*AZ29</f>
        <v>44.181599999999996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49</v>
      </c>
      <c r="DW29" t="s">
        <v>49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140625282</v>
      </c>
      <c r="EF29">
        <v>19</v>
      </c>
      <c r="EG29" t="s">
        <v>51</v>
      </c>
      <c r="EH29">
        <v>106</v>
      </c>
      <c r="EI29" t="s">
        <v>51</v>
      </c>
      <c r="EJ29">
        <v>1</v>
      </c>
      <c r="EK29">
        <v>700004</v>
      </c>
      <c r="EL29" t="s">
        <v>51</v>
      </c>
      <c r="EM29" t="s">
        <v>52</v>
      </c>
      <c r="EO29" t="s">
        <v>3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FQ29">
        <v>0</v>
      </c>
      <c r="FR29">
        <f t="shared" si="16"/>
        <v>0</v>
      </c>
      <c r="FS29">
        <v>0</v>
      </c>
      <c r="FX29">
        <v>0</v>
      </c>
      <c r="FY29">
        <v>0</v>
      </c>
      <c r="GA29" t="s">
        <v>3</v>
      </c>
      <c r="GD29">
        <v>1</v>
      </c>
      <c r="GF29">
        <v>1072927856</v>
      </c>
      <c r="GG29">
        <v>2</v>
      </c>
      <c r="GH29">
        <v>1</v>
      </c>
      <c r="GI29">
        <v>4</v>
      </c>
      <c r="GJ29">
        <v>2</v>
      </c>
      <c r="GK29">
        <v>0</v>
      </c>
      <c r="GL29">
        <f t="shared" si="17"/>
        <v>0</v>
      </c>
      <c r="GM29">
        <f>ROUND(CP29*I29,2)</f>
        <v>3817.29</v>
      </c>
      <c r="GN29">
        <f>IF(OR(BI29=0,BI29=1),ROUND(CP29*I29,2),0)</f>
        <v>3817.29</v>
      </c>
      <c r="GO29">
        <f>IF(BI29=2,ROUND(CP29*I29,2),0)</f>
        <v>0</v>
      </c>
      <c r="GP29">
        <f>IF(BI29=4,ROUND(CP29*I29,2)+GX29,0)</f>
        <v>0</v>
      </c>
      <c r="GR29">
        <v>0</v>
      </c>
      <c r="GS29">
        <v>3</v>
      </c>
      <c r="GT29">
        <v>0</v>
      </c>
      <c r="GU29" t="s">
        <v>3</v>
      </c>
      <c r="GV29">
        <f>0</f>
        <v>0</v>
      </c>
      <c r="GW29">
        <v>1</v>
      </c>
      <c r="GX29">
        <f>0</f>
        <v>0</v>
      </c>
      <c r="HA29">
        <v>0</v>
      </c>
      <c r="HB29">
        <v>0</v>
      </c>
      <c r="HC29">
        <v>0</v>
      </c>
      <c r="HD29">
        <f>GM29</f>
        <v>3817.29</v>
      </c>
      <c r="HE29" t="s">
        <v>3</v>
      </c>
      <c r="HF29" t="s">
        <v>3</v>
      </c>
      <c r="HM29" t="s">
        <v>3</v>
      </c>
      <c r="HN29" t="s">
        <v>3</v>
      </c>
      <c r="HO29" t="s">
        <v>3</v>
      </c>
      <c r="HP29" t="s">
        <v>3</v>
      </c>
      <c r="HQ29" t="s">
        <v>3</v>
      </c>
      <c r="IK29">
        <v>0</v>
      </c>
    </row>
    <row r="30" spans="1:245" x14ac:dyDescent="0.2">
      <c r="A30">
        <v>17</v>
      </c>
      <c r="B30">
        <v>1</v>
      </c>
      <c r="E30" t="s">
        <v>57</v>
      </c>
      <c r="F30" t="s">
        <v>58</v>
      </c>
      <c r="G30" t="s">
        <v>59</v>
      </c>
      <c r="H30" t="s">
        <v>49</v>
      </c>
      <c r="I30">
        <f>ROUND(ROUND(939*0.1*2.4+40*2.4,2),9)</f>
        <v>321.36</v>
      </c>
      <c r="J30">
        <v>0</v>
      </c>
      <c r="K30">
        <f>ROUND(ROUND(939*0.1*2.4+40*2.4,2),9)</f>
        <v>321.36</v>
      </c>
      <c r="O30">
        <f>0</f>
        <v>0</v>
      </c>
      <c r="P30">
        <f>0</f>
        <v>0</v>
      </c>
      <c r="Q30">
        <f>0</f>
        <v>0</v>
      </c>
      <c r="R30">
        <f>0</f>
        <v>0</v>
      </c>
      <c r="S30">
        <f>0</f>
        <v>0</v>
      </c>
      <c r="T30">
        <f>0</f>
        <v>0</v>
      </c>
      <c r="U30">
        <f>0</f>
        <v>0</v>
      </c>
      <c r="V30">
        <f>0</f>
        <v>0</v>
      </c>
      <c r="W30">
        <f>0</f>
        <v>0</v>
      </c>
      <c r="X30">
        <f>0</f>
        <v>0</v>
      </c>
      <c r="Y30">
        <f>0</f>
        <v>0</v>
      </c>
      <c r="AA30">
        <v>146929938</v>
      </c>
      <c r="AB30">
        <f>ROUND((AK30),2)</f>
        <v>35.03</v>
      </c>
      <c r="AC30">
        <f>0</f>
        <v>0</v>
      </c>
      <c r="AD30">
        <f>0</f>
        <v>0</v>
      </c>
      <c r="AE30">
        <f>0</f>
        <v>0</v>
      </c>
      <c r="AF30">
        <f>0</f>
        <v>0</v>
      </c>
      <c r="AG30">
        <f>0</f>
        <v>0</v>
      </c>
      <c r="AH30">
        <f>0</f>
        <v>0</v>
      </c>
      <c r="AI30">
        <f>0</f>
        <v>0</v>
      </c>
      <c r="AJ30">
        <f>0</f>
        <v>0</v>
      </c>
      <c r="AK30">
        <v>35.03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1</v>
      </c>
      <c r="AW30">
        <v>1</v>
      </c>
      <c r="AZ30">
        <v>13.47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60</v>
      </c>
      <c r="BM30">
        <v>700011</v>
      </c>
      <c r="BN30">
        <v>0</v>
      </c>
      <c r="BO30" t="s">
        <v>3</v>
      </c>
      <c r="BP30">
        <v>0</v>
      </c>
      <c r="BQ30">
        <v>40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0</v>
      </c>
      <c r="CA30">
        <v>0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>AB30*AZ30</f>
        <v>471.85410000000002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49</v>
      </c>
      <c r="DW30" t="s">
        <v>49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140625621</v>
      </c>
      <c r="EF30">
        <v>40</v>
      </c>
      <c r="EG30" t="s">
        <v>61</v>
      </c>
      <c r="EH30">
        <v>107</v>
      </c>
      <c r="EI30" t="s">
        <v>62</v>
      </c>
      <c r="EJ30">
        <v>1</v>
      </c>
      <c r="EK30">
        <v>700011</v>
      </c>
      <c r="EL30" t="s">
        <v>63</v>
      </c>
      <c r="EM30" t="s">
        <v>64</v>
      </c>
      <c r="EO30" t="s">
        <v>3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FQ30">
        <v>0</v>
      </c>
      <c r="FR30">
        <f t="shared" si="16"/>
        <v>0</v>
      </c>
      <c r="FS30">
        <v>0</v>
      </c>
      <c r="FX30">
        <v>0</v>
      </c>
      <c r="FY30">
        <v>0</v>
      </c>
      <c r="GA30" t="s">
        <v>3</v>
      </c>
      <c r="GD30">
        <v>1</v>
      </c>
      <c r="GF30">
        <v>-1401992371</v>
      </c>
      <c r="GG30">
        <v>2</v>
      </c>
      <c r="GH30">
        <v>1</v>
      </c>
      <c r="GI30">
        <v>4</v>
      </c>
      <c r="GJ30">
        <v>2</v>
      </c>
      <c r="GK30">
        <v>0</v>
      </c>
      <c r="GL30">
        <f t="shared" si="17"/>
        <v>0</v>
      </c>
      <c r="GM30">
        <f>ROUND(CP30*I30,2)</f>
        <v>151635.03</v>
      </c>
      <c r="GN30">
        <f>IF(OR(BI30=0,BI30=1),ROUND(CP30*I30,2),0)</f>
        <v>151635.03</v>
      </c>
      <c r="GO30">
        <f>IF(BI30=2,ROUND(CP30*I30,2),0)</f>
        <v>0</v>
      </c>
      <c r="GP30">
        <f>IF(BI30=4,ROUND(CP30*I30,2)+GX30,0)</f>
        <v>0</v>
      </c>
      <c r="GR30">
        <v>0</v>
      </c>
      <c r="GS30">
        <v>3</v>
      </c>
      <c r="GT30">
        <v>0</v>
      </c>
      <c r="GU30" t="s">
        <v>3</v>
      </c>
      <c r="GV30">
        <f>0</f>
        <v>0</v>
      </c>
      <c r="GW30">
        <v>1</v>
      </c>
      <c r="GX30">
        <f>0</f>
        <v>0</v>
      </c>
      <c r="HA30">
        <v>0</v>
      </c>
      <c r="HB30">
        <v>0</v>
      </c>
      <c r="HC30">
        <v>0</v>
      </c>
      <c r="HD30">
        <f>GM30</f>
        <v>151635.03</v>
      </c>
      <c r="HE30" t="s">
        <v>3</v>
      </c>
      <c r="HF30" t="s">
        <v>3</v>
      </c>
      <c r="HM30" t="s">
        <v>3</v>
      </c>
      <c r="HN30" t="s">
        <v>3</v>
      </c>
      <c r="HO30" t="s">
        <v>3</v>
      </c>
      <c r="HP30" t="s">
        <v>3</v>
      </c>
      <c r="HQ30" t="s">
        <v>3</v>
      </c>
      <c r="IK30">
        <v>0</v>
      </c>
    </row>
    <row r="31" spans="1:245" x14ac:dyDescent="0.2">
      <c r="A31">
        <v>17</v>
      </c>
      <c r="B31">
        <v>1</v>
      </c>
      <c r="E31" t="s">
        <v>65</v>
      </c>
      <c r="F31" t="s">
        <v>66</v>
      </c>
      <c r="G31" t="s">
        <v>67</v>
      </c>
      <c r="H31" t="s">
        <v>68</v>
      </c>
      <c r="I31">
        <f>ROUND(939*0.1+200*0.2,9)</f>
        <v>133.9</v>
      </c>
      <c r="J31">
        <v>0</v>
      </c>
      <c r="K31">
        <f>ROUND(939*0.1+200*0.2,9)</f>
        <v>133.9</v>
      </c>
      <c r="O31">
        <f t="shared" ref="O31:O41" si="18">ROUND(CP31,2)</f>
        <v>69411.62</v>
      </c>
      <c r="P31">
        <f t="shared" ref="P31:P41" si="19">ROUND(CQ31*I31,2)</f>
        <v>69411.62</v>
      </c>
      <c r="Q31">
        <f t="shared" ref="Q31:Q41" si="20">ROUND(CR31*I31,2)</f>
        <v>0</v>
      </c>
      <c r="R31">
        <f t="shared" ref="R31:R41" si="21">ROUND(CS31*I31,2)</f>
        <v>0</v>
      </c>
      <c r="S31">
        <f t="shared" ref="S31:S41" si="22">ROUND(CT31*I31,2)</f>
        <v>0</v>
      </c>
      <c r="T31">
        <f t="shared" ref="T31:T41" si="23">ROUND(CU31*I31,2)</f>
        <v>0</v>
      </c>
      <c r="U31">
        <f t="shared" ref="U31:U41" si="24">CV31*I31</f>
        <v>0</v>
      </c>
      <c r="V31">
        <f t="shared" ref="V31:V41" si="25">CW31*I31</f>
        <v>0</v>
      </c>
      <c r="W31">
        <f t="shared" ref="W31:W41" si="26">ROUND(CX31*I31,2)</f>
        <v>0</v>
      </c>
      <c r="X31">
        <f t="shared" ref="X31:X41" si="27">ROUND(CY31,2)</f>
        <v>0</v>
      </c>
      <c r="Y31">
        <f t="shared" ref="Y31:Y41" si="28">ROUND(CZ31,2)</f>
        <v>0</v>
      </c>
      <c r="AA31">
        <v>146929938</v>
      </c>
      <c r="AB31">
        <f t="shared" ref="AB31:AB41" si="29">ROUND((AC31+AD31+AF31),2)</f>
        <v>57.28</v>
      </c>
      <c r="AC31">
        <f t="shared" ref="AC31:AC41" si="30">ROUND((ES31),2)</f>
        <v>57.28</v>
      </c>
      <c r="AD31">
        <f>ROUND((((ET31)-(EU31))+AE31),2)</f>
        <v>0</v>
      </c>
      <c r="AE31">
        <f>ROUND((EU31),2)</f>
        <v>0</v>
      </c>
      <c r="AF31">
        <f>ROUND((EV31),2)</f>
        <v>0</v>
      </c>
      <c r="AG31">
        <f t="shared" ref="AG31:AG41" si="31">ROUND((AP31),2)</f>
        <v>0</v>
      </c>
      <c r="AH31">
        <f>(EW31)</f>
        <v>0</v>
      </c>
      <c r="AI31">
        <f>(EX31)</f>
        <v>0</v>
      </c>
      <c r="AJ31">
        <f t="shared" ref="AJ31:AJ41" si="32">(AS31)</f>
        <v>0</v>
      </c>
      <c r="AK31">
        <v>57.28</v>
      </c>
      <c r="AL31">
        <v>57.28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9.0500000000000007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1</v>
      </c>
      <c r="BJ31" t="s">
        <v>3</v>
      </c>
      <c r="BM31">
        <v>1100</v>
      </c>
      <c r="BN31">
        <v>0</v>
      </c>
      <c r="BO31" t="s">
        <v>3</v>
      </c>
      <c r="BP31">
        <v>0</v>
      </c>
      <c r="BQ31">
        <v>8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0</v>
      </c>
      <c r="CA31">
        <v>0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ref="CP31:CP41" si="33">(P31+Q31+S31)</f>
        <v>69411.62</v>
      </c>
      <c r="CQ31">
        <f t="shared" ref="CQ31:CQ41" si="34">AC31*BC31</f>
        <v>518.38400000000001</v>
      </c>
      <c r="CR31">
        <f>(((ET31)*BB31-(EU31)*BS31)+AE31*BS31)</f>
        <v>0</v>
      </c>
      <c r="CS31">
        <f t="shared" ref="CS31:CS41" si="35">AE31*BS31</f>
        <v>0</v>
      </c>
      <c r="CT31">
        <f t="shared" ref="CT31:CT41" si="36">AF31*BA31</f>
        <v>0</v>
      </c>
      <c r="CU31">
        <f t="shared" ref="CU31:CU41" si="37">AG31</f>
        <v>0</v>
      </c>
      <c r="CV31">
        <f t="shared" ref="CV31:CV41" si="38">AH31</f>
        <v>0</v>
      </c>
      <c r="CW31">
        <f t="shared" ref="CW31:CW41" si="39">AI31</f>
        <v>0</v>
      </c>
      <c r="CX31">
        <f t="shared" ref="CX31:CX41" si="40">AJ31</f>
        <v>0</v>
      </c>
      <c r="CY31">
        <f t="shared" ref="CY31:CY41" si="41">(((S31+R31)*AT31)/100)</f>
        <v>0</v>
      </c>
      <c r="CZ31">
        <f t="shared" ref="CZ31:CZ41" si="42">(((S31+R31)*AU31)/100)</f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1007</v>
      </c>
      <c r="DV31" t="s">
        <v>68</v>
      </c>
      <c r="DW31" t="s">
        <v>68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140625274</v>
      </c>
      <c r="EF31">
        <v>8</v>
      </c>
      <c r="EG31" t="s">
        <v>69</v>
      </c>
      <c r="EH31">
        <v>0</v>
      </c>
      <c r="EI31" t="s">
        <v>3</v>
      </c>
      <c r="EJ31">
        <v>1</v>
      </c>
      <c r="EK31">
        <v>1100</v>
      </c>
      <c r="EL31" t="s">
        <v>70</v>
      </c>
      <c r="EM31" t="s">
        <v>71</v>
      </c>
      <c r="EO31" t="s">
        <v>3</v>
      </c>
      <c r="EQ31">
        <v>0</v>
      </c>
      <c r="ER31">
        <v>57.28</v>
      </c>
      <c r="ES31">
        <v>57.28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5</v>
      </c>
      <c r="FC31">
        <v>0</v>
      </c>
      <c r="FD31">
        <v>18</v>
      </c>
      <c r="FF31">
        <v>518.38</v>
      </c>
      <c r="FQ31">
        <v>0</v>
      </c>
      <c r="FR31">
        <f t="shared" si="16"/>
        <v>0</v>
      </c>
      <c r="FS31">
        <v>0</v>
      </c>
      <c r="FX31">
        <v>0</v>
      </c>
      <c r="FY31">
        <v>0</v>
      </c>
      <c r="GA31" t="s">
        <v>72</v>
      </c>
      <c r="GD31">
        <v>1</v>
      </c>
      <c r="GF31">
        <v>57187056</v>
      </c>
      <c r="GG31">
        <v>2</v>
      </c>
      <c r="GH31">
        <v>3</v>
      </c>
      <c r="GI31">
        <v>4</v>
      </c>
      <c r="GJ31">
        <v>0</v>
      </c>
      <c r="GK31">
        <v>0</v>
      </c>
      <c r="GL31">
        <f t="shared" si="17"/>
        <v>0</v>
      </c>
      <c r="GM31">
        <f t="shared" ref="GM31:GM41" si="43">ROUND(O31+X31+Y31,2)+GX31</f>
        <v>69411.62</v>
      </c>
      <c r="GN31">
        <f t="shared" ref="GN31:GN41" si="44">IF(OR(BI31=0,BI31=1),ROUND(O31+X31+Y31,2),0)</f>
        <v>69411.62</v>
      </c>
      <c r="GO31">
        <f t="shared" ref="GO31:GO41" si="45">IF(BI31=2,ROUND(O31+X31+Y31,2),0)</f>
        <v>0</v>
      </c>
      <c r="GP31">
        <f t="shared" ref="GP31:GP41" si="46">IF(BI31=4,ROUND(O31+X31+Y31,2)+GX31,0)</f>
        <v>0</v>
      </c>
      <c r="GR31">
        <v>1</v>
      </c>
      <c r="GS31">
        <v>1</v>
      </c>
      <c r="GT31">
        <v>0</v>
      </c>
      <c r="GU31" t="s">
        <v>3</v>
      </c>
      <c r="GV31">
        <f t="shared" ref="GV31:GV41" si="47">ROUND((GT31),2)</f>
        <v>0</v>
      </c>
      <c r="GW31">
        <v>1</v>
      </c>
      <c r="GX31">
        <f t="shared" ref="GX31:GX41" si="48">ROUND(HC31*I31,2)</f>
        <v>0</v>
      </c>
      <c r="HA31">
        <v>0</v>
      </c>
      <c r="HB31">
        <v>0</v>
      </c>
      <c r="HC31">
        <f t="shared" ref="HC31:HC41" si="49">GV31*GW31</f>
        <v>0</v>
      </c>
      <c r="HE31" t="s">
        <v>73</v>
      </c>
      <c r="HF31" t="s">
        <v>73</v>
      </c>
      <c r="HM31" t="s">
        <v>3</v>
      </c>
      <c r="HN31" t="s">
        <v>3</v>
      </c>
      <c r="HO31" t="s">
        <v>3</v>
      </c>
      <c r="HP31" t="s">
        <v>3</v>
      </c>
      <c r="HQ31" t="s">
        <v>3</v>
      </c>
      <c r="IK31">
        <v>0</v>
      </c>
    </row>
    <row r="32" spans="1:245" x14ac:dyDescent="0.2">
      <c r="A32">
        <v>17</v>
      </c>
      <c r="B32">
        <v>1</v>
      </c>
      <c r="C32">
        <f>ROW(SmtRes!A20)</f>
        <v>20</v>
      </c>
      <c r="D32">
        <f>ROW(EtalonRes!A20)</f>
        <v>20</v>
      </c>
      <c r="E32" t="s">
        <v>74</v>
      </c>
      <c r="F32" t="s">
        <v>75</v>
      </c>
      <c r="G32" t="s">
        <v>76</v>
      </c>
      <c r="H32" t="s">
        <v>77</v>
      </c>
      <c r="I32">
        <f>ROUND((40+4.8)/1000,9)</f>
        <v>4.48E-2</v>
      </c>
      <c r="J32">
        <v>0</v>
      </c>
      <c r="K32">
        <f>ROUND((40+4.8)/1000,9)</f>
        <v>4.48E-2</v>
      </c>
      <c r="O32">
        <f t="shared" si="18"/>
        <v>1952.32</v>
      </c>
      <c r="P32">
        <f t="shared" si="19"/>
        <v>0</v>
      </c>
      <c r="Q32">
        <f t="shared" si="20"/>
        <v>1812.38</v>
      </c>
      <c r="R32">
        <f t="shared" si="21"/>
        <v>572.17999999999995</v>
      </c>
      <c r="S32">
        <f t="shared" si="22"/>
        <v>139.94</v>
      </c>
      <c r="T32">
        <f t="shared" si="23"/>
        <v>0</v>
      </c>
      <c r="U32">
        <f t="shared" si="24"/>
        <v>0.52612223999999996</v>
      </c>
      <c r="V32">
        <f t="shared" si="25"/>
        <v>1.24292</v>
      </c>
      <c r="W32">
        <f t="shared" si="26"/>
        <v>0</v>
      </c>
      <c r="X32">
        <f t="shared" si="27"/>
        <v>655.15</v>
      </c>
      <c r="Y32">
        <f t="shared" si="28"/>
        <v>278.44</v>
      </c>
      <c r="AA32">
        <v>146929938</v>
      </c>
      <c r="AB32">
        <f t="shared" si="29"/>
        <v>3289.62</v>
      </c>
      <c r="AC32">
        <f t="shared" si="30"/>
        <v>0</v>
      </c>
      <c r="AD32">
        <f>ROUND((((((ET32*1.25)*1.15))-(((EU32*1.25)*1.15)))+AE32),2)</f>
        <v>3198.02</v>
      </c>
      <c r="AE32">
        <f>ROUND((((EU32*1.25)*1.15)),2)</f>
        <v>374.54</v>
      </c>
      <c r="AF32">
        <f>ROUND((((EV32*1.15)*1.15)),2)</f>
        <v>91.6</v>
      </c>
      <c r="AG32">
        <f t="shared" si="31"/>
        <v>0</v>
      </c>
      <c r="AH32">
        <f>(((EW32*1.15)*1.15))</f>
        <v>11.743799999999998</v>
      </c>
      <c r="AI32">
        <f>(((EX32*1.25)*1.15))</f>
        <v>27.743749999999999</v>
      </c>
      <c r="AJ32">
        <f t="shared" si="32"/>
        <v>0</v>
      </c>
      <c r="AK32">
        <v>2293.9699999999998</v>
      </c>
      <c r="AL32">
        <v>0</v>
      </c>
      <c r="AM32">
        <v>2224.71</v>
      </c>
      <c r="AN32">
        <v>260.55</v>
      </c>
      <c r="AO32">
        <v>69.260000000000005</v>
      </c>
      <c r="AP32">
        <v>0</v>
      </c>
      <c r="AQ32">
        <v>8.8800000000000008</v>
      </c>
      <c r="AR32">
        <v>19.3</v>
      </c>
      <c r="AS32">
        <v>0</v>
      </c>
      <c r="AT32">
        <v>92</v>
      </c>
      <c r="AU32">
        <v>39.1</v>
      </c>
      <c r="AV32">
        <v>1</v>
      </c>
      <c r="AW32">
        <v>1</v>
      </c>
      <c r="AZ32">
        <v>1</v>
      </c>
      <c r="BA32">
        <v>34.1</v>
      </c>
      <c r="BB32">
        <v>12.65</v>
      </c>
      <c r="BC32">
        <v>9.0500000000000007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78</v>
      </c>
      <c r="BM32">
        <v>1001</v>
      </c>
      <c r="BN32">
        <v>0</v>
      </c>
      <c r="BO32" t="s">
        <v>3</v>
      </c>
      <c r="BP32">
        <v>0</v>
      </c>
      <c r="BQ32">
        <v>2</v>
      </c>
      <c r="BR32">
        <v>0</v>
      </c>
      <c r="BS32">
        <v>34.1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92</v>
      </c>
      <c r="CA32">
        <v>46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359</v>
      </c>
      <c r="CO32">
        <v>0</v>
      </c>
      <c r="CP32">
        <f t="shared" si="33"/>
        <v>1952.3200000000002</v>
      </c>
      <c r="CQ32">
        <f t="shared" si="34"/>
        <v>0</v>
      </c>
      <c r="CR32">
        <f>(((((ET32*1.25)*1.15))*BB32-(((EU32*1.25)*1.15))*BS32)+AE32*BS32)</f>
        <v>40454.939593749994</v>
      </c>
      <c r="CS32">
        <f t="shared" si="35"/>
        <v>12771.814000000002</v>
      </c>
      <c r="CT32">
        <f t="shared" si="36"/>
        <v>3123.56</v>
      </c>
      <c r="CU32">
        <f t="shared" si="37"/>
        <v>0</v>
      </c>
      <c r="CV32">
        <f t="shared" si="38"/>
        <v>11.743799999999998</v>
      </c>
      <c r="CW32">
        <f t="shared" si="39"/>
        <v>27.743749999999999</v>
      </c>
      <c r="CX32">
        <f t="shared" si="40"/>
        <v>0</v>
      </c>
      <c r="CY32">
        <f t="shared" si="41"/>
        <v>655.15039999999999</v>
      </c>
      <c r="CZ32">
        <f t="shared" si="42"/>
        <v>278.43891999999994</v>
      </c>
      <c r="DC32" t="s">
        <v>3</v>
      </c>
      <c r="DD32" t="s">
        <v>3</v>
      </c>
      <c r="DE32" t="s">
        <v>79</v>
      </c>
      <c r="DF32" t="s">
        <v>79</v>
      </c>
      <c r="DG32" t="s">
        <v>80</v>
      </c>
      <c r="DH32" t="s">
        <v>3</v>
      </c>
      <c r="DI32" t="s">
        <v>80</v>
      </c>
      <c r="DJ32" t="s">
        <v>79</v>
      </c>
      <c r="DK32" t="s">
        <v>3</v>
      </c>
      <c r="DL32" t="s">
        <v>3</v>
      </c>
      <c r="DM32" t="s">
        <v>81</v>
      </c>
      <c r="DN32">
        <v>0</v>
      </c>
      <c r="DO32">
        <v>0</v>
      </c>
      <c r="DP32">
        <v>1</v>
      </c>
      <c r="DQ32">
        <v>1</v>
      </c>
      <c r="DU32">
        <v>1007</v>
      </c>
      <c r="DV32" t="s">
        <v>77</v>
      </c>
      <c r="DW32" t="s">
        <v>77</v>
      </c>
      <c r="DX32">
        <v>1000</v>
      </c>
      <c r="DZ32" t="s">
        <v>3</v>
      </c>
      <c r="EA32" t="s">
        <v>3</v>
      </c>
      <c r="EB32" t="s">
        <v>3</v>
      </c>
      <c r="EC32" t="s">
        <v>3</v>
      </c>
      <c r="EE32">
        <v>140624985</v>
      </c>
      <c r="EF32">
        <v>2</v>
      </c>
      <c r="EG32" t="s">
        <v>20</v>
      </c>
      <c r="EH32">
        <v>1</v>
      </c>
      <c r="EI32" t="s">
        <v>82</v>
      </c>
      <c r="EJ32">
        <v>1</v>
      </c>
      <c r="EK32">
        <v>1001</v>
      </c>
      <c r="EL32" t="s">
        <v>83</v>
      </c>
      <c r="EM32" t="s">
        <v>84</v>
      </c>
      <c r="EO32" t="s">
        <v>85</v>
      </c>
      <c r="EQ32">
        <v>0</v>
      </c>
      <c r="ER32">
        <v>2293.9699999999998</v>
      </c>
      <c r="ES32">
        <v>0</v>
      </c>
      <c r="ET32">
        <v>2224.71</v>
      </c>
      <c r="EU32">
        <v>260.55</v>
      </c>
      <c r="EV32">
        <v>69.260000000000005</v>
      </c>
      <c r="EW32">
        <v>8.8800000000000008</v>
      </c>
      <c r="EX32">
        <v>19.3</v>
      </c>
      <c r="EY32">
        <v>0</v>
      </c>
      <c r="FQ32">
        <v>0</v>
      </c>
      <c r="FR32">
        <f t="shared" si="16"/>
        <v>0</v>
      </c>
      <c r="FS32">
        <v>0</v>
      </c>
      <c r="FX32">
        <v>92</v>
      </c>
      <c r="FY32">
        <v>39.1</v>
      </c>
      <c r="GA32" t="s">
        <v>3</v>
      </c>
      <c r="GD32">
        <v>1</v>
      </c>
      <c r="GF32">
        <v>506922858</v>
      </c>
      <c r="GG32">
        <v>2</v>
      </c>
      <c r="GH32">
        <v>1</v>
      </c>
      <c r="GI32">
        <v>4</v>
      </c>
      <c r="GJ32">
        <v>0</v>
      </c>
      <c r="GK32">
        <v>0</v>
      </c>
      <c r="GL32">
        <f t="shared" si="17"/>
        <v>0</v>
      </c>
      <c r="GM32">
        <f t="shared" si="43"/>
        <v>2885.91</v>
      </c>
      <c r="GN32">
        <f t="shared" si="44"/>
        <v>2885.91</v>
      </c>
      <c r="GO32">
        <f t="shared" si="45"/>
        <v>0</v>
      </c>
      <c r="GP32">
        <f t="shared" si="46"/>
        <v>0</v>
      </c>
      <c r="GR32">
        <v>0</v>
      </c>
      <c r="GS32">
        <v>3</v>
      </c>
      <c r="GT32">
        <v>0</v>
      </c>
      <c r="GU32" t="s">
        <v>3</v>
      </c>
      <c r="GV32">
        <f t="shared" si="47"/>
        <v>0</v>
      </c>
      <c r="GW32">
        <v>1</v>
      </c>
      <c r="GX32">
        <f t="shared" si="48"/>
        <v>0</v>
      </c>
      <c r="HA32">
        <v>0</v>
      </c>
      <c r="HB32">
        <v>0</v>
      </c>
      <c r="HC32">
        <f t="shared" si="49"/>
        <v>0</v>
      </c>
      <c r="HE32" t="s">
        <v>3</v>
      </c>
      <c r="HF32" t="s">
        <v>3</v>
      </c>
      <c r="HM32" t="s">
        <v>3</v>
      </c>
      <c r="HN32" t="s">
        <v>86</v>
      </c>
      <c r="HO32" t="s">
        <v>87</v>
      </c>
      <c r="HP32" t="s">
        <v>83</v>
      </c>
      <c r="HQ32" t="s">
        <v>83</v>
      </c>
      <c r="IK32">
        <v>0</v>
      </c>
    </row>
    <row r="33" spans="1:245" x14ac:dyDescent="0.2">
      <c r="A33">
        <v>17</v>
      </c>
      <c r="B33">
        <v>1</v>
      </c>
      <c r="C33">
        <f>ROW(SmtRes!A28)</f>
        <v>28</v>
      </c>
      <c r="D33">
        <f>ROW(EtalonRes!A28)</f>
        <v>28</v>
      </c>
      <c r="E33" t="s">
        <v>88</v>
      </c>
      <c r="F33" t="s">
        <v>89</v>
      </c>
      <c r="G33" t="s">
        <v>90</v>
      </c>
      <c r="H33" t="s">
        <v>44</v>
      </c>
      <c r="I33">
        <f>ROUND((200*0.2+16*0.2)/100,9)</f>
        <v>0.432</v>
      </c>
      <c r="J33">
        <v>0</v>
      </c>
      <c r="K33">
        <f>ROUND((200*0.2+16*0.2)/100,9)</f>
        <v>0.432</v>
      </c>
      <c r="O33">
        <f t="shared" si="18"/>
        <v>27929.09</v>
      </c>
      <c r="P33">
        <f t="shared" si="19"/>
        <v>47.7</v>
      </c>
      <c r="Q33">
        <f t="shared" si="20"/>
        <v>25631.35</v>
      </c>
      <c r="R33">
        <f t="shared" si="21"/>
        <v>3625.79</v>
      </c>
      <c r="S33">
        <f t="shared" si="22"/>
        <v>2250.04</v>
      </c>
      <c r="T33">
        <f t="shared" si="23"/>
        <v>0</v>
      </c>
      <c r="U33">
        <f t="shared" si="24"/>
        <v>8.2270079999999979</v>
      </c>
      <c r="V33">
        <f t="shared" si="25"/>
        <v>8.6194799999999994</v>
      </c>
      <c r="W33">
        <f t="shared" si="26"/>
        <v>0</v>
      </c>
      <c r="X33">
        <f t="shared" si="27"/>
        <v>8637.4699999999993</v>
      </c>
      <c r="Y33">
        <f t="shared" si="28"/>
        <v>6692.57</v>
      </c>
      <c r="AA33">
        <v>146929938</v>
      </c>
      <c r="AB33">
        <f t="shared" si="29"/>
        <v>4855.2</v>
      </c>
      <c r="AC33">
        <f t="shared" si="30"/>
        <v>12.2</v>
      </c>
      <c r="AD33">
        <f>ROUND((((((ET33*1.25)*1.15))-(((EU33*1.25)*1.15)))+AE33),2)</f>
        <v>4690.26</v>
      </c>
      <c r="AE33">
        <f>ROUND((((EU33*1.25)*1.15)),2)</f>
        <v>246.13</v>
      </c>
      <c r="AF33">
        <f>ROUND((((EV33*1.15)*1.15)),2)</f>
        <v>152.74</v>
      </c>
      <c r="AG33">
        <f t="shared" si="31"/>
        <v>0</v>
      </c>
      <c r="AH33">
        <f>(((EW33*1.15)*1.15))</f>
        <v>19.043999999999997</v>
      </c>
      <c r="AI33">
        <f>(((EX33*1.25)*1.15))</f>
        <v>19.952500000000001</v>
      </c>
      <c r="AJ33">
        <f t="shared" si="32"/>
        <v>0</v>
      </c>
      <c r="AK33">
        <v>3390.48</v>
      </c>
      <c r="AL33">
        <v>12.2</v>
      </c>
      <c r="AM33">
        <v>3262.79</v>
      </c>
      <c r="AN33">
        <v>171.22</v>
      </c>
      <c r="AO33">
        <v>115.49</v>
      </c>
      <c r="AP33">
        <v>0</v>
      </c>
      <c r="AQ33">
        <v>14.4</v>
      </c>
      <c r="AR33">
        <v>13.88</v>
      </c>
      <c r="AS33">
        <v>0</v>
      </c>
      <c r="AT33">
        <v>147</v>
      </c>
      <c r="AU33">
        <v>113.9</v>
      </c>
      <c r="AV33">
        <v>1</v>
      </c>
      <c r="AW33">
        <v>1</v>
      </c>
      <c r="AZ33">
        <v>1</v>
      </c>
      <c r="BA33">
        <v>34.1</v>
      </c>
      <c r="BB33">
        <v>12.65</v>
      </c>
      <c r="BC33">
        <v>9.0500000000000007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91</v>
      </c>
      <c r="BM33">
        <v>27001</v>
      </c>
      <c r="BN33">
        <v>0</v>
      </c>
      <c r="BO33" t="s">
        <v>3</v>
      </c>
      <c r="BP33">
        <v>0</v>
      </c>
      <c r="BQ33">
        <v>2</v>
      </c>
      <c r="BR33">
        <v>0</v>
      </c>
      <c r="BS33">
        <v>34.1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147</v>
      </c>
      <c r="CA33">
        <v>134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359</v>
      </c>
      <c r="CO33">
        <v>0</v>
      </c>
      <c r="CP33">
        <f t="shared" si="33"/>
        <v>27929.09</v>
      </c>
      <c r="CQ33">
        <f t="shared" si="34"/>
        <v>110.41</v>
      </c>
      <c r="CR33">
        <f>(((((ET33*1.25)*1.15))*BB33-(((EU33*1.25)*1.15))*BS33)+AE33*BS33)</f>
        <v>59331.839531249992</v>
      </c>
      <c r="CS33">
        <f t="shared" si="35"/>
        <v>8393.0329999999994</v>
      </c>
      <c r="CT33">
        <f t="shared" si="36"/>
        <v>5208.4340000000002</v>
      </c>
      <c r="CU33">
        <f t="shared" si="37"/>
        <v>0</v>
      </c>
      <c r="CV33">
        <f t="shared" si="38"/>
        <v>19.043999999999997</v>
      </c>
      <c r="CW33">
        <f t="shared" si="39"/>
        <v>19.952500000000001</v>
      </c>
      <c r="CX33">
        <f t="shared" si="40"/>
        <v>0</v>
      </c>
      <c r="CY33">
        <f t="shared" si="41"/>
        <v>8637.4701000000005</v>
      </c>
      <c r="CZ33">
        <f t="shared" si="42"/>
        <v>6692.5703700000004</v>
      </c>
      <c r="DC33" t="s">
        <v>3</v>
      </c>
      <c r="DD33" t="s">
        <v>3</v>
      </c>
      <c r="DE33" t="s">
        <v>79</v>
      </c>
      <c r="DF33" t="s">
        <v>79</v>
      </c>
      <c r="DG33" t="s">
        <v>80</v>
      </c>
      <c r="DH33" t="s">
        <v>3</v>
      </c>
      <c r="DI33" t="s">
        <v>80</v>
      </c>
      <c r="DJ33" t="s">
        <v>79</v>
      </c>
      <c r="DK33" t="s">
        <v>3</v>
      </c>
      <c r="DL33" t="s">
        <v>3</v>
      </c>
      <c r="DM33" t="s">
        <v>81</v>
      </c>
      <c r="DN33">
        <v>0</v>
      </c>
      <c r="DO33">
        <v>0</v>
      </c>
      <c r="DP33">
        <v>1</v>
      </c>
      <c r="DQ33">
        <v>1</v>
      </c>
      <c r="DU33">
        <v>1007</v>
      </c>
      <c r="DV33" t="s">
        <v>44</v>
      </c>
      <c r="DW33" t="s">
        <v>44</v>
      </c>
      <c r="DX33">
        <v>100</v>
      </c>
      <c r="DZ33" t="s">
        <v>3</v>
      </c>
      <c r="EA33" t="s">
        <v>3</v>
      </c>
      <c r="EB33" t="s">
        <v>3</v>
      </c>
      <c r="EC33" t="s">
        <v>3</v>
      </c>
      <c r="EE33">
        <v>140625082</v>
      </c>
      <c r="EF33">
        <v>2</v>
      </c>
      <c r="EG33" t="s">
        <v>20</v>
      </c>
      <c r="EH33">
        <v>21</v>
      </c>
      <c r="EI33" t="s">
        <v>21</v>
      </c>
      <c r="EJ33">
        <v>1</v>
      </c>
      <c r="EK33">
        <v>27001</v>
      </c>
      <c r="EL33" t="s">
        <v>21</v>
      </c>
      <c r="EM33" t="s">
        <v>22</v>
      </c>
      <c r="EO33" t="s">
        <v>85</v>
      </c>
      <c r="EQ33">
        <v>0</v>
      </c>
      <c r="ER33">
        <v>3390.48</v>
      </c>
      <c r="ES33">
        <v>12.2</v>
      </c>
      <c r="ET33">
        <v>3262.79</v>
      </c>
      <c r="EU33">
        <v>171.22</v>
      </c>
      <c r="EV33">
        <v>115.49</v>
      </c>
      <c r="EW33">
        <v>14.4</v>
      </c>
      <c r="EX33">
        <v>13.88</v>
      </c>
      <c r="EY33">
        <v>0</v>
      </c>
      <c r="FQ33">
        <v>0</v>
      </c>
      <c r="FR33">
        <f t="shared" si="16"/>
        <v>0</v>
      </c>
      <c r="FS33">
        <v>0</v>
      </c>
      <c r="FX33">
        <v>147</v>
      </c>
      <c r="FY33">
        <v>113.9</v>
      </c>
      <c r="GA33" t="s">
        <v>3</v>
      </c>
      <c r="GD33">
        <v>1</v>
      </c>
      <c r="GF33">
        <v>1496592795</v>
      </c>
      <c r="GG33">
        <v>2</v>
      </c>
      <c r="GH33">
        <v>1</v>
      </c>
      <c r="GI33">
        <v>4</v>
      </c>
      <c r="GJ33">
        <v>0</v>
      </c>
      <c r="GK33">
        <v>0</v>
      </c>
      <c r="GL33">
        <f t="shared" si="17"/>
        <v>0</v>
      </c>
      <c r="GM33">
        <f t="shared" si="43"/>
        <v>43259.13</v>
      </c>
      <c r="GN33">
        <f t="shared" si="44"/>
        <v>43259.13</v>
      </c>
      <c r="GO33">
        <f t="shared" si="45"/>
        <v>0</v>
      </c>
      <c r="GP33">
        <f t="shared" si="46"/>
        <v>0</v>
      </c>
      <c r="GR33">
        <v>0</v>
      </c>
      <c r="GS33">
        <v>3</v>
      </c>
      <c r="GT33">
        <v>0</v>
      </c>
      <c r="GU33" t="s">
        <v>3</v>
      </c>
      <c r="GV33">
        <f t="shared" si="47"/>
        <v>0</v>
      </c>
      <c r="GW33">
        <v>1</v>
      </c>
      <c r="GX33">
        <f t="shared" si="48"/>
        <v>0</v>
      </c>
      <c r="HA33">
        <v>0</v>
      </c>
      <c r="HB33">
        <v>0</v>
      </c>
      <c r="HC33">
        <f t="shared" si="49"/>
        <v>0</v>
      </c>
      <c r="HE33" t="s">
        <v>3</v>
      </c>
      <c r="HF33" t="s">
        <v>3</v>
      </c>
      <c r="HM33" t="s">
        <v>3</v>
      </c>
      <c r="HN33" t="s">
        <v>24</v>
      </c>
      <c r="HO33" t="s">
        <v>25</v>
      </c>
      <c r="HP33" t="s">
        <v>21</v>
      </c>
      <c r="HQ33" t="s">
        <v>21</v>
      </c>
      <c r="IK33">
        <v>0</v>
      </c>
    </row>
    <row r="34" spans="1:245" x14ac:dyDescent="0.2">
      <c r="A34">
        <v>17</v>
      </c>
      <c r="B34">
        <v>1</v>
      </c>
      <c r="E34" t="s">
        <v>92</v>
      </c>
      <c r="F34" t="s">
        <v>93</v>
      </c>
      <c r="G34" t="s">
        <v>94</v>
      </c>
      <c r="H34" t="s">
        <v>95</v>
      </c>
      <c r="I34">
        <f>ROUND(I33*110*1.5,9)</f>
        <v>71.28</v>
      </c>
      <c r="J34">
        <v>0</v>
      </c>
      <c r="K34">
        <f>ROUND(I33*110*1.5,9)</f>
        <v>71.28</v>
      </c>
      <c r="O34">
        <f t="shared" si="18"/>
        <v>58451.06</v>
      </c>
      <c r="P34">
        <f t="shared" si="19"/>
        <v>58451.06</v>
      </c>
      <c r="Q34">
        <f t="shared" si="20"/>
        <v>0</v>
      </c>
      <c r="R34">
        <f t="shared" si="21"/>
        <v>0</v>
      </c>
      <c r="S34">
        <f t="shared" si="22"/>
        <v>0</v>
      </c>
      <c r="T34">
        <f t="shared" si="23"/>
        <v>0</v>
      </c>
      <c r="U34">
        <f t="shared" si="24"/>
        <v>0</v>
      </c>
      <c r="V34">
        <f t="shared" si="25"/>
        <v>0</v>
      </c>
      <c r="W34">
        <f t="shared" si="26"/>
        <v>0</v>
      </c>
      <c r="X34">
        <f t="shared" si="27"/>
        <v>0</v>
      </c>
      <c r="Y34">
        <f t="shared" si="28"/>
        <v>0</v>
      </c>
      <c r="AA34">
        <v>146929938</v>
      </c>
      <c r="AB34">
        <f t="shared" si="29"/>
        <v>90.61</v>
      </c>
      <c r="AC34">
        <f t="shared" si="30"/>
        <v>90.61</v>
      </c>
      <c r="AD34">
        <f>ROUND((((ET34)-(EU34))+AE34),2)</f>
        <v>0</v>
      </c>
      <c r="AE34">
        <f>ROUND((EU34),2)</f>
        <v>0</v>
      </c>
      <c r="AF34">
        <f>ROUND((EV34),2)</f>
        <v>0</v>
      </c>
      <c r="AG34">
        <f t="shared" si="31"/>
        <v>0</v>
      </c>
      <c r="AH34">
        <f>(EW34)</f>
        <v>0</v>
      </c>
      <c r="AI34">
        <f>(EX34)</f>
        <v>0</v>
      </c>
      <c r="AJ34">
        <f t="shared" si="32"/>
        <v>0</v>
      </c>
      <c r="AK34">
        <v>90.61</v>
      </c>
      <c r="AL34">
        <v>90.61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9.0500000000000007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3</v>
      </c>
      <c r="BM34">
        <v>1100</v>
      </c>
      <c r="BN34">
        <v>0</v>
      </c>
      <c r="BO34" t="s">
        <v>3</v>
      </c>
      <c r="BP34">
        <v>0</v>
      </c>
      <c r="BQ34">
        <v>8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3"/>
        <v>58451.06</v>
      </c>
      <c r="CQ34">
        <f t="shared" si="34"/>
        <v>820.02050000000008</v>
      </c>
      <c r="CR34">
        <f>(((ET34)*BB34-(EU34)*BS34)+AE34*BS34)</f>
        <v>0</v>
      </c>
      <c r="CS34">
        <f t="shared" si="35"/>
        <v>0</v>
      </c>
      <c r="CT34">
        <f t="shared" si="36"/>
        <v>0</v>
      </c>
      <c r="CU34">
        <f t="shared" si="37"/>
        <v>0</v>
      </c>
      <c r="CV34">
        <f t="shared" si="38"/>
        <v>0</v>
      </c>
      <c r="CW34">
        <f t="shared" si="39"/>
        <v>0</v>
      </c>
      <c r="CX34">
        <f t="shared" si="40"/>
        <v>0</v>
      </c>
      <c r="CY34">
        <f t="shared" si="41"/>
        <v>0</v>
      </c>
      <c r="CZ34">
        <f t="shared" si="42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1009</v>
      </c>
      <c r="DV34" t="s">
        <v>95</v>
      </c>
      <c r="DW34" t="s">
        <v>95</v>
      </c>
      <c r="DX34">
        <v>1000</v>
      </c>
      <c r="DZ34" t="s">
        <v>3</v>
      </c>
      <c r="EA34" t="s">
        <v>3</v>
      </c>
      <c r="EB34" t="s">
        <v>3</v>
      </c>
      <c r="EC34" t="s">
        <v>3</v>
      </c>
      <c r="EE34">
        <v>140625274</v>
      </c>
      <c r="EF34">
        <v>8</v>
      </c>
      <c r="EG34" t="s">
        <v>69</v>
      </c>
      <c r="EH34">
        <v>0</v>
      </c>
      <c r="EI34" t="s">
        <v>3</v>
      </c>
      <c r="EJ34">
        <v>1</v>
      </c>
      <c r="EK34">
        <v>1100</v>
      </c>
      <c r="EL34" t="s">
        <v>70</v>
      </c>
      <c r="EM34" t="s">
        <v>71</v>
      </c>
      <c r="EO34" t="s">
        <v>3</v>
      </c>
      <c r="EQ34">
        <v>0</v>
      </c>
      <c r="ER34">
        <v>90.61</v>
      </c>
      <c r="ES34">
        <v>90.61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5</v>
      </c>
      <c r="FC34">
        <v>1</v>
      </c>
      <c r="FD34">
        <v>18</v>
      </c>
      <c r="FF34">
        <v>984</v>
      </c>
      <c r="FQ34">
        <v>0</v>
      </c>
      <c r="FR34">
        <f t="shared" si="16"/>
        <v>0</v>
      </c>
      <c r="FS34">
        <v>0</v>
      </c>
      <c r="FX34">
        <v>0</v>
      </c>
      <c r="FY34">
        <v>0</v>
      </c>
      <c r="GA34" t="s">
        <v>96</v>
      </c>
      <c r="GD34">
        <v>1</v>
      </c>
      <c r="GF34">
        <v>334613143</v>
      </c>
      <c r="GG34">
        <v>2</v>
      </c>
      <c r="GH34">
        <v>3</v>
      </c>
      <c r="GI34">
        <v>4</v>
      </c>
      <c r="GJ34">
        <v>0</v>
      </c>
      <c r="GK34">
        <v>0</v>
      </c>
      <c r="GL34">
        <f t="shared" si="17"/>
        <v>0</v>
      </c>
      <c r="GM34">
        <f t="shared" si="43"/>
        <v>58451.06</v>
      </c>
      <c r="GN34">
        <f t="shared" si="44"/>
        <v>58451.06</v>
      </c>
      <c r="GO34">
        <f t="shared" si="45"/>
        <v>0</v>
      </c>
      <c r="GP34">
        <f t="shared" si="46"/>
        <v>0</v>
      </c>
      <c r="GR34">
        <v>1</v>
      </c>
      <c r="GS34">
        <v>1</v>
      </c>
      <c r="GT34">
        <v>0</v>
      </c>
      <c r="GU34" t="s">
        <v>3</v>
      </c>
      <c r="GV34">
        <f t="shared" si="47"/>
        <v>0</v>
      </c>
      <c r="GW34">
        <v>1</v>
      </c>
      <c r="GX34">
        <f t="shared" si="48"/>
        <v>0</v>
      </c>
      <c r="HA34">
        <v>0</v>
      </c>
      <c r="HB34">
        <v>0</v>
      </c>
      <c r="HC34">
        <f t="shared" si="49"/>
        <v>0</v>
      </c>
      <c r="HE34" t="s">
        <v>73</v>
      </c>
      <c r="HF34" t="s">
        <v>73</v>
      </c>
      <c r="HM34" t="s">
        <v>3</v>
      </c>
      <c r="HN34" t="s">
        <v>3</v>
      </c>
      <c r="HO34" t="s">
        <v>3</v>
      </c>
      <c r="HP34" t="s">
        <v>3</v>
      </c>
      <c r="HQ34" t="s">
        <v>3</v>
      </c>
      <c r="IK34">
        <v>0</v>
      </c>
    </row>
    <row r="35" spans="1:245" x14ac:dyDescent="0.2">
      <c r="A35">
        <v>17</v>
      </c>
      <c r="B35">
        <v>1</v>
      </c>
      <c r="C35">
        <f>ROW(SmtRes!A37)</f>
        <v>37</v>
      </c>
      <c r="D35">
        <f>ROW(EtalonRes!A37)</f>
        <v>37</v>
      </c>
      <c r="E35" t="s">
        <v>97</v>
      </c>
      <c r="F35" t="s">
        <v>98</v>
      </c>
      <c r="G35" t="s">
        <v>99</v>
      </c>
      <c r="H35" t="s">
        <v>44</v>
      </c>
      <c r="I35">
        <f>ROUND((200*0.2+16*0.2)/100,9)</f>
        <v>0.432</v>
      </c>
      <c r="J35">
        <v>0</v>
      </c>
      <c r="K35">
        <f>ROUND((200*0.2+16*0.2)/100,9)</f>
        <v>0.432</v>
      </c>
      <c r="O35">
        <f t="shared" si="18"/>
        <v>44831.3</v>
      </c>
      <c r="P35">
        <f t="shared" si="19"/>
        <v>66.78</v>
      </c>
      <c r="Q35">
        <f t="shared" si="20"/>
        <v>41389.599999999999</v>
      </c>
      <c r="R35">
        <f t="shared" si="21"/>
        <v>5668.27</v>
      </c>
      <c r="S35">
        <f t="shared" si="22"/>
        <v>3374.92</v>
      </c>
      <c r="T35">
        <f t="shared" si="23"/>
        <v>0</v>
      </c>
      <c r="U35">
        <f t="shared" si="24"/>
        <v>12.340511999999999</v>
      </c>
      <c r="V35">
        <f t="shared" si="25"/>
        <v>12.792599999999998</v>
      </c>
      <c r="W35">
        <f t="shared" si="26"/>
        <v>0</v>
      </c>
      <c r="X35">
        <f t="shared" si="27"/>
        <v>13293.49</v>
      </c>
      <c r="Y35">
        <f t="shared" si="28"/>
        <v>10300.19</v>
      </c>
      <c r="AA35">
        <v>146929938</v>
      </c>
      <c r="AB35">
        <f t="shared" si="29"/>
        <v>7820.03</v>
      </c>
      <c r="AC35">
        <f t="shared" si="30"/>
        <v>17.079999999999998</v>
      </c>
      <c r="AD35">
        <f>ROUND((((((ET35*1.25)*1.15))-(((EU35*1.25)*1.15)))+AE35),2)</f>
        <v>7573.85</v>
      </c>
      <c r="AE35">
        <f>ROUND((((EU35*1.25)*1.15)),2)</f>
        <v>384.78</v>
      </c>
      <c r="AF35">
        <f>ROUND((((EV35*1.15)*1.15)),2)</f>
        <v>229.1</v>
      </c>
      <c r="AG35">
        <f t="shared" si="31"/>
        <v>0</v>
      </c>
      <c r="AH35">
        <f>(((EW35*1.15)*1.15))</f>
        <v>28.565999999999999</v>
      </c>
      <c r="AI35">
        <f>(((EX35*1.25)*1.15))</f>
        <v>29.612499999999997</v>
      </c>
      <c r="AJ35">
        <f t="shared" si="32"/>
        <v>0</v>
      </c>
      <c r="AK35">
        <v>5459.07</v>
      </c>
      <c r="AL35">
        <v>17.079999999999998</v>
      </c>
      <c r="AM35">
        <v>5268.76</v>
      </c>
      <c r="AN35">
        <v>267.67</v>
      </c>
      <c r="AO35">
        <v>173.23</v>
      </c>
      <c r="AP35">
        <v>0</v>
      </c>
      <c r="AQ35">
        <v>21.6</v>
      </c>
      <c r="AR35">
        <v>20.6</v>
      </c>
      <c r="AS35">
        <v>0</v>
      </c>
      <c r="AT35">
        <v>147</v>
      </c>
      <c r="AU35">
        <v>113.9</v>
      </c>
      <c r="AV35">
        <v>1</v>
      </c>
      <c r="AW35">
        <v>1</v>
      </c>
      <c r="AZ35">
        <v>1</v>
      </c>
      <c r="BA35">
        <v>34.1</v>
      </c>
      <c r="BB35">
        <v>12.65</v>
      </c>
      <c r="BC35">
        <v>9.0500000000000007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1</v>
      </c>
      <c r="BJ35" t="s">
        <v>100</v>
      </c>
      <c r="BM35">
        <v>27001</v>
      </c>
      <c r="BN35">
        <v>0</v>
      </c>
      <c r="BO35" t="s">
        <v>3</v>
      </c>
      <c r="BP35">
        <v>0</v>
      </c>
      <c r="BQ35">
        <v>2</v>
      </c>
      <c r="BR35">
        <v>0</v>
      </c>
      <c r="BS35">
        <v>34.1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147</v>
      </c>
      <c r="CA35">
        <v>134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359</v>
      </c>
      <c r="CO35">
        <v>0</v>
      </c>
      <c r="CP35">
        <f t="shared" si="33"/>
        <v>44831.299999999996</v>
      </c>
      <c r="CQ35">
        <f t="shared" si="34"/>
        <v>154.57399999999998</v>
      </c>
      <c r="CR35">
        <f>(((((ET35*1.25)*1.15))*BB35-(((EU35*1.25)*1.15))*BS35)+AE35*BS35)</f>
        <v>95809.256812500011</v>
      </c>
      <c r="CS35">
        <f t="shared" si="35"/>
        <v>13120.998</v>
      </c>
      <c r="CT35">
        <f t="shared" si="36"/>
        <v>7812.31</v>
      </c>
      <c r="CU35">
        <f t="shared" si="37"/>
        <v>0</v>
      </c>
      <c r="CV35">
        <f t="shared" si="38"/>
        <v>28.565999999999999</v>
      </c>
      <c r="CW35">
        <f t="shared" si="39"/>
        <v>29.612499999999997</v>
      </c>
      <c r="CX35">
        <f t="shared" si="40"/>
        <v>0</v>
      </c>
      <c r="CY35">
        <f t="shared" si="41"/>
        <v>13293.489300000001</v>
      </c>
      <c r="CZ35">
        <f t="shared" si="42"/>
        <v>10300.193410000002</v>
      </c>
      <c r="DC35" t="s">
        <v>3</v>
      </c>
      <c r="DD35" t="s">
        <v>3</v>
      </c>
      <c r="DE35" t="s">
        <v>79</v>
      </c>
      <c r="DF35" t="s">
        <v>79</v>
      </c>
      <c r="DG35" t="s">
        <v>80</v>
      </c>
      <c r="DH35" t="s">
        <v>3</v>
      </c>
      <c r="DI35" t="s">
        <v>80</v>
      </c>
      <c r="DJ35" t="s">
        <v>79</v>
      </c>
      <c r="DK35" t="s">
        <v>3</v>
      </c>
      <c r="DL35" t="s">
        <v>3</v>
      </c>
      <c r="DM35" t="s">
        <v>81</v>
      </c>
      <c r="DN35">
        <v>0</v>
      </c>
      <c r="DO35">
        <v>0</v>
      </c>
      <c r="DP35">
        <v>1</v>
      </c>
      <c r="DQ35">
        <v>1</v>
      </c>
      <c r="DU35">
        <v>1007</v>
      </c>
      <c r="DV35" t="s">
        <v>44</v>
      </c>
      <c r="DW35" t="s">
        <v>44</v>
      </c>
      <c r="DX35">
        <v>100</v>
      </c>
      <c r="DZ35" t="s">
        <v>3</v>
      </c>
      <c r="EA35" t="s">
        <v>3</v>
      </c>
      <c r="EB35" t="s">
        <v>3</v>
      </c>
      <c r="EC35" t="s">
        <v>3</v>
      </c>
      <c r="EE35">
        <v>140625082</v>
      </c>
      <c r="EF35">
        <v>2</v>
      </c>
      <c r="EG35" t="s">
        <v>20</v>
      </c>
      <c r="EH35">
        <v>21</v>
      </c>
      <c r="EI35" t="s">
        <v>21</v>
      </c>
      <c r="EJ35">
        <v>1</v>
      </c>
      <c r="EK35">
        <v>27001</v>
      </c>
      <c r="EL35" t="s">
        <v>21</v>
      </c>
      <c r="EM35" t="s">
        <v>22</v>
      </c>
      <c r="EO35" t="s">
        <v>85</v>
      </c>
      <c r="EQ35">
        <v>0</v>
      </c>
      <c r="ER35">
        <v>5459.07</v>
      </c>
      <c r="ES35">
        <v>17.079999999999998</v>
      </c>
      <c r="ET35">
        <v>5268.76</v>
      </c>
      <c r="EU35">
        <v>267.67</v>
      </c>
      <c r="EV35">
        <v>173.23</v>
      </c>
      <c r="EW35">
        <v>21.6</v>
      </c>
      <c r="EX35">
        <v>20.6</v>
      </c>
      <c r="EY35">
        <v>0</v>
      </c>
      <c r="FQ35">
        <v>0</v>
      </c>
      <c r="FR35">
        <f t="shared" si="16"/>
        <v>0</v>
      </c>
      <c r="FS35">
        <v>0</v>
      </c>
      <c r="FX35">
        <v>147</v>
      </c>
      <c r="FY35">
        <v>113.9</v>
      </c>
      <c r="GA35" t="s">
        <v>3</v>
      </c>
      <c r="GD35">
        <v>1</v>
      </c>
      <c r="GF35">
        <v>-782061365</v>
      </c>
      <c r="GG35">
        <v>2</v>
      </c>
      <c r="GH35">
        <v>1</v>
      </c>
      <c r="GI35">
        <v>4</v>
      </c>
      <c r="GJ35">
        <v>0</v>
      </c>
      <c r="GK35">
        <v>0</v>
      </c>
      <c r="GL35">
        <f t="shared" si="17"/>
        <v>0</v>
      </c>
      <c r="GM35">
        <f t="shared" si="43"/>
        <v>68424.98</v>
      </c>
      <c r="GN35">
        <f t="shared" si="44"/>
        <v>68424.98</v>
      </c>
      <c r="GO35">
        <f t="shared" si="45"/>
        <v>0</v>
      </c>
      <c r="GP35">
        <f t="shared" si="46"/>
        <v>0</v>
      </c>
      <c r="GR35">
        <v>0</v>
      </c>
      <c r="GS35">
        <v>3</v>
      </c>
      <c r="GT35">
        <v>0</v>
      </c>
      <c r="GU35" t="s">
        <v>3</v>
      </c>
      <c r="GV35">
        <f t="shared" si="47"/>
        <v>0</v>
      </c>
      <c r="GW35">
        <v>1</v>
      </c>
      <c r="GX35">
        <f t="shared" si="48"/>
        <v>0</v>
      </c>
      <c r="HA35">
        <v>0</v>
      </c>
      <c r="HB35">
        <v>0</v>
      </c>
      <c r="HC35">
        <f t="shared" si="49"/>
        <v>0</v>
      </c>
      <c r="HE35" t="s">
        <v>3</v>
      </c>
      <c r="HF35" t="s">
        <v>3</v>
      </c>
      <c r="HM35" t="s">
        <v>3</v>
      </c>
      <c r="HN35" t="s">
        <v>24</v>
      </c>
      <c r="HO35" t="s">
        <v>25</v>
      </c>
      <c r="HP35" t="s">
        <v>21</v>
      </c>
      <c r="HQ35" t="s">
        <v>21</v>
      </c>
      <c r="IK35">
        <v>0</v>
      </c>
    </row>
    <row r="36" spans="1:245" x14ac:dyDescent="0.2">
      <c r="A36">
        <v>17</v>
      </c>
      <c r="B36">
        <v>1</v>
      </c>
      <c r="E36" t="s">
        <v>101</v>
      </c>
      <c r="F36" t="s">
        <v>93</v>
      </c>
      <c r="G36" t="s">
        <v>102</v>
      </c>
      <c r="H36" t="s">
        <v>95</v>
      </c>
      <c r="I36">
        <f>ROUND(ROUND(I35*126*1.35,2),9)</f>
        <v>73.48</v>
      </c>
      <c r="J36">
        <v>0</v>
      </c>
      <c r="K36">
        <f>ROUND(ROUND(I35*126*1.35,2),9)</f>
        <v>73.48</v>
      </c>
      <c r="O36">
        <f t="shared" si="18"/>
        <v>299799.25</v>
      </c>
      <c r="P36">
        <f t="shared" si="19"/>
        <v>299799.25</v>
      </c>
      <c r="Q36">
        <f t="shared" si="20"/>
        <v>0</v>
      </c>
      <c r="R36">
        <f t="shared" si="21"/>
        <v>0</v>
      </c>
      <c r="S36">
        <f t="shared" si="22"/>
        <v>0</v>
      </c>
      <c r="T36">
        <f t="shared" si="23"/>
        <v>0</v>
      </c>
      <c r="U36">
        <f t="shared" si="24"/>
        <v>0</v>
      </c>
      <c r="V36">
        <f t="shared" si="25"/>
        <v>0</v>
      </c>
      <c r="W36">
        <f t="shared" si="26"/>
        <v>0</v>
      </c>
      <c r="X36">
        <f t="shared" si="27"/>
        <v>0</v>
      </c>
      <c r="Y36">
        <f t="shared" si="28"/>
        <v>0</v>
      </c>
      <c r="AA36">
        <v>146929938</v>
      </c>
      <c r="AB36">
        <f t="shared" si="29"/>
        <v>450.83</v>
      </c>
      <c r="AC36">
        <f t="shared" si="30"/>
        <v>450.83</v>
      </c>
      <c r="AD36">
        <f>ROUND((((ET36)-(EU36))+AE36),2)</f>
        <v>0</v>
      </c>
      <c r="AE36">
        <f>ROUND((EU36),2)</f>
        <v>0</v>
      </c>
      <c r="AF36">
        <f>ROUND((EV36),2)</f>
        <v>0</v>
      </c>
      <c r="AG36">
        <f t="shared" si="31"/>
        <v>0</v>
      </c>
      <c r="AH36">
        <f>(EW36)</f>
        <v>0</v>
      </c>
      <c r="AI36">
        <f>(EX36)</f>
        <v>0</v>
      </c>
      <c r="AJ36">
        <f t="shared" si="32"/>
        <v>0</v>
      </c>
      <c r="AK36">
        <v>450.83</v>
      </c>
      <c r="AL36">
        <v>450.83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9.0500000000000007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3</v>
      </c>
      <c r="BM36">
        <v>1100</v>
      </c>
      <c r="BN36">
        <v>0</v>
      </c>
      <c r="BO36" t="s">
        <v>3</v>
      </c>
      <c r="BP36">
        <v>0</v>
      </c>
      <c r="BQ36">
        <v>8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3"/>
        <v>299799.25</v>
      </c>
      <c r="CQ36">
        <f t="shared" si="34"/>
        <v>4080.0115000000001</v>
      </c>
      <c r="CR36">
        <f>(((ET36)*BB36-(EU36)*BS36)+AE36*BS36)</f>
        <v>0</v>
      </c>
      <c r="CS36">
        <f t="shared" si="35"/>
        <v>0</v>
      </c>
      <c r="CT36">
        <f t="shared" si="36"/>
        <v>0</v>
      </c>
      <c r="CU36">
        <f t="shared" si="37"/>
        <v>0</v>
      </c>
      <c r="CV36">
        <f t="shared" si="38"/>
        <v>0</v>
      </c>
      <c r="CW36">
        <f t="shared" si="39"/>
        <v>0</v>
      </c>
      <c r="CX36">
        <f t="shared" si="40"/>
        <v>0</v>
      </c>
      <c r="CY36">
        <f t="shared" si="41"/>
        <v>0</v>
      </c>
      <c r="CZ36">
        <f t="shared" si="42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1009</v>
      </c>
      <c r="DV36" t="s">
        <v>95</v>
      </c>
      <c r="DW36" t="s">
        <v>95</v>
      </c>
      <c r="DX36">
        <v>1000</v>
      </c>
      <c r="DZ36" t="s">
        <v>3</v>
      </c>
      <c r="EA36" t="s">
        <v>3</v>
      </c>
      <c r="EB36" t="s">
        <v>3</v>
      </c>
      <c r="EC36" t="s">
        <v>3</v>
      </c>
      <c r="EE36">
        <v>140625274</v>
      </c>
      <c r="EF36">
        <v>8</v>
      </c>
      <c r="EG36" t="s">
        <v>69</v>
      </c>
      <c r="EH36">
        <v>0</v>
      </c>
      <c r="EI36" t="s">
        <v>3</v>
      </c>
      <c r="EJ36">
        <v>1</v>
      </c>
      <c r="EK36">
        <v>1100</v>
      </c>
      <c r="EL36" t="s">
        <v>70</v>
      </c>
      <c r="EM36" t="s">
        <v>71</v>
      </c>
      <c r="EO36" t="s">
        <v>3</v>
      </c>
      <c r="EQ36">
        <v>0</v>
      </c>
      <c r="ER36">
        <v>450.83</v>
      </c>
      <c r="ES36">
        <v>450.83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5</v>
      </c>
      <c r="FC36">
        <v>1</v>
      </c>
      <c r="FD36">
        <v>18</v>
      </c>
      <c r="FF36">
        <v>4800</v>
      </c>
      <c r="FQ36">
        <v>0</v>
      </c>
      <c r="FR36">
        <f t="shared" si="16"/>
        <v>0</v>
      </c>
      <c r="FS36">
        <v>0</v>
      </c>
      <c r="FX36">
        <v>0</v>
      </c>
      <c r="FY36">
        <v>0</v>
      </c>
      <c r="GA36" t="s">
        <v>103</v>
      </c>
      <c r="GD36">
        <v>1</v>
      </c>
      <c r="GF36">
        <v>-699551850</v>
      </c>
      <c r="GG36">
        <v>2</v>
      </c>
      <c r="GH36">
        <v>3</v>
      </c>
      <c r="GI36">
        <v>4</v>
      </c>
      <c r="GJ36">
        <v>0</v>
      </c>
      <c r="GK36">
        <v>0</v>
      </c>
      <c r="GL36">
        <f t="shared" si="17"/>
        <v>0</v>
      </c>
      <c r="GM36">
        <f t="shared" si="43"/>
        <v>299799.25</v>
      </c>
      <c r="GN36">
        <f t="shared" si="44"/>
        <v>299799.25</v>
      </c>
      <c r="GO36">
        <f t="shared" si="45"/>
        <v>0</v>
      </c>
      <c r="GP36">
        <f t="shared" si="46"/>
        <v>0</v>
      </c>
      <c r="GR36">
        <v>1</v>
      </c>
      <c r="GS36">
        <v>1</v>
      </c>
      <c r="GT36">
        <v>0</v>
      </c>
      <c r="GU36" t="s">
        <v>3</v>
      </c>
      <c r="GV36">
        <f t="shared" si="47"/>
        <v>0</v>
      </c>
      <c r="GW36">
        <v>1</v>
      </c>
      <c r="GX36">
        <f t="shared" si="48"/>
        <v>0</v>
      </c>
      <c r="HA36">
        <v>0</v>
      </c>
      <c r="HB36">
        <v>0</v>
      </c>
      <c r="HC36">
        <f t="shared" si="49"/>
        <v>0</v>
      </c>
      <c r="HE36" t="s">
        <v>73</v>
      </c>
      <c r="HF36" t="s">
        <v>26</v>
      </c>
      <c r="HM36" t="s">
        <v>3</v>
      </c>
      <c r="HN36" t="s">
        <v>3</v>
      </c>
      <c r="HO36" t="s">
        <v>3</v>
      </c>
      <c r="HP36" t="s">
        <v>3</v>
      </c>
      <c r="HQ36" t="s">
        <v>3</v>
      </c>
      <c r="IK36">
        <v>0</v>
      </c>
    </row>
    <row r="37" spans="1:245" x14ac:dyDescent="0.2">
      <c r="A37">
        <v>17</v>
      </c>
      <c r="B37">
        <v>1</v>
      </c>
      <c r="C37">
        <f>ROW(SmtRes!A42)</f>
        <v>42</v>
      </c>
      <c r="D37">
        <f>ROW(EtalonRes!A42)</f>
        <v>42</v>
      </c>
      <c r="E37" t="s">
        <v>104</v>
      </c>
      <c r="F37" t="s">
        <v>105</v>
      </c>
      <c r="G37" t="s">
        <v>106</v>
      </c>
      <c r="H37" t="s">
        <v>107</v>
      </c>
      <c r="I37">
        <f>ROUND(955/1000,9)</f>
        <v>0.95499999999999996</v>
      </c>
      <c r="J37">
        <v>0</v>
      </c>
      <c r="K37">
        <f>ROUND(955/1000,9)</f>
        <v>0.95499999999999996</v>
      </c>
      <c r="O37">
        <f t="shared" si="18"/>
        <v>4696.26</v>
      </c>
      <c r="P37">
        <f t="shared" si="19"/>
        <v>0</v>
      </c>
      <c r="Q37">
        <f t="shared" si="20"/>
        <v>242.93</v>
      </c>
      <c r="R37">
        <f t="shared" si="21"/>
        <v>93.14</v>
      </c>
      <c r="S37">
        <f t="shared" si="22"/>
        <v>4453.33</v>
      </c>
      <c r="T37">
        <f t="shared" si="23"/>
        <v>0</v>
      </c>
      <c r="U37">
        <f t="shared" si="24"/>
        <v>14.398057499999997</v>
      </c>
      <c r="V37">
        <f t="shared" si="25"/>
        <v>0.21964999999999998</v>
      </c>
      <c r="W37">
        <f t="shared" si="26"/>
        <v>0</v>
      </c>
      <c r="X37">
        <f t="shared" si="27"/>
        <v>6683.31</v>
      </c>
      <c r="Y37">
        <f t="shared" si="28"/>
        <v>5178.43</v>
      </c>
      <c r="AA37">
        <v>146929938</v>
      </c>
      <c r="AB37">
        <f t="shared" si="29"/>
        <v>156.86000000000001</v>
      </c>
      <c r="AC37">
        <f t="shared" si="30"/>
        <v>0</v>
      </c>
      <c r="AD37">
        <f>ROUND((((((ET37*1.25)*1.15))-(((EU37*1.25)*1.15)))+AE37),2)</f>
        <v>20.11</v>
      </c>
      <c r="AE37">
        <f>ROUND((((EU37*1.25)*1.15)),2)</f>
        <v>2.86</v>
      </c>
      <c r="AF37">
        <f>ROUND((((EV37*1.15)*1.15)),2)</f>
        <v>136.75</v>
      </c>
      <c r="AG37">
        <f t="shared" si="31"/>
        <v>0</v>
      </c>
      <c r="AH37">
        <f>(((EW37*1.15)*1.15))</f>
        <v>15.076499999999998</v>
      </c>
      <c r="AI37">
        <f>(((EX37*1.25)*1.15))</f>
        <v>0.22999999999999998</v>
      </c>
      <c r="AJ37">
        <f t="shared" si="32"/>
        <v>0</v>
      </c>
      <c r="AK37">
        <v>117.39</v>
      </c>
      <c r="AL37">
        <v>0</v>
      </c>
      <c r="AM37">
        <v>13.99</v>
      </c>
      <c r="AN37">
        <v>1.99</v>
      </c>
      <c r="AO37">
        <v>103.4</v>
      </c>
      <c r="AP37">
        <v>0</v>
      </c>
      <c r="AQ37">
        <v>11.4</v>
      </c>
      <c r="AR37">
        <v>0.16</v>
      </c>
      <c r="AS37">
        <v>0</v>
      </c>
      <c r="AT37">
        <v>147</v>
      </c>
      <c r="AU37">
        <v>113.9</v>
      </c>
      <c r="AV37">
        <v>1</v>
      </c>
      <c r="AW37">
        <v>1</v>
      </c>
      <c r="AZ37">
        <v>1</v>
      </c>
      <c r="BA37">
        <v>34.1</v>
      </c>
      <c r="BB37">
        <v>12.65</v>
      </c>
      <c r="BC37">
        <v>9.0500000000000007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1</v>
      </c>
      <c r="BJ37" t="s">
        <v>108</v>
      </c>
      <c r="BM37">
        <v>27001</v>
      </c>
      <c r="BN37">
        <v>0</v>
      </c>
      <c r="BO37" t="s">
        <v>3</v>
      </c>
      <c r="BP37">
        <v>0</v>
      </c>
      <c r="BQ37">
        <v>2</v>
      </c>
      <c r="BR37">
        <v>0</v>
      </c>
      <c r="BS37">
        <v>34.1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147</v>
      </c>
      <c r="CA37">
        <v>134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359</v>
      </c>
      <c r="CO37">
        <v>0</v>
      </c>
      <c r="CP37">
        <f t="shared" si="33"/>
        <v>4696.26</v>
      </c>
      <c r="CQ37">
        <f t="shared" si="34"/>
        <v>0</v>
      </c>
      <c r="CR37">
        <f>(((((ET37*1.25)*1.15))*BB37-(((EU37*1.25)*1.15))*BS37)+AE37*BS37)</f>
        <v>254.37809375000001</v>
      </c>
      <c r="CS37">
        <f t="shared" si="35"/>
        <v>97.525999999999996</v>
      </c>
      <c r="CT37">
        <f t="shared" si="36"/>
        <v>4663.1750000000002</v>
      </c>
      <c r="CU37">
        <f t="shared" si="37"/>
        <v>0</v>
      </c>
      <c r="CV37">
        <f t="shared" si="38"/>
        <v>15.076499999999998</v>
      </c>
      <c r="CW37">
        <f t="shared" si="39"/>
        <v>0.22999999999999998</v>
      </c>
      <c r="CX37">
        <f t="shared" si="40"/>
        <v>0</v>
      </c>
      <c r="CY37">
        <f t="shared" si="41"/>
        <v>6683.3109000000004</v>
      </c>
      <c r="CZ37">
        <f t="shared" si="42"/>
        <v>5178.4293300000008</v>
      </c>
      <c r="DC37" t="s">
        <v>3</v>
      </c>
      <c r="DD37" t="s">
        <v>3</v>
      </c>
      <c r="DE37" t="s">
        <v>79</v>
      </c>
      <c r="DF37" t="s">
        <v>79</v>
      </c>
      <c r="DG37" t="s">
        <v>80</v>
      </c>
      <c r="DH37" t="s">
        <v>3</v>
      </c>
      <c r="DI37" t="s">
        <v>80</v>
      </c>
      <c r="DJ37" t="s">
        <v>79</v>
      </c>
      <c r="DK37" t="s">
        <v>3</v>
      </c>
      <c r="DL37" t="s">
        <v>3</v>
      </c>
      <c r="DM37" t="s">
        <v>81</v>
      </c>
      <c r="DN37">
        <v>0</v>
      </c>
      <c r="DO37">
        <v>0</v>
      </c>
      <c r="DP37">
        <v>1</v>
      </c>
      <c r="DQ37">
        <v>1</v>
      </c>
      <c r="DU37">
        <v>1005</v>
      </c>
      <c r="DV37" t="s">
        <v>107</v>
      </c>
      <c r="DW37" t="s">
        <v>107</v>
      </c>
      <c r="DX37">
        <v>1000</v>
      </c>
      <c r="DZ37" t="s">
        <v>3</v>
      </c>
      <c r="EA37" t="s">
        <v>3</v>
      </c>
      <c r="EB37" t="s">
        <v>3</v>
      </c>
      <c r="EC37" t="s">
        <v>3</v>
      </c>
      <c r="EE37">
        <v>140625082</v>
      </c>
      <c r="EF37">
        <v>2</v>
      </c>
      <c r="EG37" t="s">
        <v>20</v>
      </c>
      <c r="EH37">
        <v>21</v>
      </c>
      <c r="EI37" t="s">
        <v>21</v>
      </c>
      <c r="EJ37">
        <v>1</v>
      </c>
      <c r="EK37">
        <v>27001</v>
      </c>
      <c r="EL37" t="s">
        <v>21</v>
      </c>
      <c r="EM37" t="s">
        <v>22</v>
      </c>
      <c r="EO37" t="s">
        <v>85</v>
      </c>
      <c r="EQ37">
        <v>0</v>
      </c>
      <c r="ER37">
        <v>117.39</v>
      </c>
      <c r="ES37">
        <v>0</v>
      </c>
      <c r="ET37">
        <v>13.99</v>
      </c>
      <c r="EU37">
        <v>1.99</v>
      </c>
      <c r="EV37">
        <v>103.4</v>
      </c>
      <c r="EW37">
        <v>11.4</v>
      </c>
      <c r="EX37">
        <v>0.16</v>
      </c>
      <c r="EY37">
        <v>0</v>
      </c>
      <c r="FQ37">
        <v>0</v>
      </c>
      <c r="FR37">
        <f t="shared" si="16"/>
        <v>0</v>
      </c>
      <c r="FS37">
        <v>0</v>
      </c>
      <c r="FX37">
        <v>147</v>
      </c>
      <c r="FY37">
        <v>113.9</v>
      </c>
      <c r="GA37" t="s">
        <v>3</v>
      </c>
      <c r="GD37">
        <v>1</v>
      </c>
      <c r="GF37">
        <v>1339674519</v>
      </c>
      <c r="GG37">
        <v>2</v>
      </c>
      <c r="GH37">
        <v>1</v>
      </c>
      <c r="GI37">
        <v>4</v>
      </c>
      <c r="GJ37">
        <v>0</v>
      </c>
      <c r="GK37">
        <v>0</v>
      </c>
      <c r="GL37">
        <f t="shared" si="17"/>
        <v>0</v>
      </c>
      <c r="GM37">
        <f t="shared" si="43"/>
        <v>16558</v>
      </c>
      <c r="GN37">
        <f t="shared" si="44"/>
        <v>16558</v>
      </c>
      <c r="GO37">
        <f t="shared" si="45"/>
        <v>0</v>
      </c>
      <c r="GP37">
        <f t="shared" si="46"/>
        <v>0</v>
      </c>
      <c r="GR37">
        <v>0</v>
      </c>
      <c r="GS37">
        <v>3</v>
      </c>
      <c r="GT37">
        <v>0</v>
      </c>
      <c r="GU37" t="s">
        <v>3</v>
      </c>
      <c r="GV37">
        <f t="shared" si="47"/>
        <v>0</v>
      </c>
      <c r="GW37">
        <v>1</v>
      </c>
      <c r="GX37">
        <f t="shared" si="48"/>
        <v>0</v>
      </c>
      <c r="HA37">
        <v>0</v>
      </c>
      <c r="HB37">
        <v>0</v>
      </c>
      <c r="HC37">
        <f t="shared" si="49"/>
        <v>0</v>
      </c>
      <c r="HE37" t="s">
        <v>3</v>
      </c>
      <c r="HF37" t="s">
        <v>3</v>
      </c>
      <c r="HM37" t="s">
        <v>3</v>
      </c>
      <c r="HN37" t="s">
        <v>24</v>
      </c>
      <c r="HO37" t="s">
        <v>25</v>
      </c>
      <c r="HP37" t="s">
        <v>21</v>
      </c>
      <c r="HQ37" t="s">
        <v>21</v>
      </c>
      <c r="IK37">
        <v>0</v>
      </c>
    </row>
    <row r="38" spans="1:245" x14ac:dyDescent="0.2">
      <c r="A38">
        <v>17</v>
      </c>
      <c r="B38">
        <v>1</v>
      </c>
      <c r="E38" t="s">
        <v>109</v>
      </c>
      <c r="F38" t="s">
        <v>93</v>
      </c>
      <c r="G38" t="s">
        <v>110</v>
      </c>
      <c r="H38" t="s">
        <v>111</v>
      </c>
      <c r="I38">
        <f>ROUND(I37*1100,9)</f>
        <v>1050.5</v>
      </c>
      <c r="J38">
        <v>0</v>
      </c>
      <c r="K38">
        <f>ROUND(I37*1100,9)</f>
        <v>1050.5</v>
      </c>
      <c r="O38">
        <f t="shared" si="18"/>
        <v>117221.62</v>
      </c>
      <c r="P38">
        <f t="shared" si="19"/>
        <v>117221.62</v>
      </c>
      <c r="Q38">
        <f t="shared" si="20"/>
        <v>0</v>
      </c>
      <c r="R38">
        <f t="shared" si="21"/>
        <v>0</v>
      </c>
      <c r="S38">
        <f t="shared" si="22"/>
        <v>0</v>
      </c>
      <c r="T38">
        <f t="shared" si="23"/>
        <v>0</v>
      </c>
      <c r="U38">
        <f t="shared" si="24"/>
        <v>0</v>
      </c>
      <c r="V38">
        <f t="shared" si="25"/>
        <v>0</v>
      </c>
      <c r="W38">
        <f t="shared" si="26"/>
        <v>0</v>
      </c>
      <c r="X38">
        <f t="shared" si="27"/>
        <v>0</v>
      </c>
      <c r="Y38">
        <f t="shared" si="28"/>
        <v>0</v>
      </c>
      <c r="AA38">
        <v>146929938</v>
      </c>
      <c r="AB38">
        <f t="shared" si="29"/>
        <v>12.33</v>
      </c>
      <c r="AC38">
        <f t="shared" si="30"/>
        <v>12.33</v>
      </c>
      <c r="AD38">
        <f>ROUND((((ET38)-(EU38))+AE38),2)</f>
        <v>0</v>
      </c>
      <c r="AE38">
        <f>ROUND((EU38),2)</f>
        <v>0</v>
      </c>
      <c r="AF38">
        <f>ROUND((EV38),2)</f>
        <v>0</v>
      </c>
      <c r="AG38">
        <f t="shared" si="31"/>
        <v>0</v>
      </c>
      <c r="AH38">
        <f>(EW38)</f>
        <v>0</v>
      </c>
      <c r="AI38">
        <f>(EX38)</f>
        <v>0</v>
      </c>
      <c r="AJ38">
        <f t="shared" si="32"/>
        <v>0</v>
      </c>
      <c r="AK38">
        <v>12.33</v>
      </c>
      <c r="AL38">
        <v>12.33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9.0500000000000007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1</v>
      </c>
      <c r="BJ38" t="s">
        <v>3</v>
      </c>
      <c r="BM38">
        <v>1100</v>
      </c>
      <c r="BN38">
        <v>0</v>
      </c>
      <c r="BO38" t="s">
        <v>3</v>
      </c>
      <c r="BP38">
        <v>0</v>
      </c>
      <c r="BQ38">
        <v>8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0</v>
      </c>
      <c r="CA38">
        <v>0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3"/>
        <v>117221.62</v>
      </c>
      <c r="CQ38">
        <f t="shared" si="34"/>
        <v>111.58650000000002</v>
      </c>
      <c r="CR38">
        <f>(((ET38)*BB38-(EU38)*BS38)+AE38*BS38)</f>
        <v>0</v>
      </c>
      <c r="CS38">
        <f t="shared" si="35"/>
        <v>0</v>
      </c>
      <c r="CT38">
        <f t="shared" si="36"/>
        <v>0</v>
      </c>
      <c r="CU38">
        <f t="shared" si="37"/>
        <v>0</v>
      </c>
      <c r="CV38">
        <f t="shared" si="38"/>
        <v>0</v>
      </c>
      <c r="CW38">
        <f t="shared" si="39"/>
        <v>0</v>
      </c>
      <c r="CX38">
        <f t="shared" si="40"/>
        <v>0</v>
      </c>
      <c r="CY38">
        <f t="shared" si="41"/>
        <v>0</v>
      </c>
      <c r="CZ38">
        <f t="shared" si="42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1005</v>
      </c>
      <c r="DV38" t="s">
        <v>111</v>
      </c>
      <c r="DW38" t="s">
        <v>111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140625274</v>
      </c>
      <c r="EF38">
        <v>8</v>
      </c>
      <c r="EG38" t="s">
        <v>69</v>
      </c>
      <c r="EH38">
        <v>0</v>
      </c>
      <c r="EI38" t="s">
        <v>3</v>
      </c>
      <c r="EJ38">
        <v>1</v>
      </c>
      <c r="EK38">
        <v>1100</v>
      </c>
      <c r="EL38" t="s">
        <v>70</v>
      </c>
      <c r="EM38" t="s">
        <v>71</v>
      </c>
      <c r="EO38" t="s">
        <v>3</v>
      </c>
      <c r="EQ38">
        <v>0</v>
      </c>
      <c r="ER38">
        <v>12.33</v>
      </c>
      <c r="ES38">
        <v>12.33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5</v>
      </c>
      <c r="FC38">
        <v>1</v>
      </c>
      <c r="FD38">
        <v>18</v>
      </c>
      <c r="FF38">
        <v>125</v>
      </c>
      <c r="FQ38">
        <v>0</v>
      </c>
      <c r="FR38">
        <f t="shared" si="16"/>
        <v>0</v>
      </c>
      <c r="FS38">
        <v>0</v>
      </c>
      <c r="FX38">
        <v>0</v>
      </c>
      <c r="FY38">
        <v>0</v>
      </c>
      <c r="GA38" t="s">
        <v>112</v>
      </c>
      <c r="GD38">
        <v>1</v>
      </c>
      <c r="GF38">
        <v>-1449189013</v>
      </c>
      <c r="GG38">
        <v>2</v>
      </c>
      <c r="GH38">
        <v>3</v>
      </c>
      <c r="GI38">
        <v>4</v>
      </c>
      <c r="GJ38">
        <v>0</v>
      </c>
      <c r="GK38">
        <v>0</v>
      </c>
      <c r="GL38">
        <f t="shared" si="17"/>
        <v>0</v>
      </c>
      <c r="GM38">
        <f t="shared" si="43"/>
        <v>117221.62</v>
      </c>
      <c r="GN38">
        <f t="shared" si="44"/>
        <v>117221.62</v>
      </c>
      <c r="GO38">
        <f t="shared" si="45"/>
        <v>0</v>
      </c>
      <c r="GP38">
        <f t="shared" si="46"/>
        <v>0</v>
      </c>
      <c r="GR38">
        <v>1</v>
      </c>
      <c r="GS38">
        <v>1</v>
      </c>
      <c r="GT38">
        <v>0</v>
      </c>
      <c r="GU38" t="s">
        <v>3</v>
      </c>
      <c r="GV38">
        <f t="shared" si="47"/>
        <v>0</v>
      </c>
      <c r="GW38">
        <v>1</v>
      </c>
      <c r="GX38">
        <f t="shared" si="48"/>
        <v>0</v>
      </c>
      <c r="HA38">
        <v>0</v>
      </c>
      <c r="HB38">
        <v>0</v>
      </c>
      <c r="HC38">
        <f t="shared" si="49"/>
        <v>0</v>
      </c>
      <c r="HE38" t="s">
        <v>46</v>
      </c>
      <c r="HF38" t="s">
        <v>26</v>
      </c>
      <c r="HM38" t="s">
        <v>3</v>
      </c>
      <c r="HN38" t="s">
        <v>3</v>
      </c>
      <c r="HO38" t="s">
        <v>3</v>
      </c>
      <c r="HP38" t="s">
        <v>3</v>
      </c>
      <c r="HQ38" t="s">
        <v>3</v>
      </c>
      <c r="IK38">
        <v>0</v>
      </c>
    </row>
    <row r="39" spans="1:245" x14ac:dyDescent="0.2">
      <c r="A39">
        <v>17</v>
      </c>
      <c r="B39">
        <v>1</v>
      </c>
      <c r="E39" t="s">
        <v>113</v>
      </c>
      <c r="F39" t="s">
        <v>93</v>
      </c>
      <c r="G39" t="s">
        <v>114</v>
      </c>
      <c r="H39" t="s">
        <v>95</v>
      </c>
      <c r="I39">
        <f>ROUND(ROUND(500*0.1*0.888/1000,4),9)</f>
        <v>4.4400000000000002E-2</v>
      </c>
      <c r="J39">
        <v>0</v>
      </c>
      <c r="K39">
        <f>ROUND(ROUND(500*0.1*0.888/1000,4),9)</f>
        <v>4.4400000000000002E-2</v>
      </c>
      <c r="O39">
        <f t="shared" si="18"/>
        <v>2655.01</v>
      </c>
      <c r="P39">
        <f t="shared" si="19"/>
        <v>2655.01</v>
      </c>
      <c r="Q39">
        <f t="shared" si="20"/>
        <v>0</v>
      </c>
      <c r="R39">
        <f t="shared" si="21"/>
        <v>0</v>
      </c>
      <c r="S39">
        <f t="shared" si="22"/>
        <v>0</v>
      </c>
      <c r="T39">
        <f t="shared" si="23"/>
        <v>0</v>
      </c>
      <c r="U39">
        <f t="shared" si="24"/>
        <v>0</v>
      </c>
      <c r="V39">
        <f t="shared" si="25"/>
        <v>0</v>
      </c>
      <c r="W39">
        <f t="shared" si="26"/>
        <v>0</v>
      </c>
      <c r="X39">
        <f t="shared" si="27"/>
        <v>0</v>
      </c>
      <c r="Y39">
        <f t="shared" si="28"/>
        <v>0</v>
      </c>
      <c r="AA39">
        <v>146929938</v>
      </c>
      <c r="AB39">
        <f t="shared" si="29"/>
        <v>6607.46</v>
      </c>
      <c r="AC39">
        <f t="shared" si="30"/>
        <v>6607.46</v>
      </c>
      <c r="AD39">
        <f>ROUND((((ET39)-(EU39))+AE39),2)</f>
        <v>0</v>
      </c>
      <c r="AE39">
        <f>ROUND((EU39),2)</f>
        <v>0</v>
      </c>
      <c r="AF39">
        <f>ROUND((EV39),2)</f>
        <v>0</v>
      </c>
      <c r="AG39">
        <f t="shared" si="31"/>
        <v>0</v>
      </c>
      <c r="AH39">
        <f>(EW39)</f>
        <v>0</v>
      </c>
      <c r="AI39">
        <f>(EX39)</f>
        <v>0</v>
      </c>
      <c r="AJ39">
        <f t="shared" si="32"/>
        <v>0</v>
      </c>
      <c r="AK39">
        <v>6607.4600000000009</v>
      </c>
      <c r="AL39">
        <v>6607.4600000000009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9.0500000000000007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3</v>
      </c>
      <c r="BM39">
        <v>1100</v>
      </c>
      <c r="BN39">
        <v>0</v>
      </c>
      <c r="BO39" t="s">
        <v>3</v>
      </c>
      <c r="BP39">
        <v>0</v>
      </c>
      <c r="BQ39">
        <v>8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0</v>
      </c>
      <c r="CA39">
        <v>0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3"/>
        <v>2655.01</v>
      </c>
      <c r="CQ39">
        <f t="shared" si="34"/>
        <v>59797.513000000006</v>
      </c>
      <c r="CR39">
        <f>(((ET39)*BB39-(EU39)*BS39)+AE39*BS39)</f>
        <v>0</v>
      </c>
      <c r="CS39">
        <f t="shared" si="35"/>
        <v>0</v>
      </c>
      <c r="CT39">
        <f t="shared" si="36"/>
        <v>0</v>
      </c>
      <c r="CU39">
        <f t="shared" si="37"/>
        <v>0</v>
      </c>
      <c r="CV39">
        <f t="shared" si="38"/>
        <v>0</v>
      </c>
      <c r="CW39">
        <f t="shared" si="39"/>
        <v>0</v>
      </c>
      <c r="CX39">
        <f t="shared" si="40"/>
        <v>0</v>
      </c>
      <c r="CY39">
        <f t="shared" si="41"/>
        <v>0</v>
      </c>
      <c r="CZ39">
        <f t="shared" si="42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1009</v>
      </c>
      <c r="DV39" t="s">
        <v>95</v>
      </c>
      <c r="DW39" t="s">
        <v>95</v>
      </c>
      <c r="DX39">
        <v>1000</v>
      </c>
      <c r="DZ39" t="s">
        <v>3</v>
      </c>
      <c r="EA39" t="s">
        <v>3</v>
      </c>
      <c r="EB39" t="s">
        <v>3</v>
      </c>
      <c r="EC39" t="s">
        <v>3</v>
      </c>
      <c r="EE39">
        <v>140625274</v>
      </c>
      <c r="EF39">
        <v>8</v>
      </c>
      <c r="EG39" t="s">
        <v>69</v>
      </c>
      <c r="EH39">
        <v>0</v>
      </c>
      <c r="EI39" t="s">
        <v>3</v>
      </c>
      <c r="EJ39">
        <v>1</v>
      </c>
      <c r="EK39">
        <v>1100</v>
      </c>
      <c r="EL39" t="s">
        <v>70</v>
      </c>
      <c r="EM39" t="s">
        <v>71</v>
      </c>
      <c r="EO39" t="s">
        <v>3</v>
      </c>
      <c r="EQ39">
        <v>0</v>
      </c>
      <c r="ER39">
        <v>6607.4600000000009</v>
      </c>
      <c r="ES39">
        <v>6607.4600000000009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5</v>
      </c>
      <c r="FC39">
        <v>1</v>
      </c>
      <c r="FD39">
        <v>18</v>
      </c>
      <c r="FF39">
        <v>67000</v>
      </c>
      <c r="FQ39">
        <v>0</v>
      </c>
      <c r="FR39">
        <f t="shared" si="16"/>
        <v>0</v>
      </c>
      <c r="FS39">
        <v>0</v>
      </c>
      <c r="FX39">
        <v>0</v>
      </c>
      <c r="FY39">
        <v>0</v>
      </c>
      <c r="GA39" t="s">
        <v>115</v>
      </c>
      <c r="GD39">
        <v>1</v>
      </c>
      <c r="GF39">
        <v>-1102012479</v>
      </c>
      <c r="GG39">
        <v>2</v>
      </c>
      <c r="GH39">
        <v>3</v>
      </c>
      <c r="GI39">
        <v>4</v>
      </c>
      <c r="GJ39">
        <v>0</v>
      </c>
      <c r="GK39">
        <v>0</v>
      </c>
      <c r="GL39">
        <f t="shared" si="17"/>
        <v>0</v>
      </c>
      <c r="GM39">
        <f t="shared" si="43"/>
        <v>2655.01</v>
      </c>
      <c r="GN39">
        <f t="shared" si="44"/>
        <v>2655.01</v>
      </c>
      <c r="GO39">
        <f t="shared" si="45"/>
        <v>0</v>
      </c>
      <c r="GP39">
        <f t="shared" si="46"/>
        <v>0</v>
      </c>
      <c r="GR39">
        <v>1</v>
      </c>
      <c r="GS39">
        <v>1</v>
      </c>
      <c r="GT39">
        <v>0</v>
      </c>
      <c r="GU39" t="s">
        <v>3</v>
      </c>
      <c r="GV39">
        <f t="shared" si="47"/>
        <v>0</v>
      </c>
      <c r="GW39">
        <v>1</v>
      </c>
      <c r="GX39">
        <f t="shared" si="48"/>
        <v>0</v>
      </c>
      <c r="HA39">
        <v>0</v>
      </c>
      <c r="HB39">
        <v>0</v>
      </c>
      <c r="HC39">
        <f t="shared" si="49"/>
        <v>0</v>
      </c>
      <c r="HE39" t="s">
        <v>46</v>
      </c>
      <c r="HF39" t="s">
        <v>26</v>
      </c>
      <c r="HM39" t="s">
        <v>3</v>
      </c>
      <c r="HN39" t="s">
        <v>3</v>
      </c>
      <c r="HO39" t="s">
        <v>3</v>
      </c>
      <c r="HP39" t="s">
        <v>3</v>
      </c>
      <c r="HQ39" t="s">
        <v>3</v>
      </c>
      <c r="IK39">
        <v>0</v>
      </c>
    </row>
    <row r="40" spans="1:245" x14ac:dyDescent="0.2">
      <c r="A40">
        <v>17</v>
      </c>
      <c r="B40">
        <v>1</v>
      </c>
      <c r="C40">
        <f>ROW(SmtRes!A62)</f>
        <v>62</v>
      </c>
      <c r="D40">
        <f>ROW(EtalonRes!A62)</f>
        <v>62</v>
      </c>
      <c r="E40" t="s">
        <v>116</v>
      </c>
      <c r="F40" t="s">
        <v>117</v>
      </c>
      <c r="G40" t="s">
        <v>118</v>
      </c>
      <c r="H40" t="s">
        <v>107</v>
      </c>
      <c r="I40">
        <f>ROUND(955/1000,9)</f>
        <v>0.95499999999999996</v>
      </c>
      <c r="J40">
        <v>0</v>
      </c>
      <c r="K40">
        <f>ROUND(955/1000,9)</f>
        <v>0.95499999999999996</v>
      </c>
      <c r="O40">
        <f t="shared" si="18"/>
        <v>226022.14</v>
      </c>
      <c r="P40">
        <f t="shared" si="19"/>
        <v>52289.85</v>
      </c>
      <c r="Q40">
        <f t="shared" si="20"/>
        <v>63697.37</v>
      </c>
      <c r="R40">
        <f t="shared" si="21"/>
        <v>26084.31</v>
      </c>
      <c r="S40">
        <f t="shared" si="22"/>
        <v>110034.92</v>
      </c>
      <c r="T40">
        <f t="shared" si="23"/>
        <v>0</v>
      </c>
      <c r="U40">
        <f t="shared" si="24"/>
        <v>381.42222499999991</v>
      </c>
      <c r="V40">
        <f t="shared" si="25"/>
        <v>66.210746874999984</v>
      </c>
      <c r="W40">
        <f t="shared" si="26"/>
        <v>0</v>
      </c>
      <c r="X40">
        <f t="shared" si="27"/>
        <v>200095.27</v>
      </c>
      <c r="Y40">
        <f t="shared" si="28"/>
        <v>155039.79999999999</v>
      </c>
      <c r="AA40">
        <v>146929938</v>
      </c>
      <c r="AB40">
        <f t="shared" si="29"/>
        <v>14701.65</v>
      </c>
      <c r="AC40">
        <f t="shared" si="30"/>
        <v>6050.14</v>
      </c>
      <c r="AD40">
        <f>ROUND((((((ET40*1.25)*1.15))-(((EU40*1.25)*1.15)))+AE40),2)</f>
        <v>5272.63</v>
      </c>
      <c r="AE40">
        <f>ROUND((((EU40*1.25)*1.15)),2)</f>
        <v>800.98</v>
      </c>
      <c r="AF40">
        <f>ROUND((((EV40*1.15)*1.15)),2)</f>
        <v>3378.88</v>
      </c>
      <c r="AG40">
        <f t="shared" si="31"/>
        <v>0</v>
      </c>
      <c r="AH40">
        <f>(((EW40*1.15)*1.15))</f>
        <v>399.39499999999992</v>
      </c>
      <c r="AI40">
        <f>(((EX40*1.25)*1.15))</f>
        <v>69.330624999999984</v>
      </c>
      <c r="AJ40">
        <f t="shared" si="32"/>
        <v>0</v>
      </c>
      <c r="AK40">
        <v>12272.97</v>
      </c>
      <c r="AL40">
        <v>6050.14</v>
      </c>
      <c r="AM40">
        <v>3667.91</v>
      </c>
      <c r="AN40">
        <v>557.20000000000005</v>
      </c>
      <c r="AO40">
        <v>2554.92</v>
      </c>
      <c r="AP40">
        <v>0</v>
      </c>
      <c r="AQ40">
        <v>302</v>
      </c>
      <c r="AR40">
        <v>48.23</v>
      </c>
      <c r="AS40">
        <v>0</v>
      </c>
      <c r="AT40">
        <v>147</v>
      </c>
      <c r="AU40">
        <v>113.9</v>
      </c>
      <c r="AV40">
        <v>1</v>
      </c>
      <c r="AW40">
        <v>1</v>
      </c>
      <c r="AZ40">
        <v>1</v>
      </c>
      <c r="BA40">
        <v>34.1</v>
      </c>
      <c r="BB40">
        <v>12.65</v>
      </c>
      <c r="BC40">
        <v>9.0500000000000007</v>
      </c>
      <c r="BD40" t="s">
        <v>3</v>
      </c>
      <c r="BE40" t="s">
        <v>3</v>
      </c>
      <c r="BF40" t="s">
        <v>3</v>
      </c>
      <c r="BG40" t="s">
        <v>3</v>
      </c>
      <c r="BH40">
        <v>0</v>
      </c>
      <c r="BI40">
        <v>1</v>
      </c>
      <c r="BJ40" t="s">
        <v>119</v>
      </c>
      <c r="BM40">
        <v>27001</v>
      </c>
      <c r="BN40">
        <v>0</v>
      </c>
      <c r="BO40" t="s">
        <v>3</v>
      </c>
      <c r="BP40">
        <v>0</v>
      </c>
      <c r="BQ40">
        <v>2</v>
      </c>
      <c r="BR40">
        <v>0</v>
      </c>
      <c r="BS40">
        <v>34.1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147</v>
      </c>
      <c r="CA40">
        <v>134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359</v>
      </c>
      <c r="CO40">
        <v>0</v>
      </c>
      <c r="CP40">
        <f t="shared" si="33"/>
        <v>226022.14</v>
      </c>
      <c r="CQ40">
        <f t="shared" si="34"/>
        <v>54753.767000000007</v>
      </c>
      <c r="CR40">
        <f>(((((ET40*1.25)*1.15))*BB40-(((EU40*1.25)*1.15))*BS40)+AE40*BS40)</f>
        <v>66698.821406250005</v>
      </c>
      <c r="CS40">
        <f t="shared" si="35"/>
        <v>27313.418000000001</v>
      </c>
      <c r="CT40">
        <f t="shared" si="36"/>
        <v>115219.808</v>
      </c>
      <c r="CU40">
        <f t="shared" si="37"/>
        <v>0</v>
      </c>
      <c r="CV40">
        <f t="shared" si="38"/>
        <v>399.39499999999992</v>
      </c>
      <c r="CW40">
        <f t="shared" si="39"/>
        <v>69.330624999999984</v>
      </c>
      <c r="CX40">
        <f t="shared" si="40"/>
        <v>0</v>
      </c>
      <c r="CY40">
        <f t="shared" si="41"/>
        <v>200095.26810000002</v>
      </c>
      <c r="CZ40">
        <f t="shared" si="42"/>
        <v>155039.80297000002</v>
      </c>
      <c r="DC40" t="s">
        <v>3</v>
      </c>
      <c r="DD40" t="s">
        <v>3</v>
      </c>
      <c r="DE40" t="s">
        <v>79</v>
      </c>
      <c r="DF40" t="s">
        <v>79</v>
      </c>
      <c r="DG40" t="s">
        <v>80</v>
      </c>
      <c r="DH40" t="s">
        <v>3</v>
      </c>
      <c r="DI40" t="s">
        <v>80</v>
      </c>
      <c r="DJ40" t="s">
        <v>79</v>
      </c>
      <c r="DK40" t="s">
        <v>3</v>
      </c>
      <c r="DL40" t="s">
        <v>3</v>
      </c>
      <c r="DM40" t="s">
        <v>81</v>
      </c>
      <c r="DN40">
        <v>0</v>
      </c>
      <c r="DO40">
        <v>0</v>
      </c>
      <c r="DP40">
        <v>1</v>
      </c>
      <c r="DQ40">
        <v>1</v>
      </c>
      <c r="DU40">
        <v>1005</v>
      </c>
      <c r="DV40" t="s">
        <v>107</v>
      </c>
      <c r="DW40" t="s">
        <v>107</v>
      </c>
      <c r="DX40">
        <v>1000</v>
      </c>
      <c r="DZ40" t="s">
        <v>3</v>
      </c>
      <c r="EA40" t="s">
        <v>3</v>
      </c>
      <c r="EB40" t="s">
        <v>3</v>
      </c>
      <c r="EC40" t="s">
        <v>3</v>
      </c>
      <c r="EE40">
        <v>140625082</v>
      </c>
      <c r="EF40">
        <v>2</v>
      </c>
      <c r="EG40" t="s">
        <v>20</v>
      </c>
      <c r="EH40">
        <v>21</v>
      </c>
      <c r="EI40" t="s">
        <v>21</v>
      </c>
      <c r="EJ40">
        <v>1</v>
      </c>
      <c r="EK40">
        <v>27001</v>
      </c>
      <c r="EL40" t="s">
        <v>21</v>
      </c>
      <c r="EM40" t="s">
        <v>22</v>
      </c>
      <c r="EO40" t="s">
        <v>85</v>
      </c>
      <c r="EQ40">
        <v>0</v>
      </c>
      <c r="ER40">
        <v>12272.97</v>
      </c>
      <c r="ES40">
        <v>6050.14</v>
      </c>
      <c r="ET40">
        <v>3667.91</v>
      </c>
      <c r="EU40">
        <v>557.20000000000005</v>
      </c>
      <c r="EV40">
        <v>2554.92</v>
      </c>
      <c r="EW40">
        <v>302</v>
      </c>
      <c r="EX40">
        <v>48.23</v>
      </c>
      <c r="EY40">
        <v>0</v>
      </c>
      <c r="FQ40">
        <v>0</v>
      </c>
      <c r="FR40">
        <f t="shared" si="16"/>
        <v>0</v>
      </c>
      <c r="FS40">
        <v>0</v>
      </c>
      <c r="FX40">
        <v>147</v>
      </c>
      <c r="FY40">
        <v>113.9</v>
      </c>
      <c r="GA40" t="s">
        <v>3</v>
      </c>
      <c r="GD40">
        <v>1</v>
      </c>
      <c r="GF40">
        <v>-1119189704</v>
      </c>
      <c r="GG40">
        <v>2</v>
      </c>
      <c r="GH40">
        <v>1</v>
      </c>
      <c r="GI40">
        <v>4</v>
      </c>
      <c r="GJ40">
        <v>0</v>
      </c>
      <c r="GK40">
        <v>0</v>
      </c>
      <c r="GL40">
        <f t="shared" si="17"/>
        <v>0</v>
      </c>
      <c r="GM40">
        <f t="shared" si="43"/>
        <v>581157.21</v>
      </c>
      <c r="GN40">
        <f t="shared" si="44"/>
        <v>581157.21</v>
      </c>
      <c r="GO40">
        <f t="shared" si="45"/>
        <v>0</v>
      </c>
      <c r="GP40">
        <f t="shared" si="46"/>
        <v>0</v>
      </c>
      <c r="GR40">
        <v>0</v>
      </c>
      <c r="GS40">
        <v>3</v>
      </c>
      <c r="GT40">
        <v>0</v>
      </c>
      <c r="GU40" t="s">
        <v>3</v>
      </c>
      <c r="GV40">
        <f t="shared" si="47"/>
        <v>0</v>
      </c>
      <c r="GW40">
        <v>1</v>
      </c>
      <c r="GX40">
        <f t="shared" si="48"/>
        <v>0</v>
      </c>
      <c r="HA40">
        <v>0</v>
      </c>
      <c r="HB40">
        <v>0</v>
      </c>
      <c r="HC40">
        <f t="shared" si="49"/>
        <v>0</v>
      </c>
      <c r="HE40" t="s">
        <v>3</v>
      </c>
      <c r="HF40" t="s">
        <v>3</v>
      </c>
      <c r="HM40" t="s">
        <v>3</v>
      </c>
      <c r="HN40" t="s">
        <v>24</v>
      </c>
      <c r="HO40" t="s">
        <v>25</v>
      </c>
      <c r="HP40" t="s">
        <v>21</v>
      </c>
      <c r="HQ40" t="s">
        <v>21</v>
      </c>
      <c r="IK40">
        <v>0</v>
      </c>
    </row>
    <row r="41" spans="1:245" x14ac:dyDescent="0.2">
      <c r="A41">
        <v>17</v>
      </c>
      <c r="B41">
        <v>1</v>
      </c>
      <c r="E41" t="s">
        <v>120</v>
      </c>
      <c r="F41" t="s">
        <v>93</v>
      </c>
      <c r="G41" t="s">
        <v>121</v>
      </c>
      <c r="H41" t="s">
        <v>68</v>
      </c>
      <c r="I41">
        <f>ROUND(ROUND(I40*204,2),9)</f>
        <v>194.82</v>
      </c>
      <c r="J41">
        <v>0</v>
      </c>
      <c r="K41">
        <f>ROUND(ROUND(I40*204,2),9)</f>
        <v>194.82</v>
      </c>
      <c r="O41">
        <f t="shared" si="18"/>
        <v>1890242.02</v>
      </c>
      <c r="P41">
        <f t="shared" si="19"/>
        <v>1890242.02</v>
      </c>
      <c r="Q41">
        <f t="shared" si="20"/>
        <v>0</v>
      </c>
      <c r="R41">
        <f t="shared" si="21"/>
        <v>0</v>
      </c>
      <c r="S41">
        <f t="shared" si="22"/>
        <v>0</v>
      </c>
      <c r="T41">
        <f t="shared" si="23"/>
        <v>0</v>
      </c>
      <c r="U41">
        <f t="shared" si="24"/>
        <v>0</v>
      </c>
      <c r="V41">
        <f t="shared" si="25"/>
        <v>0</v>
      </c>
      <c r="W41">
        <f t="shared" si="26"/>
        <v>0</v>
      </c>
      <c r="X41">
        <f t="shared" si="27"/>
        <v>0</v>
      </c>
      <c r="Y41">
        <f t="shared" si="28"/>
        <v>0</v>
      </c>
      <c r="AA41">
        <v>146929938</v>
      </c>
      <c r="AB41">
        <f t="shared" si="29"/>
        <v>1072.0999999999999</v>
      </c>
      <c r="AC41">
        <f t="shared" si="30"/>
        <v>1072.0999999999999</v>
      </c>
      <c r="AD41">
        <f>ROUND((((ET41)-(EU41))+AE41),2)</f>
        <v>0</v>
      </c>
      <c r="AE41">
        <f>ROUND((EU41),2)</f>
        <v>0</v>
      </c>
      <c r="AF41">
        <f>ROUND((EV41),2)</f>
        <v>0</v>
      </c>
      <c r="AG41">
        <f t="shared" si="31"/>
        <v>0</v>
      </c>
      <c r="AH41">
        <f>(EW41)</f>
        <v>0</v>
      </c>
      <c r="AI41">
        <f>(EX41)</f>
        <v>0</v>
      </c>
      <c r="AJ41">
        <f t="shared" si="32"/>
        <v>0</v>
      </c>
      <c r="AK41">
        <v>1072.0999999999999</v>
      </c>
      <c r="AL41">
        <v>1072.0999999999999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9.0500000000000007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3</v>
      </c>
      <c r="BM41">
        <v>1100</v>
      </c>
      <c r="BN41">
        <v>0</v>
      </c>
      <c r="BO41" t="s">
        <v>3</v>
      </c>
      <c r="BP41">
        <v>0</v>
      </c>
      <c r="BQ41">
        <v>8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0</v>
      </c>
      <c r="CA41">
        <v>0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3"/>
        <v>1890242.02</v>
      </c>
      <c r="CQ41">
        <f t="shared" si="34"/>
        <v>9702.5049999999992</v>
      </c>
      <c r="CR41">
        <f>(((ET41)*BB41-(EU41)*BS41)+AE41*BS41)</f>
        <v>0</v>
      </c>
      <c r="CS41">
        <f t="shared" si="35"/>
        <v>0</v>
      </c>
      <c r="CT41">
        <f t="shared" si="36"/>
        <v>0</v>
      </c>
      <c r="CU41">
        <f t="shared" si="37"/>
        <v>0</v>
      </c>
      <c r="CV41">
        <f t="shared" si="38"/>
        <v>0</v>
      </c>
      <c r="CW41">
        <f t="shared" si="39"/>
        <v>0</v>
      </c>
      <c r="CX41">
        <f t="shared" si="40"/>
        <v>0</v>
      </c>
      <c r="CY41">
        <f t="shared" si="41"/>
        <v>0</v>
      </c>
      <c r="CZ41">
        <f t="shared" si="42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1007</v>
      </c>
      <c r="DV41" t="s">
        <v>68</v>
      </c>
      <c r="DW41" t="s">
        <v>68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140625274</v>
      </c>
      <c r="EF41">
        <v>8</v>
      </c>
      <c r="EG41" t="s">
        <v>69</v>
      </c>
      <c r="EH41">
        <v>0</v>
      </c>
      <c r="EI41" t="s">
        <v>3</v>
      </c>
      <c r="EJ41">
        <v>1</v>
      </c>
      <c r="EK41">
        <v>1100</v>
      </c>
      <c r="EL41" t="s">
        <v>70</v>
      </c>
      <c r="EM41" t="s">
        <v>71</v>
      </c>
      <c r="EO41" t="s">
        <v>3</v>
      </c>
      <c r="EQ41">
        <v>0</v>
      </c>
      <c r="ER41">
        <v>1072.0999999999999</v>
      </c>
      <c r="ES41">
        <v>1072.0999999999999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5</v>
      </c>
      <c r="FC41">
        <v>1</v>
      </c>
      <c r="FD41">
        <v>18</v>
      </c>
      <c r="FF41">
        <v>11643</v>
      </c>
      <c r="FQ41">
        <v>0</v>
      </c>
      <c r="FR41">
        <f t="shared" si="16"/>
        <v>0</v>
      </c>
      <c r="FS41">
        <v>0</v>
      </c>
      <c r="FX41">
        <v>0</v>
      </c>
      <c r="FY41">
        <v>0</v>
      </c>
      <c r="GA41" t="s">
        <v>122</v>
      </c>
      <c r="GD41">
        <v>1</v>
      </c>
      <c r="GF41">
        <v>-530423562</v>
      </c>
      <c r="GG41">
        <v>2</v>
      </c>
      <c r="GH41">
        <v>3</v>
      </c>
      <c r="GI41">
        <v>4</v>
      </c>
      <c r="GJ41">
        <v>0</v>
      </c>
      <c r="GK41">
        <v>0</v>
      </c>
      <c r="GL41">
        <f t="shared" si="17"/>
        <v>0</v>
      </c>
      <c r="GM41">
        <f t="shared" si="43"/>
        <v>1890242.02</v>
      </c>
      <c r="GN41">
        <f t="shared" si="44"/>
        <v>1890242.02</v>
      </c>
      <c r="GO41">
        <f t="shared" si="45"/>
        <v>0</v>
      </c>
      <c r="GP41">
        <f t="shared" si="46"/>
        <v>0</v>
      </c>
      <c r="GR41">
        <v>1</v>
      </c>
      <c r="GS41">
        <v>1</v>
      </c>
      <c r="GT41">
        <v>0</v>
      </c>
      <c r="GU41" t="s">
        <v>3</v>
      </c>
      <c r="GV41">
        <f t="shared" si="47"/>
        <v>0</v>
      </c>
      <c r="GW41">
        <v>1</v>
      </c>
      <c r="GX41">
        <f t="shared" si="48"/>
        <v>0</v>
      </c>
      <c r="HA41">
        <v>0</v>
      </c>
      <c r="HB41">
        <v>0</v>
      </c>
      <c r="HC41">
        <f t="shared" si="49"/>
        <v>0</v>
      </c>
      <c r="HE41" t="s">
        <v>73</v>
      </c>
      <c r="HF41" t="s">
        <v>73</v>
      </c>
      <c r="HM41" t="s">
        <v>3</v>
      </c>
      <c r="HN41" t="s">
        <v>3</v>
      </c>
      <c r="HO41" t="s">
        <v>3</v>
      </c>
      <c r="HP41" t="s">
        <v>3</v>
      </c>
      <c r="HQ41" t="s">
        <v>3</v>
      </c>
      <c r="IK41">
        <v>0</v>
      </c>
    </row>
    <row r="43" spans="1:245" x14ac:dyDescent="0.2">
      <c r="A43" s="2">
        <v>51</v>
      </c>
      <c r="B43" s="2">
        <f>B20</f>
        <v>1</v>
      </c>
      <c r="C43" s="2">
        <f>A20</f>
        <v>3</v>
      </c>
      <c r="D43" s="2">
        <f>ROW(A20)</f>
        <v>20</v>
      </c>
      <c r="E43" s="2"/>
      <c r="F43" s="2" t="str">
        <f>IF(F20&lt;&gt;"",F20,"")</f>
        <v>Новая локальная смета</v>
      </c>
      <c r="G43" s="2" t="str">
        <f>IF(G20&lt;&gt;"",G20,"")</f>
        <v>Новая локальная смета</v>
      </c>
      <c r="H43" s="2">
        <v>0</v>
      </c>
      <c r="I43" s="2"/>
      <c r="J43" s="2"/>
      <c r="K43" s="2"/>
      <c r="L43" s="2"/>
      <c r="M43" s="2"/>
      <c r="N43" s="2"/>
      <c r="O43" s="2">
        <f t="shared" ref="O43:T43" si="50">ROUND(AB43,2)</f>
        <v>2967074.49</v>
      </c>
      <c r="P43" s="2">
        <f t="shared" si="50"/>
        <v>2498316.7999999998</v>
      </c>
      <c r="Q43" s="2">
        <f t="shared" si="50"/>
        <v>331946.09000000003</v>
      </c>
      <c r="R43" s="2">
        <f t="shared" si="50"/>
        <v>41644.18</v>
      </c>
      <c r="S43" s="2">
        <f t="shared" si="50"/>
        <v>136811.6</v>
      </c>
      <c r="T43" s="2">
        <f t="shared" si="50"/>
        <v>0</v>
      </c>
      <c r="U43" s="2">
        <f>AH43</f>
        <v>472.42890973999988</v>
      </c>
      <c r="V43" s="2">
        <f>AI43</f>
        <v>101.60625187499998</v>
      </c>
      <c r="W43" s="2">
        <f>ROUND(AJ43,2)</f>
        <v>0</v>
      </c>
      <c r="X43" s="2">
        <f>ROUND(AK43,2)</f>
        <v>258700.19</v>
      </c>
      <c r="Y43" s="2">
        <f>ROUND(AL43,2)</f>
        <v>201920.44</v>
      </c>
      <c r="Z43" s="2"/>
      <c r="AA43" s="2"/>
      <c r="AB43" s="2">
        <f>ROUND(SUMIF(AA24:AA41,"=146929938",O24:O41),2)</f>
        <v>2967074.49</v>
      </c>
      <c r="AC43" s="2">
        <f>ROUND(SUMIF(AA24:AA41,"=146929938",P24:P41),2)</f>
        <v>2498316.7999999998</v>
      </c>
      <c r="AD43" s="2">
        <f>ROUND(SUMIF(AA24:AA41,"=146929938",Q24:Q41),2)</f>
        <v>331946.09000000003</v>
      </c>
      <c r="AE43" s="2">
        <f>ROUND(SUMIF(AA24:AA41,"=146929938",R24:R41),2)</f>
        <v>41644.18</v>
      </c>
      <c r="AF43" s="2">
        <f>ROUND(SUMIF(AA24:AA41,"=146929938",S24:S41),2)</f>
        <v>136811.6</v>
      </c>
      <c r="AG43" s="2">
        <f>ROUND(SUMIF(AA24:AA41,"=146929938",T24:T41),2)</f>
        <v>0</v>
      </c>
      <c r="AH43" s="2">
        <f>SUMIF(AA24:AA41,"=146929938",U24:U41)</f>
        <v>472.42890973999988</v>
      </c>
      <c r="AI43" s="2">
        <f>SUMIF(AA24:AA41,"=146929938",V24:V41)</f>
        <v>101.60625187499998</v>
      </c>
      <c r="AJ43" s="2">
        <f>ROUND(SUMIF(AA24:AA41,"=146929938",W24:W41),2)</f>
        <v>0</v>
      </c>
      <c r="AK43" s="2">
        <f>ROUND(SUMIF(AA24:AA41,"=146929938",X24:X41),2)</f>
        <v>258700.19</v>
      </c>
      <c r="AL43" s="2">
        <f>ROUND(SUMIF(AA24:AA41,"=146929938",Y24:Y41),2)</f>
        <v>201920.44</v>
      </c>
      <c r="AM43" s="2"/>
      <c r="AN43" s="2"/>
      <c r="AO43" s="2">
        <f t="shared" ref="AO43:BD43" si="51">ROUND(BX43,2)</f>
        <v>0</v>
      </c>
      <c r="AP43" s="2">
        <f t="shared" si="51"/>
        <v>0</v>
      </c>
      <c r="AQ43" s="2">
        <f t="shared" si="51"/>
        <v>0</v>
      </c>
      <c r="AR43" s="2">
        <f t="shared" si="51"/>
        <v>3588705.27</v>
      </c>
      <c r="AS43" s="2">
        <f t="shared" si="51"/>
        <v>3588705.27</v>
      </c>
      <c r="AT43" s="2">
        <f t="shared" si="51"/>
        <v>0</v>
      </c>
      <c r="AU43" s="2">
        <f t="shared" si="51"/>
        <v>0</v>
      </c>
      <c r="AV43" s="2">
        <f t="shared" si="51"/>
        <v>2498316.7999999998</v>
      </c>
      <c r="AW43" s="2">
        <f t="shared" si="51"/>
        <v>2498316.7999999998</v>
      </c>
      <c r="AX43" s="2">
        <f t="shared" si="51"/>
        <v>0</v>
      </c>
      <c r="AY43" s="2">
        <f t="shared" si="51"/>
        <v>2498316.7999999998</v>
      </c>
      <c r="AZ43" s="2">
        <f t="shared" si="51"/>
        <v>0</v>
      </c>
      <c r="BA43" s="2">
        <f t="shared" si="51"/>
        <v>0</v>
      </c>
      <c r="BB43" s="2">
        <f t="shared" si="51"/>
        <v>0</v>
      </c>
      <c r="BC43" s="2">
        <f t="shared" si="51"/>
        <v>0</v>
      </c>
      <c r="BD43" s="2">
        <f t="shared" si="51"/>
        <v>161010.15</v>
      </c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>
        <f>ROUND(SUMIF(AA24:AA41,"=146929938",FQ24:FQ41),2)</f>
        <v>0</v>
      </c>
      <c r="BY43" s="2">
        <f>ROUND(SUMIF(AA24:AA41,"=146929938",FR24:FR41),2)</f>
        <v>0</v>
      </c>
      <c r="BZ43" s="2">
        <f>ROUND(SUMIF(AA24:AA41,"=146929938",GL24:GL41),2)</f>
        <v>0</v>
      </c>
      <c r="CA43" s="2">
        <f>ROUND(SUMIF(AA24:AA41,"=146929938",GM24:GM41),2)</f>
        <v>3588705.27</v>
      </c>
      <c r="CB43" s="2">
        <f>ROUND(SUMIF(AA24:AA41,"=146929938",GN24:GN41),2)</f>
        <v>3588705.27</v>
      </c>
      <c r="CC43" s="2">
        <f>ROUND(SUMIF(AA24:AA41,"=146929938",GO24:GO41),2)</f>
        <v>0</v>
      </c>
      <c r="CD43" s="2">
        <f>ROUND(SUMIF(AA24:AA41,"=146929938",GP24:GP41),2)</f>
        <v>0</v>
      </c>
      <c r="CE43" s="2">
        <f>AC43-BX43</f>
        <v>2498316.7999999998</v>
      </c>
      <c r="CF43" s="2">
        <f>AC43-BY43</f>
        <v>2498316.7999999998</v>
      </c>
      <c r="CG43" s="2">
        <f>BX43-BZ43</f>
        <v>0</v>
      </c>
      <c r="CH43" s="2">
        <f>AC43-BX43-BY43+BZ43</f>
        <v>2498316.7999999998</v>
      </c>
      <c r="CI43" s="2">
        <f>BY43-BZ43</f>
        <v>0</v>
      </c>
      <c r="CJ43" s="2">
        <f>ROUND(SUMIF(AA24:AA41,"=146929938",GX24:GX41),2)</f>
        <v>0</v>
      </c>
      <c r="CK43" s="2">
        <f>ROUND(SUMIF(AA24:AA41,"=146929938",GY24:GY41),2)</f>
        <v>0</v>
      </c>
      <c r="CL43" s="2">
        <f>ROUND(SUMIF(AA24:AA41,"=146929938",GZ24:GZ41),2)</f>
        <v>0</v>
      </c>
      <c r="CM43" s="2">
        <f>ROUND(SUMIF(AA24:AA41,"=146929938",HD24:HD41),2)</f>
        <v>161010.15</v>
      </c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>
        <v>0</v>
      </c>
    </row>
    <row r="45" spans="1:245" x14ac:dyDescent="0.2">
      <c r="A45" s="4">
        <v>50</v>
      </c>
      <c r="B45" s="4">
        <v>1</v>
      </c>
      <c r="C45" s="4">
        <v>0</v>
      </c>
      <c r="D45" s="4">
        <v>1</v>
      </c>
      <c r="E45" s="4">
        <v>201</v>
      </c>
      <c r="F45" s="4">
        <f>ROUND(Source!O43,O45)</f>
        <v>2967074.49</v>
      </c>
      <c r="G45" s="4" t="s">
        <v>123</v>
      </c>
      <c r="H45" s="4" t="s">
        <v>124</v>
      </c>
      <c r="I45" s="4"/>
      <c r="J45" s="4"/>
      <c r="K45" s="4">
        <v>201</v>
      </c>
      <c r="L45" s="4">
        <v>1</v>
      </c>
      <c r="M45" s="4">
        <v>1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>
        <v>2967074.49</v>
      </c>
      <c r="X45" s="4">
        <v>1</v>
      </c>
      <c r="Y45" s="4">
        <v>2967074.49</v>
      </c>
      <c r="Z45" s="4"/>
      <c r="AA45" s="4"/>
      <c r="AB45" s="4"/>
    </row>
    <row r="46" spans="1:245" x14ac:dyDescent="0.2">
      <c r="A46" s="4">
        <v>50</v>
      </c>
      <c r="B46" s="4">
        <v>1</v>
      </c>
      <c r="C46" s="4">
        <v>0</v>
      </c>
      <c r="D46" s="4">
        <v>1</v>
      </c>
      <c r="E46" s="4">
        <v>202</v>
      </c>
      <c r="F46" s="4">
        <f>ROUND(Source!P43,O46)</f>
        <v>2498316.7999999998</v>
      </c>
      <c r="G46" s="4" t="s">
        <v>125</v>
      </c>
      <c r="H46" s="4" t="s">
        <v>126</v>
      </c>
      <c r="I46" s="4"/>
      <c r="J46" s="4"/>
      <c r="K46" s="4">
        <v>202</v>
      </c>
      <c r="L46" s="4">
        <v>2</v>
      </c>
      <c r="M46" s="4">
        <v>1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>
        <v>2498316.7999999998</v>
      </c>
      <c r="X46" s="4">
        <v>1</v>
      </c>
      <c r="Y46" s="4">
        <v>2498316.7999999998</v>
      </c>
      <c r="Z46" s="4"/>
      <c r="AA46" s="4"/>
      <c r="AB46" s="4"/>
    </row>
    <row r="47" spans="1:245" x14ac:dyDescent="0.2">
      <c r="A47" s="4">
        <v>50</v>
      </c>
      <c r="B47" s="4">
        <v>0</v>
      </c>
      <c r="C47" s="4">
        <v>0</v>
      </c>
      <c r="D47" s="4">
        <v>1</v>
      </c>
      <c r="E47" s="4">
        <v>222</v>
      </c>
      <c r="F47" s="4">
        <f>ROUND(Source!AO43,O47)</f>
        <v>0</v>
      </c>
      <c r="G47" s="4" t="s">
        <v>127</v>
      </c>
      <c r="H47" s="4" t="s">
        <v>128</v>
      </c>
      <c r="I47" s="4"/>
      <c r="J47" s="4"/>
      <c r="K47" s="4">
        <v>222</v>
      </c>
      <c r="L47" s="4">
        <v>3</v>
      </c>
      <c r="M47" s="4">
        <v>1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>
        <v>0</v>
      </c>
      <c r="X47" s="4">
        <v>1</v>
      </c>
      <c r="Y47" s="4">
        <v>0</v>
      </c>
      <c r="Z47" s="4"/>
      <c r="AA47" s="4"/>
      <c r="AB47" s="4"/>
    </row>
    <row r="48" spans="1:245" x14ac:dyDescent="0.2">
      <c r="A48" s="4">
        <v>50</v>
      </c>
      <c r="B48" s="4">
        <v>1</v>
      </c>
      <c r="C48" s="4">
        <v>0</v>
      </c>
      <c r="D48" s="4">
        <v>1</v>
      </c>
      <c r="E48" s="4">
        <v>225</v>
      </c>
      <c r="F48" s="4">
        <f>ROUND(Source!AV43,O48)</f>
        <v>2498316.7999999998</v>
      </c>
      <c r="G48" s="4" t="s">
        <v>129</v>
      </c>
      <c r="H48" s="4" t="s">
        <v>130</v>
      </c>
      <c r="I48" s="4"/>
      <c r="J48" s="4"/>
      <c r="K48" s="4">
        <v>225</v>
      </c>
      <c r="L48" s="4">
        <v>4</v>
      </c>
      <c r="M48" s="4">
        <v>1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>
        <v>2498316.7999999998</v>
      </c>
      <c r="X48" s="4">
        <v>1</v>
      </c>
      <c r="Y48" s="4">
        <v>2498316.7999999998</v>
      </c>
      <c r="Z48" s="4"/>
      <c r="AA48" s="4"/>
      <c r="AB48" s="4"/>
    </row>
    <row r="49" spans="1:28" x14ac:dyDescent="0.2">
      <c r="A49" s="4">
        <v>50</v>
      </c>
      <c r="B49" s="4">
        <v>1</v>
      </c>
      <c r="C49" s="4">
        <v>0</v>
      </c>
      <c r="D49" s="4">
        <v>1</v>
      </c>
      <c r="E49" s="4">
        <v>226</v>
      </c>
      <c r="F49" s="4">
        <f>ROUND(Source!AW43,O49)</f>
        <v>2498316.7999999998</v>
      </c>
      <c r="G49" s="4" t="s">
        <v>131</v>
      </c>
      <c r="H49" s="4" t="s">
        <v>132</v>
      </c>
      <c r="I49" s="4"/>
      <c r="J49" s="4"/>
      <c r="K49" s="4">
        <v>226</v>
      </c>
      <c r="L49" s="4">
        <v>5</v>
      </c>
      <c r="M49" s="4">
        <v>1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>
        <v>2498316.7999999998</v>
      </c>
      <c r="X49" s="4">
        <v>1</v>
      </c>
      <c r="Y49" s="4">
        <v>2498316.7999999998</v>
      </c>
      <c r="Z49" s="4"/>
      <c r="AA49" s="4"/>
      <c r="AB49" s="4"/>
    </row>
    <row r="50" spans="1:28" x14ac:dyDescent="0.2">
      <c r="A50" s="4">
        <v>50</v>
      </c>
      <c r="B50" s="4">
        <v>0</v>
      </c>
      <c r="C50" s="4">
        <v>0</v>
      </c>
      <c r="D50" s="4">
        <v>1</v>
      </c>
      <c r="E50" s="4">
        <v>227</v>
      </c>
      <c r="F50" s="4">
        <f>ROUND(Source!AX43,O50)</f>
        <v>0</v>
      </c>
      <c r="G50" s="4" t="s">
        <v>133</v>
      </c>
      <c r="H50" s="4" t="s">
        <v>134</v>
      </c>
      <c r="I50" s="4"/>
      <c r="J50" s="4"/>
      <c r="K50" s="4">
        <v>227</v>
      </c>
      <c r="L50" s="4">
        <v>6</v>
      </c>
      <c r="M50" s="4">
        <v>1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>
        <v>0</v>
      </c>
      <c r="X50" s="4">
        <v>1</v>
      </c>
      <c r="Y50" s="4">
        <v>0</v>
      </c>
      <c r="Z50" s="4"/>
      <c r="AA50" s="4"/>
      <c r="AB50" s="4"/>
    </row>
    <row r="51" spans="1:28" x14ac:dyDescent="0.2">
      <c r="A51" s="4">
        <v>50</v>
      </c>
      <c r="B51" s="4">
        <v>1</v>
      </c>
      <c r="C51" s="4">
        <v>0</v>
      </c>
      <c r="D51" s="4">
        <v>1</v>
      </c>
      <c r="E51" s="4">
        <v>228</v>
      </c>
      <c r="F51" s="4">
        <f>ROUND(Source!AY43,O51)</f>
        <v>2498316.7999999998</v>
      </c>
      <c r="G51" s="4" t="s">
        <v>135</v>
      </c>
      <c r="H51" s="4" t="s">
        <v>136</v>
      </c>
      <c r="I51" s="4"/>
      <c r="J51" s="4"/>
      <c r="K51" s="4">
        <v>228</v>
      </c>
      <c r="L51" s="4">
        <v>7</v>
      </c>
      <c r="M51" s="4">
        <v>1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>
        <v>2498316.7999999998</v>
      </c>
      <c r="X51" s="4">
        <v>1</v>
      </c>
      <c r="Y51" s="4">
        <v>2498316.7999999998</v>
      </c>
      <c r="Z51" s="4"/>
      <c r="AA51" s="4"/>
      <c r="AB51" s="4"/>
    </row>
    <row r="52" spans="1:28" x14ac:dyDescent="0.2">
      <c r="A52" s="4">
        <v>50</v>
      </c>
      <c r="B52" s="4">
        <v>0</v>
      </c>
      <c r="C52" s="4">
        <v>0</v>
      </c>
      <c r="D52" s="4">
        <v>1</v>
      </c>
      <c r="E52" s="4">
        <v>216</v>
      </c>
      <c r="F52" s="4">
        <f>ROUND(Source!AP43,O52)</f>
        <v>0</v>
      </c>
      <c r="G52" s="4" t="s">
        <v>137</v>
      </c>
      <c r="H52" s="4" t="s">
        <v>138</v>
      </c>
      <c r="I52" s="4"/>
      <c r="J52" s="4"/>
      <c r="K52" s="4">
        <v>216</v>
      </c>
      <c r="L52" s="4">
        <v>8</v>
      </c>
      <c r="M52" s="4">
        <v>1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>
        <v>0</v>
      </c>
      <c r="X52" s="4">
        <v>1</v>
      </c>
      <c r="Y52" s="4">
        <v>0</v>
      </c>
      <c r="Z52" s="4"/>
      <c r="AA52" s="4"/>
      <c r="AB52" s="4"/>
    </row>
    <row r="53" spans="1:28" x14ac:dyDescent="0.2">
      <c r="A53" s="4">
        <v>50</v>
      </c>
      <c r="B53" s="4">
        <v>0</v>
      </c>
      <c r="C53" s="4">
        <v>0</v>
      </c>
      <c r="D53" s="4">
        <v>1</v>
      </c>
      <c r="E53" s="4">
        <v>223</v>
      </c>
      <c r="F53" s="4">
        <f>ROUND(Source!AQ43,O53)</f>
        <v>0</v>
      </c>
      <c r="G53" s="4" t="s">
        <v>139</v>
      </c>
      <c r="H53" s="4" t="s">
        <v>140</v>
      </c>
      <c r="I53" s="4"/>
      <c r="J53" s="4"/>
      <c r="K53" s="4">
        <v>223</v>
      </c>
      <c r="L53" s="4">
        <v>9</v>
      </c>
      <c r="M53" s="4">
        <v>1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>
        <v>0</v>
      </c>
      <c r="X53" s="4">
        <v>1</v>
      </c>
      <c r="Y53" s="4">
        <v>0</v>
      </c>
      <c r="Z53" s="4"/>
      <c r="AA53" s="4"/>
      <c r="AB53" s="4"/>
    </row>
    <row r="54" spans="1:28" x14ac:dyDescent="0.2">
      <c r="A54" s="4">
        <v>50</v>
      </c>
      <c r="B54" s="4">
        <v>0</v>
      </c>
      <c r="C54" s="4">
        <v>0</v>
      </c>
      <c r="D54" s="4">
        <v>1</v>
      </c>
      <c r="E54" s="4">
        <v>229</v>
      </c>
      <c r="F54" s="4">
        <f>ROUND(Source!AZ43,O54)</f>
        <v>0</v>
      </c>
      <c r="G54" s="4" t="s">
        <v>141</v>
      </c>
      <c r="H54" s="4" t="s">
        <v>142</v>
      </c>
      <c r="I54" s="4"/>
      <c r="J54" s="4"/>
      <c r="K54" s="4">
        <v>229</v>
      </c>
      <c r="L54" s="4">
        <v>10</v>
      </c>
      <c r="M54" s="4">
        <v>1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>
        <v>0</v>
      </c>
      <c r="X54" s="4">
        <v>1</v>
      </c>
      <c r="Y54" s="4">
        <v>0</v>
      </c>
      <c r="Z54" s="4"/>
      <c r="AA54" s="4"/>
      <c r="AB54" s="4"/>
    </row>
    <row r="55" spans="1:28" x14ac:dyDescent="0.2">
      <c r="A55" s="4">
        <v>50</v>
      </c>
      <c r="B55" s="4">
        <v>1</v>
      </c>
      <c r="C55" s="4">
        <v>0</v>
      </c>
      <c r="D55" s="4">
        <v>1</v>
      </c>
      <c r="E55" s="4">
        <v>203</v>
      </c>
      <c r="F55" s="4">
        <f>ROUND(Source!Q43,O55)</f>
        <v>331946.09000000003</v>
      </c>
      <c r="G55" s="4" t="s">
        <v>143</v>
      </c>
      <c r="H55" s="4" t="s">
        <v>144</v>
      </c>
      <c r="I55" s="4"/>
      <c r="J55" s="4"/>
      <c r="K55" s="4">
        <v>203</v>
      </c>
      <c r="L55" s="4">
        <v>11</v>
      </c>
      <c r="M55" s="4">
        <v>1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>
        <v>331946.09000000003</v>
      </c>
      <c r="X55" s="4">
        <v>1</v>
      </c>
      <c r="Y55" s="4">
        <v>331946.09000000003</v>
      </c>
      <c r="Z55" s="4"/>
      <c r="AA55" s="4"/>
      <c r="AB55" s="4"/>
    </row>
    <row r="56" spans="1:28" x14ac:dyDescent="0.2">
      <c r="A56" s="4">
        <v>50</v>
      </c>
      <c r="B56" s="4">
        <v>0</v>
      </c>
      <c r="C56" s="4">
        <v>0</v>
      </c>
      <c r="D56" s="4">
        <v>1</v>
      </c>
      <c r="E56" s="4">
        <v>231</v>
      </c>
      <c r="F56" s="4">
        <f>ROUND(Source!BB43,O56)</f>
        <v>0</v>
      </c>
      <c r="G56" s="4" t="s">
        <v>145</v>
      </c>
      <c r="H56" s="4" t="s">
        <v>146</v>
      </c>
      <c r="I56" s="4"/>
      <c r="J56" s="4"/>
      <c r="K56" s="4">
        <v>231</v>
      </c>
      <c r="L56" s="4">
        <v>12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>
        <v>0</v>
      </c>
      <c r="X56" s="4">
        <v>1</v>
      </c>
      <c r="Y56" s="4">
        <v>0</v>
      </c>
      <c r="Z56" s="4"/>
      <c r="AA56" s="4"/>
      <c r="AB56" s="4"/>
    </row>
    <row r="57" spans="1:28" x14ac:dyDescent="0.2">
      <c r="A57" s="4">
        <v>50</v>
      </c>
      <c r="B57" s="4">
        <v>1</v>
      </c>
      <c r="C57" s="4">
        <v>0</v>
      </c>
      <c r="D57" s="4">
        <v>1</v>
      </c>
      <c r="E57" s="4">
        <v>204</v>
      </c>
      <c r="F57" s="4">
        <f>ROUND(Source!R43,O57)</f>
        <v>41644.18</v>
      </c>
      <c r="G57" s="4" t="s">
        <v>147</v>
      </c>
      <c r="H57" s="4" t="s">
        <v>148</v>
      </c>
      <c r="I57" s="4"/>
      <c r="J57" s="4"/>
      <c r="K57" s="4">
        <v>204</v>
      </c>
      <c r="L57" s="4">
        <v>13</v>
      </c>
      <c r="M57" s="4">
        <v>1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>
        <v>41644.18</v>
      </c>
      <c r="X57" s="4">
        <v>1</v>
      </c>
      <c r="Y57" s="4">
        <v>41644.18</v>
      </c>
      <c r="Z57" s="4"/>
      <c r="AA57" s="4"/>
      <c r="AB57" s="4"/>
    </row>
    <row r="58" spans="1:28" x14ac:dyDescent="0.2">
      <c r="A58" s="4">
        <v>50</v>
      </c>
      <c r="B58" s="4">
        <v>1</v>
      </c>
      <c r="C58" s="4">
        <v>0</v>
      </c>
      <c r="D58" s="4">
        <v>1</v>
      </c>
      <c r="E58" s="4">
        <v>205</v>
      </c>
      <c r="F58" s="4">
        <f>ROUND(Source!S43,O58)</f>
        <v>136811.6</v>
      </c>
      <c r="G58" s="4" t="s">
        <v>149</v>
      </c>
      <c r="H58" s="4" t="s">
        <v>150</v>
      </c>
      <c r="I58" s="4"/>
      <c r="J58" s="4"/>
      <c r="K58" s="4">
        <v>205</v>
      </c>
      <c r="L58" s="4">
        <v>14</v>
      </c>
      <c r="M58" s="4">
        <v>1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>
        <v>136811.6</v>
      </c>
      <c r="X58" s="4">
        <v>1</v>
      </c>
      <c r="Y58" s="4">
        <v>136811.6</v>
      </c>
      <c r="Z58" s="4"/>
      <c r="AA58" s="4"/>
      <c r="AB58" s="4"/>
    </row>
    <row r="59" spans="1:28" x14ac:dyDescent="0.2">
      <c r="A59" s="4">
        <v>50</v>
      </c>
      <c r="B59" s="4">
        <v>0</v>
      </c>
      <c r="C59" s="4">
        <v>0</v>
      </c>
      <c r="D59" s="4">
        <v>1</v>
      </c>
      <c r="E59" s="4">
        <v>232</v>
      </c>
      <c r="F59" s="4">
        <f>ROUND(Source!BC43,O59)</f>
        <v>0</v>
      </c>
      <c r="G59" s="4" t="s">
        <v>151</v>
      </c>
      <c r="H59" s="4" t="s">
        <v>152</v>
      </c>
      <c r="I59" s="4"/>
      <c r="J59" s="4"/>
      <c r="K59" s="4">
        <v>232</v>
      </c>
      <c r="L59" s="4">
        <v>15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>
        <v>0</v>
      </c>
      <c r="X59" s="4">
        <v>1</v>
      </c>
      <c r="Y59" s="4">
        <v>0</v>
      </c>
      <c r="Z59" s="4"/>
      <c r="AA59" s="4"/>
      <c r="AB59" s="4"/>
    </row>
    <row r="60" spans="1:28" x14ac:dyDescent="0.2">
      <c r="A60" s="4">
        <v>50</v>
      </c>
      <c r="B60" s="4">
        <v>1</v>
      </c>
      <c r="C60" s="4">
        <v>0</v>
      </c>
      <c r="D60" s="4">
        <v>1</v>
      </c>
      <c r="E60" s="4">
        <v>214</v>
      </c>
      <c r="F60" s="4">
        <f>ROUND(Source!AS43,O60)</f>
        <v>3588705.27</v>
      </c>
      <c r="G60" s="4" t="s">
        <v>153</v>
      </c>
      <c r="H60" s="4" t="s">
        <v>154</v>
      </c>
      <c r="I60" s="4"/>
      <c r="J60" s="4"/>
      <c r="K60" s="4">
        <v>214</v>
      </c>
      <c r="L60" s="4">
        <v>16</v>
      </c>
      <c r="M60" s="4">
        <v>1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>
        <v>3588705.27</v>
      </c>
      <c r="X60" s="4">
        <v>1</v>
      </c>
      <c r="Y60" s="4">
        <v>3588705.27</v>
      </c>
      <c r="Z60" s="4"/>
      <c r="AA60" s="4"/>
      <c r="AB60" s="4"/>
    </row>
    <row r="61" spans="1:28" x14ac:dyDescent="0.2">
      <c r="A61" s="4">
        <v>50</v>
      </c>
      <c r="B61" s="4">
        <v>0</v>
      </c>
      <c r="C61" s="4">
        <v>0</v>
      </c>
      <c r="D61" s="4">
        <v>1</v>
      </c>
      <c r="E61" s="4">
        <v>215</v>
      </c>
      <c r="F61" s="4">
        <f>ROUND(Source!AT43,O61)</f>
        <v>0</v>
      </c>
      <c r="G61" s="4" t="s">
        <v>155</v>
      </c>
      <c r="H61" s="4" t="s">
        <v>156</v>
      </c>
      <c r="I61" s="4"/>
      <c r="J61" s="4"/>
      <c r="K61" s="4">
        <v>215</v>
      </c>
      <c r="L61" s="4">
        <v>17</v>
      </c>
      <c r="M61" s="4">
        <v>1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>
        <v>0</v>
      </c>
      <c r="X61" s="4">
        <v>1</v>
      </c>
      <c r="Y61" s="4">
        <v>0</v>
      </c>
      <c r="Z61" s="4"/>
      <c r="AA61" s="4"/>
      <c r="AB61" s="4"/>
    </row>
    <row r="62" spans="1:28" x14ac:dyDescent="0.2">
      <c r="A62" s="4">
        <v>50</v>
      </c>
      <c r="B62" s="4">
        <v>0</v>
      </c>
      <c r="C62" s="4">
        <v>0</v>
      </c>
      <c r="D62" s="4">
        <v>1</v>
      </c>
      <c r="E62" s="4">
        <v>217</v>
      </c>
      <c r="F62" s="4">
        <f>ROUND(Source!AU43,O62)</f>
        <v>0</v>
      </c>
      <c r="G62" s="4" t="s">
        <v>157</v>
      </c>
      <c r="H62" s="4" t="s">
        <v>158</v>
      </c>
      <c r="I62" s="4"/>
      <c r="J62" s="4"/>
      <c r="K62" s="4">
        <v>217</v>
      </c>
      <c r="L62" s="4">
        <v>18</v>
      </c>
      <c r="M62" s="4">
        <v>1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>
        <v>0</v>
      </c>
      <c r="X62" s="4">
        <v>1</v>
      </c>
      <c r="Y62" s="4">
        <v>0</v>
      </c>
      <c r="Z62" s="4"/>
      <c r="AA62" s="4"/>
      <c r="AB62" s="4"/>
    </row>
    <row r="63" spans="1:28" x14ac:dyDescent="0.2">
      <c r="A63" s="4">
        <v>50</v>
      </c>
      <c r="B63" s="4">
        <v>0</v>
      </c>
      <c r="C63" s="4">
        <v>0</v>
      </c>
      <c r="D63" s="4">
        <v>1</v>
      </c>
      <c r="E63" s="4">
        <v>230</v>
      </c>
      <c r="F63" s="4">
        <f>ROUND(Source!BA43,O63)</f>
        <v>0</v>
      </c>
      <c r="G63" s="4" t="s">
        <v>159</v>
      </c>
      <c r="H63" s="4" t="s">
        <v>160</v>
      </c>
      <c r="I63" s="4"/>
      <c r="J63" s="4"/>
      <c r="K63" s="4">
        <v>230</v>
      </c>
      <c r="L63" s="4">
        <v>19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>
        <v>0</v>
      </c>
      <c r="X63" s="4">
        <v>1</v>
      </c>
      <c r="Y63" s="4">
        <v>0</v>
      </c>
      <c r="Z63" s="4"/>
      <c r="AA63" s="4"/>
      <c r="AB63" s="4"/>
    </row>
    <row r="64" spans="1:28" x14ac:dyDescent="0.2">
      <c r="A64" s="4">
        <v>50</v>
      </c>
      <c r="B64" s="4">
        <v>0</v>
      </c>
      <c r="C64" s="4">
        <v>0</v>
      </c>
      <c r="D64" s="4">
        <v>1</v>
      </c>
      <c r="E64" s="4">
        <v>206</v>
      </c>
      <c r="F64" s="4">
        <f>ROUND(Source!T43,O64)</f>
        <v>0</v>
      </c>
      <c r="G64" s="4" t="s">
        <v>161</v>
      </c>
      <c r="H64" s="4" t="s">
        <v>162</v>
      </c>
      <c r="I64" s="4"/>
      <c r="J64" s="4"/>
      <c r="K64" s="4">
        <v>206</v>
      </c>
      <c r="L64" s="4">
        <v>20</v>
      </c>
      <c r="M64" s="4">
        <v>1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>
        <v>0</v>
      </c>
      <c r="X64" s="4">
        <v>1</v>
      </c>
      <c r="Y64" s="4">
        <v>0</v>
      </c>
      <c r="Z64" s="4"/>
      <c r="AA64" s="4"/>
      <c r="AB64" s="4"/>
    </row>
    <row r="65" spans="1:206" x14ac:dyDescent="0.2">
      <c r="A65" s="4">
        <v>50</v>
      </c>
      <c r="B65" s="4">
        <v>1</v>
      </c>
      <c r="C65" s="4">
        <v>0</v>
      </c>
      <c r="D65" s="4">
        <v>1</v>
      </c>
      <c r="E65" s="4">
        <v>207</v>
      </c>
      <c r="F65" s="4">
        <f>Source!U43</f>
        <v>472.42890973999988</v>
      </c>
      <c r="G65" s="4" t="s">
        <v>163</v>
      </c>
      <c r="H65" s="4" t="s">
        <v>164</v>
      </c>
      <c r="I65" s="4"/>
      <c r="J65" s="4"/>
      <c r="K65" s="4">
        <v>207</v>
      </c>
      <c r="L65" s="4">
        <v>21</v>
      </c>
      <c r="M65" s="4">
        <v>1</v>
      </c>
      <c r="N65" s="4" t="s">
        <v>3</v>
      </c>
      <c r="O65" s="4">
        <v>-1</v>
      </c>
      <c r="P65" s="4"/>
      <c r="Q65" s="4"/>
      <c r="R65" s="4"/>
      <c r="S65" s="4"/>
      <c r="T65" s="4"/>
      <c r="U65" s="4"/>
      <c r="V65" s="4"/>
      <c r="W65" s="4">
        <v>472.42890973999999</v>
      </c>
      <c r="X65" s="4">
        <v>1</v>
      </c>
      <c r="Y65" s="4">
        <v>472.42890973999999</v>
      </c>
      <c r="Z65" s="4"/>
      <c r="AA65" s="4"/>
      <c r="AB65" s="4"/>
    </row>
    <row r="66" spans="1:206" x14ac:dyDescent="0.2">
      <c r="A66" s="4">
        <v>50</v>
      </c>
      <c r="B66" s="4">
        <v>1</v>
      </c>
      <c r="C66" s="4">
        <v>0</v>
      </c>
      <c r="D66" s="4">
        <v>1</v>
      </c>
      <c r="E66" s="4">
        <v>208</v>
      </c>
      <c r="F66" s="4">
        <f>Source!V43</f>
        <v>101.60625187499998</v>
      </c>
      <c r="G66" s="4" t="s">
        <v>165</v>
      </c>
      <c r="H66" s="4" t="s">
        <v>166</v>
      </c>
      <c r="I66" s="4"/>
      <c r="J66" s="4"/>
      <c r="K66" s="4">
        <v>208</v>
      </c>
      <c r="L66" s="4">
        <v>22</v>
      </c>
      <c r="M66" s="4">
        <v>1</v>
      </c>
      <c r="N66" s="4" t="s">
        <v>3</v>
      </c>
      <c r="O66" s="4">
        <v>-1</v>
      </c>
      <c r="P66" s="4"/>
      <c r="Q66" s="4"/>
      <c r="R66" s="4"/>
      <c r="S66" s="4"/>
      <c r="T66" s="4"/>
      <c r="U66" s="4"/>
      <c r="V66" s="4"/>
      <c r="W66" s="4">
        <v>101.606251875</v>
      </c>
      <c r="X66" s="4">
        <v>1</v>
      </c>
      <c r="Y66" s="4">
        <v>101.606251875</v>
      </c>
      <c r="Z66" s="4"/>
      <c r="AA66" s="4"/>
      <c r="AB66" s="4"/>
    </row>
    <row r="67" spans="1:206" x14ac:dyDescent="0.2">
      <c r="A67" s="4">
        <v>50</v>
      </c>
      <c r="B67" s="4">
        <v>0</v>
      </c>
      <c r="C67" s="4">
        <v>0</v>
      </c>
      <c r="D67" s="4">
        <v>1</v>
      </c>
      <c r="E67" s="4">
        <v>209</v>
      </c>
      <c r="F67" s="4">
        <f>ROUND(Source!W43,O67)</f>
        <v>0</v>
      </c>
      <c r="G67" s="4" t="s">
        <v>167</v>
      </c>
      <c r="H67" s="4" t="s">
        <v>168</v>
      </c>
      <c r="I67" s="4"/>
      <c r="J67" s="4"/>
      <c r="K67" s="4">
        <v>209</v>
      </c>
      <c r="L67" s="4">
        <v>23</v>
      </c>
      <c r="M67" s="4">
        <v>1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>
        <v>0</v>
      </c>
      <c r="X67" s="4">
        <v>1</v>
      </c>
      <c r="Y67" s="4">
        <v>0</v>
      </c>
      <c r="Z67" s="4"/>
      <c r="AA67" s="4"/>
      <c r="AB67" s="4"/>
    </row>
    <row r="68" spans="1:206" x14ac:dyDescent="0.2">
      <c r="A68" s="4">
        <v>50</v>
      </c>
      <c r="B68" s="4">
        <v>1</v>
      </c>
      <c r="C68" s="4">
        <v>0</v>
      </c>
      <c r="D68" s="4">
        <v>1</v>
      </c>
      <c r="E68" s="4">
        <v>233</v>
      </c>
      <c r="F68" s="4">
        <f>ROUND(Source!BD43,O68)</f>
        <v>161010.15</v>
      </c>
      <c r="G68" s="4" t="s">
        <v>169</v>
      </c>
      <c r="H68" s="4" t="s">
        <v>170</v>
      </c>
      <c r="I68" s="4"/>
      <c r="J68" s="4"/>
      <c r="K68" s="4">
        <v>233</v>
      </c>
      <c r="L68" s="4">
        <v>24</v>
      </c>
      <c r="M68" s="4">
        <v>1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>
        <v>161010.15</v>
      </c>
      <c r="X68" s="4">
        <v>1</v>
      </c>
      <c r="Y68" s="4">
        <v>161010.15</v>
      </c>
      <c r="Z68" s="4"/>
      <c r="AA68" s="4"/>
      <c r="AB68" s="4"/>
    </row>
    <row r="69" spans="1:206" x14ac:dyDescent="0.2">
      <c r="A69" s="4">
        <v>50</v>
      </c>
      <c r="B69" s="4">
        <v>1</v>
      </c>
      <c r="C69" s="4">
        <v>0</v>
      </c>
      <c r="D69" s="4">
        <v>1</v>
      </c>
      <c r="E69" s="4">
        <v>210</v>
      </c>
      <c r="F69" s="4">
        <f>ROUND(Source!X43,O69)</f>
        <v>258700.19</v>
      </c>
      <c r="G69" s="4" t="s">
        <v>171</v>
      </c>
      <c r="H69" s="4" t="s">
        <v>172</v>
      </c>
      <c r="I69" s="4"/>
      <c r="J69" s="4"/>
      <c r="K69" s="4">
        <v>210</v>
      </c>
      <c r="L69" s="4">
        <v>25</v>
      </c>
      <c r="M69" s="4">
        <v>1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>
        <v>258700.19</v>
      </c>
      <c r="X69" s="4">
        <v>1</v>
      </c>
      <c r="Y69" s="4">
        <v>258700.19</v>
      </c>
      <c r="Z69" s="4"/>
      <c r="AA69" s="4"/>
      <c r="AB69" s="4"/>
    </row>
    <row r="70" spans="1:206" x14ac:dyDescent="0.2">
      <c r="A70" s="4">
        <v>50</v>
      </c>
      <c r="B70" s="4">
        <v>1</v>
      </c>
      <c r="C70" s="4">
        <v>0</v>
      </c>
      <c r="D70" s="4">
        <v>1</v>
      </c>
      <c r="E70" s="4">
        <v>211</v>
      </c>
      <c r="F70" s="4">
        <f>ROUND(Source!Y43,O70)</f>
        <v>201920.44</v>
      </c>
      <c r="G70" s="4" t="s">
        <v>173</v>
      </c>
      <c r="H70" s="4" t="s">
        <v>174</v>
      </c>
      <c r="I70" s="4"/>
      <c r="J70" s="4"/>
      <c r="K70" s="4">
        <v>211</v>
      </c>
      <c r="L70" s="4">
        <v>26</v>
      </c>
      <c r="M70" s="4">
        <v>1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>
        <v>201920.44</v>
      </c>
      <c r="X70" s="4">
        <v>1</v>
      </c>
      <c r="Y70" s="4">
        <v>201920.44</v>
      </c>
      <c r="Z70" s="4"/>
      <c r="AA70" s="4"/>
      <c r="AB70" s="4"/>
    </row>
    <row r="71" spans="1:206" x14ac:dyDescent="0.2">
      <c r="A71" s="4">
        <v>50</v>
      </c>
      <c r="B71" s="4">
        <v>1</v>
      </c>
      <c r="C71" s="4">
        <v>0</v>
      </c>
      <c r="D71" s="4">
        <v>1</v>
      </c>
      <c r="E71" s="4">
        <v>224</v>
      </c>
      <c r="F71" s="4">
        <f>ROUND(Source!AR43,O71)</f>
        <v>3588705.27</v>
      </c>
      <c r="G71" s="4" t="s">
        <v>175</v>
      </c>
      <c r="H71" s="4" t="s">
        <v>176</v>
      </c>
      <c r="I71" s="4"/>
      <c r="J71" s="4"/>
      <c r="K71" s="4">
        <v>224</v>
      </c>
      <c r="L71" s="4">
        <v>27</v>
      </c>
      <c r="M71" s="4">
        <v>1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>
        <v>3588705.27</v>
      </c>
      <c r="X71" s="4">
        <v>1</v>
      </c>
      <c r="Y71" s="4">
        <v>3588705.27</v>
      </c>
      <c r="Z71" s="4"/>
      <c r="AA71" s="4"/>
      <c r="AB71" s="4"/>
    </row>
    <row r="72" spans="1:206" x14ac:dyDescent="0.2">
      <c r="A72" s="4">
        <v>50</v>
      </c>
      <c r="B72" s="4">
        <v>1</v>
      </c>
      <c r="C72" s="4">
        <v>0</v>
      </c>
      <c r="D72" s="4">
        <v>2</v>
      </c>
      <c r="E72" s="4">
        <v>0</v>
      </c>
      <c r="F72" s="4">
        <f>ROUND(F71*0.2,O72)</f>
        <v>717741.05</v>
      </c>
      <c r="G72" s="4" t="s">
        <v>177</v>
      </c>
      <c r="H72" s="4" t="s">
        <v>178</v>
      </c>
      <c r="I72" s="4"/>
      <c r="J72" s="4"/>
      <c r="K72" s="4">
        <v>212</v>
      </c>
      <c r="L72" s="4">
        <v>28</v>
      </c>
      <c r="M72" s="4">
        <v>0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>
        <v>717741.05</v>
      </c>
      <c r="X72" s="4">
        <v>1</v>
      </c>
      <c r="Y72" s="4">
        <v>717741.05</v>
      </c>
      <c r="Z72" s="4"/>
      <c r="AA72" s="4"/>
      <c r="AB72" s="4"/>
    </row>
    <row r="73" spans="1:206" x14ac:dyDescent="0.2">
      <c r="A73" s="4">
        <v>50</v>
      </c>
      <c r="B73" s="4">
        <v>1</v>
      </c>
      <c r="C73" s="4">
        <v>0</v>
      </c>
      <c r="D73" s="4">
        <v>2</v>
      </c>
      <c r="E73" s="4">
        <v>0</v>
      </c>
      <c r="F73" s="4">
        <f>ROUND(F72+F71,O73)</f>
        <v>4306446.32</v>
      </c>
      <c r="G73" s="4" t="s">
        <v>179</v>
      </c>
      <c r="H73" s="4" t="s">
        <v>180</v>
      </c>
      <c r="I73" s="4"/>
      <c r="J73" s="4"/>
      <c r="K73" s="4">
        <v>212</v>
      </c>
      <c r="L73" s="4">
        <v>29</v>
      </c>
      <c r="M73" s="4">
        <v>0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>
        <v>4306446.32</v>
      </c>
      <c r="X73" s="4">
        <v>1</v>
      </c>
      <c r="Y73" s="4">
        <v>4306446.32</v>
      </c>
      <c r="Z73" s="4"/>
      <c r="AA73" s="4"/>
      <c r="AB73" s="4"/>
    </row>
    <row r="75" spans="1:206" x14ac:dyDescent="0.2">
      <c r="A75" s="2">
        <v>51</v>
      </c>
      <c r="B75" s="2">
        <f>B12</f>
        <v>135</v>
      </c>
      <c r="C75" s="2">
        <f>A12</f>
        <v>1</v>
      </c>
      <c r="D75" s="2">
        <f>ROW(A12)</f>
        <v>12</v>
      </c>
      <c r="E75" s="2"/>
      <c r="F75" s="2" t="str">
        <f>IF(F12&lt;&gt;"",F12,"")</f>
        <v>1</v>
      </c>
      <c r="G75" s="2" t="str">
        <f>IF(G12&lt;&gt;"",G12,"")</f>
        <v>Ремонт автодороги на территории завода - вариант 3</v>
      </c>
      <c r="H75" s="2">
        <v>0</v>
      </c>
      <c r="I75" s="2"/>
      <c r="J75" s="2"/>
      <c r="K75" s="2"/>
      <c r="L75" s="2"/>
      <c r="M75" s="2"/>
      <c r="N75" s="2"/>
      <c r="O75" s="2">
        <f t="shared" ref="O75:T75" si="52">ROUND(O43,2)</f>
        <v>2967074.49</v>
      </c>
      <c r="P75" s="2">
        <f t="shared" si="52"/>
        <v>2498316.7999999998</v>
      </c>
      <c r="Q75" s="2">
        <f t="shared" si="52"/>
        <v>331946.09000000003</v>
      </c>
      <c r="R75" s="2">
        <f t="shared" si="52"/>
        <v>41644.18</v>
      </c>
      <c r="S75" s="2">
        <f t="shared" si="52"/>
        <v>136811.6</v>
      </c>
      <c r="T75" s="2">
        <f t="shared" si="52"/>
        <v>0</v>
      </c>
      <c r="U75" s="2">
        <f>U43</f>
        <v>472.42890973999988</v>
      </c>
      <c r="V75" s="2">
        <f>V43</f>
        <v>101.60625187499998</v>
      </c>
      <c r="W75" s="2">
        <f>ROUND(W43,2)</f>
        <v>0</v>
      </c>
      <c r="X75" s="2">
        <f>ROUND(X43,2)</f>
        <v>258700.19</v>
      </c>
      <c r="Y75" s="2">
        <f>ROUND(Y43,2)</f>
        <v>201920.44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>
        <f t="shared" ref="AO75:BD75" si="53">ROUND(AO43,2)</f>
        <v>0</v>
      </c>
      <c r="AP75" s="2">
        <f t="shared" si="53"/>
        <v>0</v>
      </c>
      <c r="AQ75" s="2">
        <f t="shared" si="53"/>
        <v>0</v>
      </c>
      <c r="AR75" s="2">
        <f t="shared" si="53"/>
        <v>3588705.27</v>
      </c>
      <c r="AS75" s="2">
        <f t="shared" si="53"/>
        <v>3588705.27</v>
      </c>
      <c r="AT75" s="2">
        <f t="shared" si="53"/>
        <v>0</v>
      </c>
      <c r="AU75" s="2">
        <f t="shared" si="53"/>
        <v>0</v>
      </c>
      <c r="AV75" s="2">
        <f t="shared" si="53"/>
        <v>2498316.7999999998</v>
      </c>
      <c r="AW75" s="2">
        <f t="shared" si="53"/>
        <v>2498316.7999999998</v>
      </c>
      <c r="AX75" s="2">
        <f t="shared" si="53"/>
        <v>0</v>
      </c>
      <c r="AY75" s="2">
        <f t="shared" si="53"/>
        <v>2498316.7999999998</v>
      </c>
      <c r="AZ75" s="2">
        <f t="shared" si="53"/>
        <v>0</v>
      </c>
      <c r="BA75" s="2">
        <f t="shared" si="53"/>
        <v>0</v>
      </c>
      <c r="BB75" s="2">
        <f t="shared" si="53"/>
        <v>0</v>
      </c>
      <c r="BC75" s="2">
        <f t="shared" si="53"/>
        <v>0</v>
      </c>
      <c r="BD75" s="2">
        <f t="shared" si="53"/>
        <v>161010.15</v>
      </c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>
        <v>0</v>
      </c>
    </row>
    <row r="77" spans="1:206" x14ac:dyDescent="0.2">
      <c r="A77" s="4">
        <v>50</v>
      </c>
      <c r="B77" s="4">
        <v>0</v>
      </c>
      <c r="C77" s="4">
        <v>0</v>
      </c>
      <c r="D77" s="4">
        <v>1</v>
      </c>
      <c r="E77" s="4">
        <v>201</v>
      </c>
      <c r="F77" s="4">
        <f>ROUND(Source!O75,O77)</f>
        <v>2967074.49</v>
      </c>
      <c r="G77" s="4" t="s">
        <v>123</v>
      </c>
      <c r="H77" s="4" t="s">
        <v>124</v>
      </c>
      <c r="I77" s="4"/>
      <c r="J77" s="4"/>
      <c r="K77" s="4">
        <v>201</v>
      </c>
      <c r="L77" s="4">
        <v>1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>
        <v>2967074.49</v>
      </c>
      <c r="X77" s="4">
        <v>1</v>
      </c>
      <c r="Y77" s="4">
        <v>2967074.49</v>
      </c>
      <c r="Z77" s="4"/>
      <c r="AA77" s="4"/>
      <c r="AB77" s="4"/>
    </row>
    <row r="78" spans="1:206" x14ac:dyDescent="0.2">
      <c r="A78" s="4">
        <v>50</v>
      </c>
      <c r="B78" s="4">
        <v>0</v>
      </c>
      <c r="C78" s="4">
        <v>0</v>
      </c>
      <c r="D78" s="4">
        <v>1</v>
      </c>
      <c r="E78" s="4">
        <v>202</v>
      </c>
      <c r="F78" s="4">
        <f>ROUND(Source!P75,O78)</f>
        <v>2498316.7999999998</v>
      </c>
      <c r="G78" s="4" t="s">
        <v>125</v>
      </c>
      <c r="H78" s="4" t="s">
        <v>126</v>
      </c>
      <c r="I78" s="4"/>
      <c r="J78" s="4"/>
      <c r="K78" s="4">
        <v>202</v>
      </c>
      <c r="L78" s="4">
        <v>2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>
        <v>2498316.7999999998</v>
      </c>
      <c r="X78" s="4">
        <v>1</v>
      </c>
      <c r="Y78" s="4">
        <v>2498316.7999999998</v>
      </c>
      <c r="Z78" s="4"/>
      <c r="AA78" s="4"/>
      <c r="AB78" s="4"/>
    </row>
    <row r="79" spans="1:206" x14ac:dyDescent="0.2">
      <c r="A79" s="4">
        <v>50</v>
      </c>
      <c r="B79" s="4">
        <v>0</v>
      </c>
      <c r="C79" s="4">
        <v>0</v>
      </c>
      <c r="D79" s="4">
        <v>1</v>
      </c>
      <c r="E79" s="4">
        <v>222</v>
      </c>
      <c r="F79" s="4">
        <f>ROUND(Source!AO75,O79)</f>
        <v>0</v>
      </c>
      <c r="G79" s="4" t="s">
        <v>127</v>
      </c>
      <c r="H79" s="4" t="s">
        <v>128</v>
      </c>
      <c r="I79" s="4"/>
      <c r="J79" s="4"/>
      <c r="K79" s="4">
        <v>222</v>
      </c>
      <c r="L79" s="4">
        <v>3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>
        <v>0</v>
      </c>
      <c r="X79" s="4">
        <v>1</v>
      </c>
      <c r="Y79" s="4">
        <v>0</v>
      </c>
      <c r="Z79" s="4"/>
      <c r="AA79" s="4"/>
      <c r="AB79" s="4"/>
    </row>
    <row r="80" spans="1:206" x14ac:dyDescent="0.2">
      <c r="A80" s="4">
        <v>50</v>
      </c>
      <c r="B80" s="4">
        <v>0</v>
      </c>
      <c r="C80" s="4">
        <v>0</v>
      </c>
      <c r="D80" s="4">
        <v>1</v>
      </c>
      <c r="E80" s="4">
        <v>225</v>
      </c>
      <c r="F80" s="4">
        <f>ROUND(Source!AV75,O80)</f>
        <v>2498316.7999999998</v>
      </c>
      <c r="G80" s="4" t="s">
        <v>129</v>
      </c>
      <c r="H80" s="4" t="s">
        <v>130</v>
      </c>
      <c r="I80" s="4"/>
      <c r="J80" s="4"/>
      <c r="K80" s="4">
        <v>225</v>
      </c>
      <c r="L80" s="4">
        <v>4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>
        <v>2498316.7999999998</v>
      </c>
      <c r="X80" s="4">
        <v>1</v>
      </c>
      <c r="Y80" s="4">
        <v>2498316.7999999998</v>
      </c>
      <c r="Z80" s="4"/>
      <c r="AA80" s="4"/>
      <c r="AB80" s="4"/>
    </row>
    <row r="81" spans="1:28" x14ac:dyDescent="0.2">
      <c r="A81" s="4">
        <v>50</v>
      </c>
      <c r="B81" s="4">
        <v>0</v>
      </c>
      <c r="C81" s="4">
        <v>0</v>
      </c>
      <c r="D81" s="4">
        <v>1</v>
      </c>
      <c r="E81" s="4">
        <v>226</v>
      </c>
      <c r="F81" s="4">
        <f>ROUND(Source!AW75,O81)</f>
        <v>2498316.7999999998</v>
      </c>
      <c r="G81" s="4" t="s">
        <v>131</v>
      </c>
      <c r="H81" s="4" t="s">
        <v>132</v>
      </c>
      <c r="I81" s="4"/>
      <c r="J81" s="4"/>
      <c r="K81" s="4">
        <v>226</v>
      </c>
      <c r="L81" s="4">
        <v>5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>
        <v>2498316.7999999998</v>
      </c>
      <c r="X81" s="4">
        <v>1</v>
      </c>
      <c r="Y81" s="4">
        <v>2498316.7999999998</v>
      </c>
      <c r="Z81" s="4"/>
      <c r="AA81" s="4"/>
      <c r="AB81" s="4"/>
    </row>
    <row r="82" spans="1:28" x14ac:dyDescent="0.2">
      <c r="A82" s="4">
        <v>50</v>
      </c>
      <c r="B82" s="4">
        <v>0</v>
      </c>
      <c r="C82" s="4">
        <v>0</v>
      </c>
      <c r="D82" s="4">
        <v>1</v>
      </c>
      <c r="E82" s="4">
        <v>227</v>
      </c>
      <c r="F82" s="4">
        <f>ROUND(Source!AX75,O82)</f>
        <v>0</v>
      </c>
      <c r="G82" s="4" t="s">
        <v>133</v>
      </c>
      <c r="H82" s="4" t="s">
        <v>134</v>
      </c>
      <c r="I82" s="4"/>
      <c r="J82" s="4"/>
      <c r="K82" s="4">
        <v>227</v>
      </c>
      <c r="L82" s="4">
        <v>6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>
        <v>0</v>
      </c>
      <c r="X82" s="4">
        <v>1</v>
      </c>
      <c r="Y82" s="4">
        <v>0</v>
      </c>
      <c r="Z82" s="4"/>
      <c r="AA82" s="4"/>
      <c r="AB82" s="4"/>
    </row>
    <row r="83" spans="1:28" x14ac:dyDescent="0.2">
      <c r="A83" s="4">
        <v>50</v>
      </c>
      <c r="B83" s="4">
        <v>0</v>
      </c>
      <c r="C83" s="4">
        <v>0</v>
      </c>
      <c r="D83" s="4">
        <v>1</v>
      </c>
      <c r="E83" s="4">
        <v>228</v>
      </c>
      <c r="F83" s="4">
        <f>ROUND(Source!AY75,O83)</f>
        <v>2498316.7999999998</v>
      </c>
      <c r="G83" s="4" t="s">
        <v>135</v>
      </c>
      <c r="H83" s="4" t="s">
        <v>136</v>
      </c>
      <c r="I83" s="4"/>
      <c r="J83" s="4"/>
      <c r="K83" s="4">
        <v>228</v>
      </c>
      <c r="L83" s="4">
        <v>7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>
        <v>2498316.7999999998</v>
      </c>
      <c r="X83" s="4">
        <v>1</v>
      </c>
      <c r="Y83" s="4">
        <v>2498316.7999999998</v>
      </c>
      <c r="Z83" s="4"/>
      <c r="AA83" s="4"/>
      <c r="AB83" s="4"/>
    </row>
    <row r="84" spans="1:28" x14ac:dyDescent="0.2">
      <c r="A84" s="4">
        <v>50</v>
      </c>
      <c r="B84" s="4">
        <v>0</v>
      </c>
      <c r="C84" s="4">
        <v>0</v>
      </c>
      <c r="D84" s="4">
        <v>1</v>
      </c>
      <c r="E84" s="4">
        <v>216</v>
      </c>
      <c r="F84" s="4">
        <f>ROUND(Source!AP75,O84)</f>
        <v>0</v>
      </c>
      <c r="G84" s="4" t="s">
        <v>137</v>
      </c>
      <c r="H84" s="4" t="s">
        <v>138</v>
      </c>
      <c r="I84" s="4"/>
      <c r="J84" s="4"/>
      <c r="K84" s="4">
        <v>216</v>
      </c>
      <c r="L84" s="4">
        <v>8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>
        <v>0</v>
      </c>
      <c r="X84" s="4">
        <v>1</v>
      </c>
      <c r="Y84" s="4">
        <v>0</v>
      </c>
      <c r="Z84" s="4"/>
      <c r="AA84" s="4"/>
      <c r="AB84" s="4"/>
    </row>
    <row r="85" spans="1:28" x14ac:dyDescent="0.2">
      <c r="A85" s="4">
        <v>50</v>
      </c>
      <c r="B85" s="4">
        <v>0</v>
      </c>
      <c r="C85" s="4">
        <v>0</v>
      </c>
      <c r="D85" s="4">
        <v>1</v>
      </c>
      <c r="E85" s="4">
        <v>223</v>
      </c>
      <c r="F85" s="4">
        <f>ROUND(Source!AQ75,O85)</f>
        <v>0</v>
      </c>
      <c r="G85" s="4" t="s">
        <v>139</v>
      </c>
      <c r="H85" s="4" t="s">
        <v>140</v>
      </c>
      <c r="I85" s="4"/>
      <c r="J85" s="4"/>
      <c r="K85" s="4">
        <v>223</v>
      </c>
      <c r="L85" s="4">
        <v>9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>
        <v>0</v>
      </c>
      <c r="X85" s="4">
        <v>1</v>
      </c>
      <c r="Y85" s="4">
        <v>0</v>
      </c>
      <c r="Z85" s="4"/>
      <c r="AA85" s="4"/>
      <c r="AB85" s="4"/>
    </row>
    <row r="86" spans="1:28" x14ac:dyDescent="0.2">
      <c r="A86" s="4">
        <v>50</v>
      </c>
      <c r="B86" s="4">
        <v>0</v>
      </c>
      <c r="C86" s="4">
        <v>0</v>
      </c>
      <c r="D86" s="4">
        <v>1</v>
      </c>
      <c r="E86" s="4">
        <v>229</v>
      </c>
      <c r="F86" s="4">
        <f>ROUND(Source!AZ75,O86)</f>
        <v>0</v>
      </c>
      <c r="G86" s="4" t="s">
        <v>141</v>
      </c>
      <c r="H86" s="4" t="s">
        <v>142</v>
      </c>
      <c r="I86" s="4"/>
      <c r="J86" s="4"/>
      <c r="K86" s="4">
        <v>229</v>
      </c>
      <c r="L86" s="4">
        <v>10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>
        <v>0</v>
      </c>
      <c r="X86" s="4">
        <v>1</v>
      </c>
      <c r="Y86" s="4">
        <v>0</v>
      </c>
      <c r="Z86" s="4"/>
      <c r="AA86" s="4"/>
      <c r="AB86" s="4"/>
    </row>
    <row r="87" spans="1:28" x14ac:dyDescent="0.2">
      <c r="A87" s="4">
        <v>50</v>
      </c>
      <c r="B87" s="4">
        <v>0</v>
      </c>
      <c r="C87" s="4">
        <v>0</v>
      </c>
      <c r="D87" s="4">
        <v>1</v>
      </c>
      <c r="E87" s="4">
        <v>203</v>
      </c>
      <c r="F87" s="4">
        <f>ROUND(Source!Q75,O87)</f>
        <v>331946.09000000003</v>
      </c>
      <c r="G87" s="4" t="s">
        <v>143</v>
      </c>
      <c r="H87" s="4" t="s">
        <v>144</v>
      </c>
      <c r="I87" s="4"/>
      <c r="J87" s="4"/>
      <c r="K87" s="4">
        <v>203</v>
      </c>
      <c r="L87" s="4">
        <v>11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>
        <v>331946.09000000003</v>
      </c>
      <c r="X87" s="4">
        <v>1</v>
      </c>
      <c r="Y87" s="4">
        <v>331946.09000000003</v>
      </c>
      <c r="Z87" s="4"/>
      <c r="AA87" s="4"/>
      <c r="AB87" s="4"/>
    </row>
    <row r="88" spans="1:28" x14ac:dyDescent="0.2">
      <c r="A88" s="4">
        <v>50</v>
      </c>
      <c r="B88" s="4">
        <v>0</v>
      </c>
      <c r="C88" s="4">
        <v>0</v>
      </c>
      <c r="D88" s="4">
        <v>1</v>
      </c>
      <c r="E88" s="4">
        <v>231</v>
      </c>
      <c r="F88" s="4">
        <f>ROUND(Source!BB75,O88)</f>
        <v>0</v>
      </c>
      <c r="G88" s="4" t="s">
        <v>145</v>
      </c>
      <c r="H88" s="4" t="s">
        <v>146</v>
      </c>
      <c r="I88" s="4"/>
      <c r="J88" s="4"/>
      <c r="K88" s="4">
        <v>231</v>
      </c>
      <c r="L88" s="4">
        <v>12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>
        <v>0</v>
      </c>
      <c r="X88" s="4">
        <v>1</v>
      </c>
      <c r="Y88" s="4">
        <v>0</v>
      </c>
      <c r="Z88" s="4"/>
      <c r="AA88" s="4"/>
      <c r="AB88" s="4"/>
    </row>
    <row r="89" spans="1:28" x14ac:dyDescent="0.2">
      <c r="A89" s="4">
        <v>50</v>
      </c>
      <c r="B89" s="4">
        <v>0</v>
      </c>
      <c r="C89" s="4">
        <v>0</v>
      </c>
      <c r="D89" s="4">
        <v>1</v>
      </c>
      <c r="E89" s="4">
        <v>204</v>
      </c>
      <c r="F89" s="4">
        <f>ROUND(Source!R75,O89)</f>
        <v>41644.18</v>
      </c>
      <c r="G89" s="4" t="s">
        <v>147</v>
      </c>
      <c r="H89" s="4" t="s">
        <v>148</v>
      </c>
      <c r="I89" s="4"/>
      <c r="J89" s="4"/>
      <c r="K89" s="4">
        <v>204</v>
      </c>
      <c r="L89" s="4">
        <v>13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>
        <v>41644.18</v>
      </c>
      <c r="X89" s="4">
        <v>1</v>
      </c>
      <c r="Y89" s="4">
        <v>41644.18</v>
      </c>
      <c r="Z89" s="4"/>
      <c r="AA89" s="4"/>
      <c r="AB89" s="4"/>
    </row>
    <row r="90" spans="1:28" x14ac:dyDescent="0.2">
      <c r="A90" s="4">
        <v>50</v>
      </c>
      <c r="B90" s="4">
        <v>0</v>
      </c>
      <c r="C90" s="4">
        <v>0</v>
      </c>
      <c r="D90" s="4">
        <v>1</v>
      </c>
      <c r="E90" s="4">
        <v>205</v>
      </c>
      <c r="F90" s="4">
        <f>ROUND(Source!S75,O90)</f>
        <v>136811.6</v>
      </c>
      <c r="G90" s="4" t="s">
        <v>149</v>
      </c>
      <c r="H90" s="4" t="s">
        <v>150</v>
      </c>
      <c r="I90" s="4"/>
      <c r="J90" s="4"/>
      <c r="K90" s="4">
        <v>205</v>
      </c>
      <c r="L90" s="4">
        <v>14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>
        <v>136811.6</v>
      </c>
      <c r="X90" s="4">
        <v>1</v>
      </c>
      <c r="Y90" s="4">
        <v>136811.6</v>
      </c>
      <c r="Z90" s="4"/>
      <c r="AA90" s="4"/>
      <c r="AB90" s="4"/>
    </row>
    <row r="91" spans="1:28" x14ac:dyDescent="0.2">
      <c r="A91" s="4">
        <v>50</v>
      </c>
      <c r="B91" s="4">
        <v>0</v>
      </c>
      <c r="C91" s="4">
        <v>0</v>
      </c>
      <c r="D91" s="4">
        <v>1</v>
      </c>
      <c r="E91" s="4">
        <v>232</v>
      </c>
      <c r="F91" s="4">
        <f>ROUND(Source!BC75,O91)</f>
        <v>0</v>
      </c>
      <c r="G91" s="4" t="s">
        <v>151</v>
      </c>
      <c r="H91" s="4" t="s">
        <v>152</v>
      </c>
      <c r="I91" s="4"/>
      <c r="J91" s="4"/>
      <c r="K91" s="4">
        <v>232</v>
      </c>
      <c r="L91" s="4">
        <v>15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>
        <v>0</v>
      </c>
      <c r="X91" s="4">
        <v>1</v>
      </c>
      <c r="Y91" s="4">
        <v>0</v>
      </c>
      <c r="Z91" s="4"/>
      <c r="AA91" s="4"/>
      <c r="AB91" s="4"/>
    </row>
    <row r="92" spans="1:28" x14ac:dyDescent="0.2">
      <c r="A92" s="4">
        <v>50</v>
      </c>
      <c r="B92" s="4">
        <v>0</v>
      </c>
      <c r="C92" s="4">
        <v>0</v>
      </c>
      <c r="D92" s="4">
        <v>1</v>
      </c>
      <c r="E92" s="4">
        <v>214</v>
      </c>
      <c r="F92" s="4">
        <f>ROUND(Source!AS75,O92)</f>
        <v>3588705.27</v>
      </c>
      <c r="G92" s="4" t="s">
        <v>153</v>
      </c>
      <c r="H92" s="4" t="s">
        <v>154</v>
      </c>
      <c r="I92" s="4"/>
      <c r="J92" s="4"/>
      <c r="K92" s="4">
        <v>214</v>
      </c>
      <c r="L92" s="4">
        <v>16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>
        <v>3588705.27</v>
      </c>
      <c r="X92" s="4">
        <v>1</v>
      </c>
      <c r="Y92" s="4">
        <v>3588705.27</v>
      </c>
      <c r="Z92" s="4"/>
      <c r="AA92" s="4"/>
      <c r="AB92" s="4"/>
    </row>
    <row r="93" spans="1:28" x14ac:dyDescent="0.2">
      <c r="A93" s="4">
        <v>50</v>
      </c>
      <c r="B93" s="4">
        <v>0</v>
      </c>
      <c r="C93" s="4">
        <v>0</v>
      </c>
      <c r="D93" s="4">
        <v>1</v>
      </c>
      <c r="E93" s="4">
        <v>215</v>
      </c>
      <c r="F93" s="4">
        <f>ROUND(Source!AT75,O93)</f>
        <v>0</v>
      </c>
      <c r="G93" s="4" t="s">
        <v>155</v>
      </c>
      <c r="H93" s="4" t="s">
        <v>156</v>
      </c>
      <c r="I93" s="4"/>
      <c r="J93" s="4"/>
      <c r="K93" s="4">
        <v>215</v>
      </c>
      <c r="L93" s="4">
        <v>17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>
        <v>0</v>
      </c>
      <c r="X93" s="4">
        <v>1</v>
      </c>
      <c r="Y93" s="4">
        <v>0</v>
      </c>
      <c r="Z93" s="4"/>
      <c r="AA93" s="4"/>
      <c r="AB93" s="4"/>
    </row>
    <row r="94" spans="1:28" x14ac:dyDescent="0.2">
      <c r="A94" s="4">
        <v>50</v>
      </c>
      <c r="B94" s="4">
        <v>0</v>
      </c>
      <c r="C94" s="4">
        <v>0</v>
      </c>
      <c r="D94" s="4">
        <v>1</v>
      </c>
      <c r="E94" s="4">
        <v>217</v>
      </c>
      <c r="F94" s="4">
        <f>ROUND(Source!AU75,O94)</f>
        <v>0</v>
      </c>
      <c r="G94" s="4" t="s">
        <v>157</v>
      </c>
      <c r="H94" s="4" t="s">
        <v>158</v>
      </c>
      <c r="I94" s="4"/>
      <c r="J94" s="4"/>
      <c r="K94" s="4">
        <v>217</v>
      </c>
      <c r="L94" s="4">
        <v>18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>
        <v>0</v>
      </c>
      <c r="X94" s="4">
        <v>1</v>
      </c>
      <c r="Y94" s="4">
        <v>0</v>
      </c>
      <c r="Z94" s="4"/>
      <c r="AA94" s="4"/>
      <c r="AB94" s="4"/>
    </row>
    <row r="95" spans="1:28" x14ac:dyDescent="0.2">
      <c r="A95" s="4">
        <v>50</v>
      </c>
      <c r="B95" s="4">
        <v>0</v>
      </c>
      <c r="C95" s="4">
        <v>0</v>
      </c>
      <c r="D95" s="4">
        <v>1</v>
      </c>
      <c r="E95" s="4">
        <v>230</v>
      </c>
      <c r="F95" s="4">
        <f>ROUND(Source!BA75,O95)</f>
        <v>0</v>
      </c>
      <c r="G95" s="4" t="s">
        <v>159</v>
      </c>
      <c r="H95" s="4" t="s">
        <v>160</v>
      </c>
      <c r="I95" s="4"/>
      <c r="J95" s="4"/>
      <c r="K95" s="4">
        <v>230</v>
      </c>
      <c r="L95" s="4">
        <v>19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>
        <v>0</v>
      </c>
      <c r="X95" s="4">
        <v>1</v>
      </c>
      <c r="Y95" s="4">
        <v>0</v>
      </c>
      <c r="Z95" s="4"/>
      <c r="AA95" s="4"/>
      <c r="AB95" s="4"/>
    </row>
    <row r="96" spans="1:28" x14ac:dyDescent="0.2">
      <c r="A96" s="4">
        <v>50</v>
      </c>
      <c r="B96" s="4">
        <v>0</v>
      </c>
      <c r="C96" s="4">
        <v>0</v>
      </c>
      <c r="D96" s="4">
        <v>1</v>
      </c>
      <c r="E96" s="4">
        <v>206</v>
      </c>
      <c r="F96" s="4">
        <f>ROUND(Source!T75,O96)</f>
        <v>0</v>
      </c>
      <c r="G96" s="4" t="s">
        <v>161</v>
      </c>
      <c r="H96" s="4" t="s">
        <v>162</v>
      </c>
      <c r="I96" s="4"/>
      <c r="J96" s="4"/>
      <c r="K96" s="4">
        <v>206</v>
      </c>
      <c r="L96" s="4">
        <v>20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>
        <v>0</v>
      </c>
      <c r="X96" s="4">
        <v>1</v>
      </c>
      <c r="Y96" s="4">
        <v>0</v>
      </c>
      <c r="Z96" s="4"/>
      <c r="AA96" s="4"/>
      <c r="AB96" s="4"/>
    </row>
    <row r="97" spans="1:28" x14ac:dyDescent="0.2">
      <c r="A97" s="4">
        <v>50</v>
      </c>
      <c r="B97" s="4">
        <v>0</v>
      </c>
      <c r="C97" s="4">
        <v>0</v>
      </c>
      <c r="D97" s="4">
        <v>1</v>
      </c>
      <c r="E97" s="4">
        <v>207</v>
      </c>
      <c r="F97" s="4">
        <f>Source!U75</f>
        <v>472.42890973999988</v>
      </c>
      <c r="G97" s="4" t="s">
        <v>163</v>
      </c>
      <c r="H97" s="4" t="s">
        <v>164</v>
      </c>
      <c r="I97" s="4"/>
      <c r="J97" s="4"/>
      <c r="K97" s="4">
        <v>207</v>
      </c>
      <c r="L97" s="4">
        <v>21</v>
      </c>
      <c r="M97" s="4">
        <v>3</v>
      </c>
      <c r="N97" s="4" t="s">
        <v>3</v>
      </c>
      <c r="O97" s="4">
        <v>-1</v>
      </c>
      <c r="P97" s="4"/>
      <c r="Q97" s="4"/>
      <c r="R97" s="4"/>
      <c r="S97" s="4"/>
      <c r="T97" s="4"/>
      <c r="U97" s="4"/>
      <c r="V97" s="4"/>
      <c r="W97" s="4">
        <v>472.42890973999999</v>
      </c>
      <c r="X97" s="4">
        <v>1</v>
      </c>
      <c r="Y97" s="4">
        <v>472.42890973999999</v>
      </c>
      <c r="Z97" s="4"/>
      <c r="AA97" s="4"/>
      <c r="AB97" s="4"/>
    </row>
    <row r="98" spans="1:28" x14ac:dyDescent="0.2">
      <c r="A98" s="4">
        <v>50</v>
      </c>
      <c r="B98" s="4">
        <v>0</v>
      </c>
      <c r="C98" s="4">
        <v>0</v>
      </c>
      <c r="D98" s="4">
        <v>1</v>
      </c>
      <c r="E98" s="4">
        <v>208</v>
      </c>
      <c r="F98" s="4">
        <f>Source!V75</f>
        <v>101.60625187499998</v>
      </c>
      <c r="G98" s="4" t="s">
        <v>165</v>
      </c>
      <c r="H98" s="4" t="s">
        <v>166</v>
      </c>
      <c r="I98" s="4"/>
      <c r="J98" s="4"/>
      <c r="K98" s="4">
        <v>208</v>
      </c>
      <c r="L98" s="4">
        <v>22</v>
      </c>
      <c r="M98" s="4">
        <v>3</v>
      </c>
      <c r="N98" s="4" t="s">
        <v>3</v>
      </c>
      <c r="O98" s="4">
        <v>-1</v>
      </c>
      <c r="P98" s="4"/>
      <c r="Q98" s="4"/>
      <c r="R98" s="4"/>
      <c r="S98" s="4"/>
      <c r="T98" s="4"/>
      <c r="U98" s="4"/>
      <c r="V98" s="4"/>
      <c r="W98" s="4">
        <v>101.606251875</v>
      </c>
      <c r="X98" s="4">
        <v>1</v>
      </c>
      <c r="Y98" s="4">
        <v>101.606251875</v>
      </c>
      <c r="Z98" s="4"/>
      <c r="AA98" s="4"/>
      <c r="AB98" s="4"/>
    </row>
    <row r="99" spans="1:28" x14ac:dyDescent="0.2">
      <c r="A99" s="4">
        <v>50</v>
      </c>
      <c r="B99" s="4">
        <v>0</v>
      </c>
      <c r="C99" s="4">
        <v>0</v>
      </c>
      <c r="D99" s="4">
        <v>1</v>
      </c>
      <c r="E99" s="4">
        <v>209</v>
      </c>
      <c r="F99" s="4">
        <f>ROUND(Source!W75,O99)</f>
        <v>0</v>
      </c>
      <c r="G99" s="4" t="s">
        <v>167</v>
      </c>
      <c r="H99" s="4" t="s">
        <v>168</v>
      </c>
      <c r="I99" s="4"/>
      <c r="J99" s="4"/>
      <c r="K99" s="4">
        <v>209</v>
      </c>
      <c r="L99" s="4">
        <v>23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>
        <v>0</v>
      </c>
      <c r="X99" s="4">
        <v>1</v>
      </c>
      <c r="Y99" s="4">
        <v>0</v>
      </c>
      <c r="Z99" s="4"/>
      <c r="AA99" s="4"/>
      <c r="AB99" s="4"/>
    </row>
    <row r="100" spans="1:28" x14ac:dyDescent="0.2">
      <c r="A100" s="4">
        <v>50</v>
      </c>
      <c r="B100" s="4">
        <v>0</v>
      </c>
      <c r="C100" s="4">
        <v>0</v>
      </c>
      <c r="D100" s="4">
        <v>1</v>
      </c>
      <c r="E100" s="4">
        <v>233</v>
      </c>
      <c r="F100" s="4">
        <f>ROUND(Source!BD75,O100)</f>
        <v>161010.15</v>
      </c>
      <c r="G100" s="4" t="s">
        <v>169</v>
      </c>
      <c r="H100" s="4" t="s">
        <v>170</v>
      </c>
      <c r="I100" s="4"/>
      <c r="J100" s="4"/>
      <c r="K100" s="4">
        <v>233</v>
      </c>
      <c r="L100" s="4">
        <v>24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>
        <v>161010.15</v>
      </c>
      <c r="X100" s="4">
        <v>1</v>
      </c>
      <c r="Y100" s="4">
        <v>161010.15</v>
      </c>
      <c r="Z100" s="4"/>
      <c r="AA100" s="4"/>
      <c r="AB100" s="4"/>
    </row>
    <row r="101" spans="1:28" x14ac:dyDescent="0.2">
      <c r="A101" s="4">
        <v>50</v>
      </c>
      <c r="B101" s="4">
        <v>0</v>
      </c>
      <c r="C101" s="4">
        <v>0</v>
      </c>
      <c r="D101" s="4">
        <v>1</v>
      </c>
      <c r="E101" s="4">
        <v>210</v>
      </c>
      <c r="F101" s="4">
        <f>ROUND(Source!X75,O101)</f>
        <v>258700.19</v>
      </c>
      <c r="G101" s="4" t="s">
        <v>171</v>
      </c>
      <c r="H101" s="4" t="s">
        <v>172</v>
      </c>
      <c r="I101" s="4"/>
      <c r="J101" s="4"/>
      <c r="K101" s="4">
        <v>210</v>
      </c>
      <c r="L101" s="4">
        <v>25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>
        <v>258700.19</v>
      </c>
      <c r="X101" s="4">
        <v>1</v>
      </c>
      <c r="Y101" s="4">
        <v>258700.19</v>
      </c>
      <c r="Z101" s="4"/>
      <c r="AA101" s="4"/>
      <c r="AB101" s="4"/>
    </row>
    <row r="102" spans="1:28" x14ac:dyDescent="0.2">
      <c r="A102" s="4">
        <v>50</v>
      </c>
      <c r="B102" s="4">
        <v>0</v>
      </c>
      <c r="C102" s="4">
        <v>0</v>
      </c>
      <c r="D102" s="4">
        <v>1</v>
      </c>
      <c r="E102" s="4">
        <v>211</v>
      </c>
      <c r="F102" s="4">
        <f>ROUND(Source!Y75,O102)</f>
        <v>201920.44</v>
      </c>
      <c r="G102" s="4" t="s">
        <v>173</v>
      </c>
      <c r="H102" s="4" t="s">
        <v>174</v>
      </c>
      <c r="I102" s="4"/>
      <c r="J102" s="4"/>
      <c r="K102" s="4">
        <v>211</v>
      </c>
      <c r="L102" s="4">
        <v>26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>
        <v>201920.44</v>
      </c>
      <c r="X102" s="4">
        <v>1</v>
      </c>
      <c r="Y102" s="4">
        <v>201920.44</v>
      </c>
      <c r="Z102" s="4"/>
      <c r="AA102" s="4"/>
      <c r="AB102" s="4"/>
    </row>
    <row r="103" spans="1:28" x14ac:dyDescent="0.2">
      <c r="A103" s="4">
        <v>50</v>
      </c>
      <c r="B103" s="4">
        <v>0</v>
      </c>
      <c r="C103" s="4">
        <v>0</v>
      </c>
      <c r="D103" s="4">
        <v>1</v>
      </c>
      <c r="E103" s="4">
        <v>224</v>
      </c>
      <c r="F103" s="4">
        <f>ROUND(Source!AR75,O103)</f>
        <v>3588705.27</v>
      </c>
      <c r="G103" s="4" t="s">
        <v>175</v>
      </c>
      <c r="H103" s="4" t="s">
        <v>176</v>
      </c>
      <c r="I103" s="4"/>
      <c r="J103" s="4"/>
      <c r="K103" s="4">
        <v>224</v>
      </c>
      <c r="L103" s="4">
        <v>27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>
        <v>3588705.27</v>
      </c>
      <c r="X103" s="4">
        <v>1</v>
      </c>
      <c r="Y103" s="4">
        <v>3588705.27</v>
      </c>
      <c r="Z103" s="4"/>
      <c r="AA103" s="4"/>
      <c r="AB103" s="4"/>
    </row>
    <row r="105" spans="1:28" x14ac:dyDescent="0.2">
      <c r="A105" s="5">
        <v>61</v>
      </c>
      <c r="B105" s="5"/>
      <c r="C105" s="5"/>
      <c r="D105" s="5"/>
      <c r="E105" s="5"/>
      <c r="F105" s="5">
        <v>1.2</v>
      </c>
      <c r="G105" s="5" t="s">
        <v>181</v>
      </c>
      <c r="H105" s="5" t="s">
        <v>182</v>
      </c>
    </row>
    <row r="106" spans="1:28" x14ac:dyDescent="0.2">
      <c r="A106" s="5">
        <v>61</v>
      </c>
      <c r="B106" s="5"/>
      <c r="C106" s="5"/>
      <c r="D106" s="5"/>
      <c r="E106" s="5"/>
      <c r="F106" s="5">
        <v>12</v>
      </c>
      <c r="G106" s="5" t="s">
        <v>183</v>
      </c>
      <c r="H106" s="5" t="s">
        <v>182</v>
      </c>
    </row>
    <row r="107" spans="1:28" x14ac:dyDescent="0.2">
      <c r="A107" s="5">
        <v>61</v>
      </c>
      <c r="B107" s="5"/>
      <c r="C107" s="5"/>
      <c r="D107" s="5"/>
      <c r="E107" s="5"/>
      <c r="F107" s="5">
        <v>0</v>
      </c>
      <c r="G107" s="5" t="s">
        <v>184</v>
      </c>
      <c r="H107" s="5" t="s">
        <v>182</v>
      </c>
    </row>
    <row r="110" spans="1:28" x14ac:dyDescent="0.2">
      <c r="A110">
        <v>70</v>
      </c>
      <c r="B110">
        <v>1</v>
      </c>
      <c r="D110">
        <v>1</v>
      </c>
      <c r="E110" t="s">
        <v>185</v>
      </c>
      <c r="F110" t="s">
        <v>186</v>
      </c>
      <c r="G110">
        <v>0</v>
      </c>
      <c r="H110">
        <v>0</v>
      </c>
      <c r="I110" t="s">
        <v>3</v>
      </c>
      <c r="J110">
        <v>1</v>
      </c>
      <c r="K110">
        <v>0</v>
      </c>
      <c r="L110" t="s">
        <v>3</v>
      </c>
      <c r="M110" t="s">
        <v>3</v>
      </c>
      <c r="N110">
        <v>0</v>
      </c>
      <c r="P110" t="s">
        <v>187</v>
      </c>
    </row>
    <row r="111" spans="1:28" x14ac:dyDescent="0.2">
      <c r="A111">
        <v>70</v>
      </c>
      <c r="B111">
        <v>1</v>
      </c>
      <c r="D111">
        <v>2</v>
      </c>
      <c r="E111" t="s">
        <v>188</v>
      </c>
      <c r="F111" t="s">
        <v>189</v>
      </c>
      <c r="G111">
        <v>0</v>
      </c>
      <c r="H111">
        <v>0</v>
      </c>
      <c r="I111" t="s">
        <v>3</v>
      </c>
      <c r="J111">
        <v>1</v>
      </c>
      <c r="K111">
        <v>0</v>
      </c>
      <c r="L111" t="s">
        <v>3</v>
      </c>
      <c r="M111" t="s">
        <v>3</v>
      </c>
      <c r="N111">
        <v>0</v>
      </c>
      <c r="P111" t="s">
        <v>190</v>
      </c>
    </row>
    <row r="112" spans="1:28" x14ac:dyDescent="0.2">
      <c r="A112">
        <v>70</v>
      </c>
      <c r="B112">
        <v>1</v>
      </c>
      <c r="D112">
        <v>3</v>
      </c>
      <c r="E112" t="s">
        <v>191</v>
      </c>
      <c r="F112" t="s">
        <v>192</v>
      </c>
      <c r="G112">
        <v>1</v>
      </c>
      <c r="H112">
        <v>0</v>
      </c>
      <c r="I112" t="s">
        <v>3</v>
      </c>
      <c r="J112">
        <v>1</v>
      </c>
      <c r="K112">
        <v>0</v>
      </c>
      <c r="L112" t="s">
        <v>3</v>
      </c>
      <c r="M112" t="s">
        <v>3</v>
      </c>
      <c r="N112">
        <v>0</v>
      </c>
      <c r="P112" t="s">
        <v>193</v>
      </c>
    </row>
    <row r="113" spans="1:16" x14ac:dyDescent="0.2">
      <c r="A113">
        <v>70</v>
      </c>
      <c r="B113">
        <v>1</v>
      </c>
      <c r="D113">
        <v>4</v>
      </c>
      <c r="E113" t="s">
        <v>194</v>
      </c>
      <c r="F113" t="s">
        <v>195</v>
      </c>
      <c r="G113">
        <v>1</v>
      </c>
      <c r="H113">
        <v>0</v>
      </c>
      <c r="I113" t="s">
        <v>3</v>
      </c>
      <c r="J113">
        <v>2</v>
      </c>
      <c r="K113">
        <v>0</v>
      </c>
      <c r="L113" t="s">
        <v>3</v>
      </c>
      <c r="M113" t="s">
        <v>3</v>
      </c>
      <c r="N113">
        <v>0</v>
      </c>
      <c r="P113" t="s">
        <v>3</v>
      </c>
    </row>
    <row r="114" spans="1:16" x14ac:dyDescent="0.2">
      <c r="A114">
        <v>70</v>
      </c>
      <c r="B114">
        <v>1</v>
      </c>
      <c r="D114">
        <v>5</v>
      </c>
      <c r="E114" t="s">
        <v>196</v>
      </c>
      <c r="F114" t="s">
        <v>197</v>
      </c>
      <c r="G114">
        <v>0</v>
      </c>
      <c r="H114">
        <v>0</v>
      </c>
      <c r="I114" t="s">
        <v>3</v>
      </c>
      <c r="J114">
        <v>2</v>
      </c>
      <c r="K114">
        <v>0</v>
      </c>
      <c r="L114" t="s">
        <v>3</v>
      </c>
      <c r="M114" t="s">
        <v>3</v>
      </c>
      <c r="N114">
        <v>0</v>
      </c>
      <c r="P114" t="s">
        <v>3</v>
      </c>
    </row>
    <row r="115" spans="1:16" x14ac:dyDescent="0.2">
      <c r="A115">
        <v>70</v>
      </c>
      <c r="B115">
        <v>1</v>
      </c>
      <c r="D115">
        <v>6</v>
      </c>
      <c r="E115" t="s">
        <v>198</v>
      </c>
      <c r="F115" t="s">
        <v>199</v>
      </c>
      <c r="G115">
        <v>0</v>
      </c>
      <c r="H115">
        <v>0</v>
      </c>
      <c r="I115" t="s">
        <v>3</v>
      </c>
      <c r="J115">
        <v>2</v>
      </c>
      <c r="K115">
        <v>0</v>
      </c>
      <c r="L115" t="s">
        <v>3</v>
      </c>
      <c r="M115" t="s">
        <v>3</v>
      </c>
      <c r="N115">
        <v>0</v>
      </c>
      <c r="P115" t="s">
        <v>3</v>
      </c>
    </row>
    <row r="116" spans="1:16" x14ac:dyDescent="0.2">
      <c r="A116">
        <v>70</v>
      </c>
      <c r="B116">
        <v>1</v>
      </c>
      <c r="D116">
        <v>7</v>
      </c>
      <c r="E116" t="s">
        <v>200</v>
      </c>
      <c r="F116" t="s">
        <v>201</v>
      </c>
      <c r="G116">
        <v>0</v>
      </c>
      <c r="H116">
        <v>0</v>
      </c>
      <c r="I116" t="s">
        <v>202</v>
      </c>
      <c r="J116">
        <v>0</v>
      </c>
      <c r="K116">
        <v>0</v>
      </c>
      <c r="L116" t="s">
        <v>3</v>
      </c>
      <c r="M116" t="s">
        <v>3</v>
      </c>
      <c r="N116">
        <v>0</v>
      </c>
      <c r="P116" t="s">
        <v>203</v>
      </c>
    </row>
    <row r="117" spans="1:16" x14ac:dyDescent="0.2">
      <c r="A117">
        <v>70</v>
      </c>
      <c r="B117">
        <v>1</v>
      </c>
      <c r="D117">
        <v>8</v>
      </c>
      <c r="E117" t="s">
        <v>204</v>
      </c>
      <c r="F117" t="s">
        <v>205</v>
      </c>
      <c r="G117">
        <v>1</v>
      </c>
      <c r="H117">
        <v>0</v>
      </c>
      <c r="I117" t="s">
        <v>3</v>
      </c>
      <c r="J117">
        <v>5</v>
      </c>
      <c r="K117">
        <v>0</v>
      </c>
      <c r="L117" t="s">
        <v>3</v>
      </c>
      <c r="M117" t="s">
        <v>3</v>
      </c>
      <c r="N117">
        <v>0</v>
      </c>
      <c r="P117" t="s">
        <v>3</v>
      </c>
    </row>
    <row r="118" spans="1:16" x14ac:dyDescent="0.2">
      <c r="A118">
        <v>70</v>
      </c>
      <c r="B118">
        <v>1</v>
      </c>
      <c r="D118">
        <v>9</v>
      </c>
      <c r="E118" t="s">
        <v>206</v>
      </c>
      <c r="F118" t="s">
        <v>207</v>
      </c>
      <c r="G118">
        <v>0</v>
      </c>
      <c r="H118">
        <v>0</v>
      </c>
      <c r="I118" t="s">
        <v>3</v>
      </c>
      <c r="J118">
        <v>5</v>
      </c>
      <c r="K118">
        <v>0</v>
      </c>
      <c r="L118" t="s">
        <v>3</v>
      </c>
      <c r="M118" t="s">
        <v>3</v>
      </c>
      <c r="N118">
        <v>0</v>
      </c>
      <c r="P118" t="s">
        <v>3</v>
      </c>
    </row>
    <row r="119" spans="1:16" x14ac:dyDescent="0.2">
      <c r="A119">
        <v>70</v>
      </c>
      <c r="B119">
        <v>1</v>
      </c>
      <c r="D119">
        <v>10</v>
      </c>
      <c r="E119" t="s">
        <v>208</v>
      </c>
      <c r="F119" t="s">
        <v>209</v>
      </c>
      <c r="G119">
        <v>0</v>
      </c>
      <c r="H119">
        <v>0</v>
      </c>
      <c r="I119" t="s">
        <v>210</v>
      </c>
      <c r="J119">
        <v>5</v>
      </c>
      <c r="K119">
        <v>0</v>
      </c>
      <c r="L119" t="s">
        <v>3</v>
      </c>
      <c r="M119" t="s">
        <v>3</v>
      </c>
      <c r="N119">
        <v>0</v>
      </c>
      <c r="P119" t="s">
        <v>211</v>
      </c>
    </row>
    <row r="120" spans="1:16" x14ac:dyDescent="0.2">
      <c r="A120">
        <v>70</v>
      </c>
      <c r="B120">
        <v>1</v>
      </c>
      <c r="D120">
        <v>11</v>
      </c>
      <c r="E120" t="s">
        <v>212</v>
      </c>
      <c r="F120" t="s">
        <v>213</v>
      </c>
      <c r="G120">
        <v>0</v>
      </c>
      <c r="H120">
        <v>0</v>
      </c>
      <c r="I120" t="s">
        <v>214</v>
      </c>
      <c r="J120">
        <v>0</v>
      </c>
      <c r="K120">
        <v>0</v>
      </c>
      <c r="L120" t="s">
        <v>3</v>
      </c>
      <c r="M120" t="s">
        <v>3</v>
      </c>
      <c r="N120">
        <v>0</v>
      </c>
      <c r="P120" t="s">
        <v>215</v>
      </c>
    </row>
    <row r="121" spans="1:16" x14ac:dyDescent="0.2">
      <c r="A121">
        <v>70</v>
      </c>
      <c r="B121">
        <v>1</v>
      </c>
      <c r="D121">
        <v>12</v>
      </c>
      <c r="E121" t="s">
        <v>216</v>
      </c>
      <c r="F121" t="s">
        <v>217</v>
      </c>
      <c r="G121">
        <v>0</v>
      </c>
      <c r="H121">
        <v>0</v>
      </c>
      <c r="I121" t="s">
        <v>218</v>
      </c>
      <c r="J121">
        <v>0</v>
      </c>
      <c r="K121">
        <v>0</v>
      </c>
      <c r="L121" t="s">
        <v>3</v>
      </c>
      <c r="M121" t="s">
        <v>3</v>
      </c>
      <c r="N121">
        <v>0</v>
      </c>
      <c r="P121" t="s">
        <v>219</v>
      </c>
    </row>
    <row r="122" spans="1:16" x14ac:dyDescent="0.2">
      <c r="A122">
        <v>70</v>
      </c>
      <c r="B122">
        <v>1</v>
      </c>
      <c r="D122">
        <v>13</v>
      </c>
      <c r="E122" t="s">
        <v>220</v>
      </c>
      <c r="F122" t="s">
        <v>221</v>
      </c>
      <c r="G122">
        <v>0</v>
      </c>
      <c r="H122">
        <v>0</v>
      </c>
      <c r="I122" t="s">
        <v>222</v>
      </c>
      <c r="J122">
        <v>0</v>
      </c>
      <c r="K122">
        <v>0</v>
      </c>
      <c r="L122" t="s">
        <v>3</v>
      </c>
      <c r="M122" t="s">
        <v>3</v>
      </c>
      <c r="N122">
        <v>0</v>
      </c>
      <c r="P122" t="s">
        <v>223</v>
      </c>
    </row>
    <row r="123" spans="1:16" x14ac:dyDescent="0.2">
      <c r="A123">
        <v>70</v>
      </c>
      <c r="B123">
        <v>1</v>
      </c>
      <c r="D123">
        <v>14</v>
      </c>
      <c r="E123" t="s">
        <v>224</v>
      </c>
      <c r="F123" t="s">
        <v>225</v>
      </c>
      <c r="G123">
        <v>0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  <c r="P123" t="s">
        <v>226</v>
      </c>
    </row>
    <row r="124" spans="1:16" x14ac:dyDescent="0.2">
      <c r="A124">
        <v>70</v>
      </c>
      <c r="B124">
        <v>1</v>
      </c>
      <c r="D124">
        <v>15</v>
      </c>
      <c r="E124" t="s">
        <v>227</v>
      </c>
      <c r="F124" t="s">
        <v>228</v>
      </c>
      <c r="G124">
        <v>0</v>
      </c>
      <c r="H124">
        <v>0</v>
      </c>
      <c r="I124" t="s">
        <v>3</v>
      </c>
      <c r="J124">
        <v>3</v>
      </c>
      <c r="K124">
        <v>0</v>
      </c>
      <c r="L124" t="s">
        <v>3</v>
      </c>
      <c r="M124" t="s">
        <v>3</v>
      </c>
      <c r="N124">
        <v>0</v>
      </c>
      <c r="P124" t="s">
        <v>3</v>
      </c>
    </row>
    <row r="125" spans="1:16" x14ac:dyDescent="0.2">
      <c r="A125">
        <v>70</v>
      </c>
      <c r="B125">
        <v>1</v>
      </c>
      <c r="D125">
        <v>16</v>
      </c>
      <c r="E125" t="s">
        <v>229</v>
      </c>
      <c r="F125" t="s">
        <v>230</v>
      </c>
      <c r="G125">
        <v>1</v>
      </c>
      <c r="H125">
        <v>0</v>
      </c>
      <c r="I125" t="s">
        <v>3</v>
      </c>
      <c r="J125">
        <v>3</v>
      </c>
      <c r="K125">
        <v>0</v>
      </c>
      <c r="L125" t="s">
        <v>3</v>
      </c>
      <c r="M125" t="s">
        <v>3</v>
      </c>
      <c r="N125">
        <v>0</v>
      </c>
      <c r="P125" t="s">
        <v>3</v>
      </c>
    </row>
    <row r="126" spans="1:16" x14ac:dyDescent="0.2">
      <c r="A126">
        <v>70</v>
      </c>
      <c r="B126">
        <v>1</v>
      </c>
      <c r="D126">
        <v>1</v>
      </c>
      <c r="E126" t="s">
        <v>231</v>
      </c>
      <c r="F126" t="s">
        <v>232</v>
      </c>
      <c r="G126">
        <v>0.9</v>
      </c>
      <c r="H126">
        <v>1</v>
      </c>
      <c r="I126" t="s">
        <v>233</v>
      </c>
      <c r="J126">
        <v>0</v>
      </c>
      <c r="K126">
        <v>0</v>
      </c>
      <c r="L126" t="s">
        <v>3</v>
      </c>
      <c r="M126" t="s">
        <v>3</v>
      </c>
      <c r="N126">
        <v>0</v>
      </c>
      <c r="P126" t="s">
        <v>234</v>
      </c>
    </row>
    <row r="127" spans="1:16" x14ac:dyDescent="0.2">
      <c r="A127">
        <v>70</v>
      </c>
      <c r="B127">
        <v>1</v>
      </c>
      <c r="D127">
        <v>2</v>
      </c>
      <c r="E127" t="s">
        <v>235</v>
      </c>
      <c r="F127" t="s">
        <v>236</v>
      </c>
      <c r="G127">
        <v>0.85</v>
      </c>
      <c r="H127">
        <v>1</v>
      </c>
      <c r="I127" t="s">
        <v>237</v>
      </c>
      <c r="J127">
        <v>0</v>
      </c>
      <c r="K127">
        <v>0</v>
      </c>
      <c r="L127" t="s">
        <v>3</v>
      </c>
      <c r="M127" t="s">
        <v>3</v>
      </c>
      <c r="N127">
        <v>0</v>
      </c>
      <c r="P127" t="s">
        <v>238</v>
      </c>
    </row>
    <row r="128" spans="1:16" x14ac:dyDescent="0.2">
      <c r="A128">
        <v>70</v>
      </c>
      <c r="B128">
        <v>1</v>
      </c>
      <c r="D128">
        <v>3</v>
      </c>
      <c r="E128" t="s">
        <v>239</v>
      </c>
      <c r="F128" t="s">
        <v>240</v>
      </c>
      <c r="G128">
        <v>1.03</v>
      </c>
      <c r="H128">
        <v>0</v>
      </c>
      <c r="I128" t="s">
        <v>3</v>
      </c>
      <c r="J128">
        <v>0</v>
      </c>
      <c r="K128">
        <v>0</v>
      </c>
      <c r="L128" t="s">
        <v>3</v>
      </c>
      <c r="M128" t="s">
        <v>3</v>
      </c>
      <c r="N128">
        <v>0</v>
      </c>
      <c r="P128" t="s">
        <v>241</v>
      </c>
    </row>
    <row r="129" spans="1:40" x14ac:dyDescent="0.2">
      <c r="A129">
        <v>70</v>
      </c>
      <c r="B129">
        <v>1</v>
      </c>
      <c r="D129">
        <v>4</v>
      </c>
      <c r="E129" t="s">
        <v>242</v>
      </c>
      <c r="F129" t="s">
        <v>243</v>
      </c>
      <c r="G129">
        <v>1.1499999999999999</v>
      </c>
      <c r="H129">
        <v>0</v>
      </c>
      <c r="I129" t="s">
        <v>3</v>
      </c>
      <c r="J129">
        <v>0</v>
      </c>
      <c r="K129">
        <v>0</v>
      </c>
      <c r="L129" t="s">
        <v>3</v>
      </c>
      <c r="M129" t="s">
        <v>3</v>
      </c>
      <c r="N129">
        <v>0</v>
      </c>
      <c r="P129" t="s">
        <v>244</v>
      </c>
    </row>
    <row r="130" spans="1:40" x14ac:dyDescent="0.2">
      <c r="A130">
        <v>70</v>
      </c>
      <c r="B130">
        <v>1</v>
      </c>
      <c r="D130">
        <v>5</v>
      </c>
      <c r="E130" t="s">
        <v>245</v>
      </c>
      <c r="F130" t="s">
        <v>246</v>
      </c>
      <c r="G130">
        <v>7</v>
      </c>
      <c r="H130">
        <v>0</v>
      </c>
      <c r="I130" t="s">
        <v>3</v>
      </c>
      <c r="J130">
        <v>0</v>
      </c>
      <c r="K130">
        <v>0</v>
      </c>
      <c r="L130" t="s">
        <v>3</v>
      </c>
      <c r="M130" t="s">
        <v>3</v>
      </c>
      <c r="N130">
        <v>0</v>
      </c>
      <c r="P130" t="s">
        <v>3</v>
      </c>
    </row>
    <row r="131" spans="1:40" x14ac:dyDescent="0.2">
      <c r="A131">
        <v>70</v>
      </c>
      <c r="B131">
        <v>1</v>
      </c>
      <c r="D131">
        <v>6</v>
      </c>
      <c r="E131" t="s">
        <v>247</v>
      </c>
      <c r="F131" t="s">
        <v>3</v>
      </c>
      <c r="G131">
        <v>2</v>
      </c>
      <c r="H131">
        <v>0</v>
      </c>
      <c r="I131" t="s">
        <v>3</v>
      </c>
      <c r="J131">
        <v>0</v>
      </c>
      <c r="K131">
        <v>0</v>
      </c>
      <c r="L131" t="s">
        <v>3</v>
      </c>
      <c r="M131" t="s">
        <v>3</v>
      </c>
      <c r="N131">
        <v>0</v>
      </c>
      <c r="P131" t="s">
        <v>3</v>
      </c>
    </row>
    <row r="133" spans="1:40" x14ac:dyDescent="0.2">
      <c r="A133">
        <v>-1</v>
      </c>
    </row>
    <row r="135" spans="1:40" x14ac:dyDescent="0.2">
      <c r="A135" s="3">
        <v>75</v>
      </c>
      <c r="B135" s="3" t="s">
        <v>248</v>
      </c>
      <c r="C135" s="3">
        <v>2024</v>
      </c>
      <c r="D135" s="3">
        <v>3</v>
      </c>
      <c r="E135" s="3">
        <v>0</v>
      </c>
      <c r="F135" s="3">
        <v>0</v>
      </c>
      <c r="G135" s="3">
        <v>0</v>
      </c>
      <c r="H135" s="3">
        <v>1</v>
      </c>
      <c r="I135" s="3">
        <v>0</v>
      </c>
      <c r="J135" s="3">
        <v>3</v>
      </c>
      <c r="K135" s="3">
        <v>0</v>
      </c>
      <c r="L135" s="3">
        <v>0</v>
      </c>
      <c r="M135" s="3">
        <v>0</v>
      </c>
      <c r="N135" s="3">
        <v>146929938</v>
      </c>
      <c r="O135" s="3">
        <v>1</v>
      </c>
    </row>
    <row r="136" spans="1:40" x14ac:dyDescent="0.2">
      <c r="A136" s="6">
        <v>3</v>
      </c>
      <c r="B136" s="6" t="s">
        <v>249</v>
      </c>
      <c r="C136" s="6">
        <v>13.47</v>
      </c>
      <c r="D136" s="6">
        <v>9.0500000000000007</v>
      </c>
      <c r="E136" s="6">
        <v>12.65</v>
      </c>
      <c r="F136" s="6">
        <v>34.1</v>
      </c>
      <c r="G136" s="6">
        <v>34.1</v>
      </c>
      <c r="H136" s="6">
        <v>1</v>
      </c>
      <c r="I136" s="6">
        <v>1</v>
      </c>
      <c r="J136" s="6">
        <v>2</v>
      </c>
      <c r="K136" s="6">
        <v>34.1</v>
      </c>
      <c r="L136" s="6">
        <v>13.47</v>
      </c>
      <c r="M136" s="6">
        <v>13.47</v>
      </c>
      <c r="N136" s="6">
        <v>9.0500000000000007</v>
      </c>
      <c r="O136" s="6">
        <v>1</v>
      </c>
      <c r="P136" s="6">
        <v>1</v>
      </c>
      <c r="Q136" s="6">
        <v>34.1</v>
      </c>
      <c r="R136" s="6">
        <v>13.47</v>
      </c>
      <c r="S136" s="6" t="s">
        <v>3</v>
      </c>
      <c r="T136" s="6" t="s">
        <v>3</v>
      </c>
      <c r="U136" s="6" t="s">
        <v>3</v>
      </c>
      <c r="V136" s="6" t="s">
        <v>3</v>
      </c>
      <c r="W136" s="6" t="s">
        <v>3</v>
      </c>
      <c r="X136" s="6" t="s">
        <v>3</v>
      </c>
      <c r="Y136" s="6" t="s">
        <v>3</v>
      </c>
      <c r="Z136" s="6" t="s">
        <v>3</v>
      </c>
      <c r="AA136" s="6" t="s">
        <v>3</v>
      </c>
      <c r="AB136" s="6" t="s">
        <v>3</v>
      </c>
      <c r="AC136" s="6" t="s">
        <v>3</v>
      </c>
      <c r="AD136" s="6" t="s">
        <v>3</v>
      </c>
      <c r="AE136" s="6" t="s">
        <v>3</v>
      </c>
      <c r="AF136" s="6" t="s">
        <v>3</v>
      </c>
      <c r="AG136" s="6" t="s">
        <v>3</v>
      </c>
      <c r="AH136" s="6" t="s">
        <v>3</v>
      </c>
      <c r="AI136" s="6"/>
      <c r="AJ136" s="6"/>
      <c r="AK136" s="6"/>
      <c r="AL136" s="6"/>
      <c r="AM136" s="6"/>
      <c r="AN136" s="6">
        <v>146929939</v>
      </c>
    </row>
    <row r="140" spans="1:40" x14ac:dyDescent="0.2">
      <c r="A140">
        <v>65</v>
      </c>
      <c r="C140">
        <v>1</v>
      </c>
      <c r="D140">
        <v>0</v>
      </c>
      <c r="E140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250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0</v>
      </c>
      <c r="L1">
        <v>31883</v>
      </c>
      <c r="M1">
        <v>18266318</v>
      </c>
      <c r="N1">
        <v>11</v>
      </c>
      <c r="O1">
        <v>6</v>
      </c>
      <c r="P1">
        <v>5</v>
      </c>
      <c r="Q1">
        <v>6</v>
      </c>
    </row>
    <row r="12" spans="1:133" x14ac:dyDescent="0.2">
      <c r="A12" s="1">
        <v>1</v>
      </c>
      <c r="B12" s="1">
        <v>51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6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7</v>
      </c>
      <c r="BI12" s="1" t="s">
        <v>8</v>
      </c>
      <c r="BJ12" s="1">
        <v>0</v>
      </c>
      <c r="BK12" s="1">
        <v>0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9</v>
      </c>
      <c r="BZ12" s="1" t="s">
        <v>10</v>
      </c>
      <c r="CA12" s="1" t="s">
        <v>11</v>
      </c>
      <c r="CB12" s="1" t="s">
        <v>11</v>
      </c>
      <c r="CC12" s="1" t="s">
        <v>11</v>
      </c>
      <c r="CD12" s="1" t="s">
        <v>11</v>
      </c>
      <c r="CE12" s="1" t="s">
        <v>12</v>
      </c>
      <c r="CF12" s="1">
        <v>0</v>
      </c>
      <c r="CG12" s="1">
        <v>0</v>
      </c>
      <c r="CH12" s="1">
        <v>17301512</v>
      </c>
      <c r="CI12" s="1" t="s">
        <v>3</v>
      </c>
      <c r="CJ12" s="1" t="s">
        <v>3</v>
      </c>
      <c r="CK12" s="1">
        <v>9</v>
      </c>
      <c r="CL12" s="1"/>
      <c r="CM12" s="1"/>
      <c r="CN12" s="1"/>
      <c r="CO12" s="1"/>
      <c r="CP12" s="1"/>
      <c r="CQ12" s="1" t="s">
        <v>357</v>
      </c>
      <c r="CR12" s="1" t="s">
        <v>13</v>
      </c>
      <c r="CS12" s="1">
        <v>44551</v>
      </c>
      <c r="CT12" s="1">
        <v>395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1</v>
      </c>
      <c r="C14" s="1">
        <v>0</v>
      </c>
      <c r="D14" s="1">
        <v>146929938</v>
      </c>
      <c r="E14" s="1">
        <v>0</v>
      </c>
      <c r="F14" s="1">
        <v>2</v>
      </c>
      <c r="G14" s="1">
        <v>1</v>
      </c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7">
        <v>3</v>
      </c>
      <c r="B16" s="7">
        <v>0</v>
      </c>
      <c r="C16" s="7" t="s">
        <v>14</v>
      </c>
      <c r="D16" s="7" t="s">
        <v>14</v>
      </c>
      <c r="E16" s="8">
        <f>ROUND((Source!F60)/1000,2)</f>
        <v>3588.71</v>
      </c>
      <c r="F16" s="8">
        <f>ROUND((Source!F61)/1000,2)</f>
        <v>0</v>
      </c>
      <c r="G16" s="8">
        <f>ROUND((Source!F52)/1000,2)</f>
        <v>0</v>
      </c>
      <c r="H16" s="8">
        <f>ROUND((Source!F62)/1000+(Source!F63)/1000,2)</f>
        <v>0</v>
      </c>
      <c r="I16" s="8">
        <f>E16+F16+G16+H16</f>
        <v>3588.71</v>
      </c>
      <c r="J16" s="8">
        <f>ROUND((Source!F58+Source!F57)/1000,2)</f>
        <v>178.46</v>
      </c>
      <c r="AI16" s="7">
        <v>0</v>
      </c>
      <c r="AJ16" s="7">
        <v>0</v>
      </c>
      <c r="AK16" s="7" t="s">
        <v>3</v>
      </c>
      <c r="AL16" s="7" t="s">
        <v>3</v>
      </c>
      <c r="AM16" s="7" t="s">
        <v>3</v>
      </c>
      <c r="AN16" s="7">
        <v>0</v>
      </c>
      <c r="AO16" s="7" t="s">
        <v>3</v>
      </c>
      <c r="AP16" s="7" t="s">
        <v>3</v>
      </c>
      <c r="AT16" s="8">
        <v>2967074.49</v>
      </c>
      <c r="AU16" s="8">
        <v>2498316.7999999998</v>
      </c>
      <c r="AV16" s="8">
        <v>0</v>
      </c>
      <c r="AW16" s="8">
        <v>0</v>
      </c>
      <c r="AX16" s="8">
        <v>0</v>
      </c>
      <c r="AY16" s="8">
        <v>331946.09000000003</v>
      </c>
      <c r="AZ16" s="8">
        <v>41644.18</v>
      </c>
      <c r="BA16" s="8">
        <v>136811.6</v>
      </c>
      <c r="BB16" s="8">
        <v>3588705.27</v>
      </c>
      <c r="BC16" s="8">
        <v>0</v>
      </c>
      <c r="BD16" s="8">
        <v>0</v>
      </c>
      <c r="BE16" s="8">
        <v>0</v>
      </c>
      <c r="BF16" s="8">
        <v>472.42890973999999</v>
      </c>
      <c r="BG16" s="8">
        <v>101.606251875</v>
      </c>
      <c r="BH16" s="8">
        <v>0</v>
      </c>
      <c r="BI16" s="8">
        <v>258700.19</v>
      </c>
      <c r="BJ16" s="8">
        <v>201920.44</v>
      </c>
      <c r="BK16" s="8">
        <v>3588705.27</v>
      </c>
    </row>
    <row r="18" spans="1:19" x14ac:dyDescent="0.2">
      <c r="A18">
        <v>51</v>
      </c>
      <c r="E18" s="5">
        <f>SUMIF(A16:A17,3,E16:E17)</f>
        <v>3588.71</v>
      </c>
      <c r="F18" s="5">
        <f>SUMIF(A16:A17,3,F16:F17)</f>
        <v>0</v>
      </c>
      <c r="G18" s="5">
        <f>SUMIF(A16:A17,3,G16:G17)</f>
        <v>0</v>
      </c>
      <c r="H18" s="5">
        <f>SUMIF(A16:A17,3,H16:H17)</f>
        <v>0</v>
      </c>
      <c r="I18" s="5">
        <f>SUMIF(A16:A17,3,I16:I17)</f>
        <v>3588.71</v>
      </c>
      <c r="J18" s="5">
        <f>SUMIF(A16:A17,3,J16:J17)</f>
        <v>178.46</v>
      </c>
      <c r="K18" s="5"/>
      <c r="L18" s="5"/>
      <c r="M18" s="5"/>
      <c r="N18" s="5"/>
      <c r="O18" s="5"/>
      <c r="P18" s="5"/>
      <c r="Q18" s="5"/>
      <c r="R18" s="5"/>
      <c r="S18" s="5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2967074.49</v>
      </c>
      <c r="G20" s="4" t="s">
        <v>123</v>
      </c>
      <c r="H20" s="4" t="s">
        <v>124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2498316.7999999998</v>
      </c>
      <c r="G21" s="4" t="s">
        <v>125</v>
      </c>
      <c r="H21" s="4" t="s">
        <v>126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127</v>
      </c>
      <c r="H22" s="4" t="s">
        <v>128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2498316.7999999998</v>
      </c>
      <c r="G23" s="4" t="s">
        <v>129</v>
      </c>
      <c r="H23" s="4" t="s">
        <v>130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2498316.7999999998</v>
      </c>
      <c r="G24" s="4" t="s">
        <v>131</v>
      </c>
      <c r="H24" s="4" t="s">
        <v>132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133</v>
      </c>
      <c r="H25" s="4" t="s">
        <v>134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2498316.7999999998</v>
      </c>
      <c r="G26" s="4" t="s">
        <v>135</v>
      </c>
      <c r="H26" s="4" t="s">
        <v>136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137</v>
      </c>
      <c r="H27" s="4" t="s">
        <v>138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139</v>
      </c>
      <c r="H28" s="4" t="s">
        <v>140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141</v>
      </c>
      <c r="H29" s="4" t="s">
        <v>142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331946.09000000003</v>
      </c>
      <c r="G30" s="4" t="s">
        <v>143</v>
      </c>
      <c r="H30" s="4" t="s">
        <v>144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145</v>
      </c>
      <c r="H31" s="4" t="s">
        <v>146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41644.18</v>
      </c>
      <c r="G32" s="4" t="s">
        <v>147</v>
      </c>
      <c r="H32" s="4" t="s">
        <v>148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136811.6</v>
      </c>
      <c r="G33" s="4" t="s">
        <v>149</v>
      </c>
      <c r="H33" s="4" t="s">
        <v>150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151</v>
      </c>
      <c r="H34" s="4" t="s">
        <v>152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3588705.27</v>
      </c>
      <c r="G35" s="4" t="s">
        <v>153</v>
      </c>
      <c r="H35" s="4" t="s">
        <v>154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155</v>
      </c>
      <c r="H36" s="4" t="s">
        <v>156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157</v>
      </c>
      <c r="H37" s="4" t="s">
        <v>158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159</v>
      </c>
      <c r="H38" s="4" t="s">
        <v>160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161</v>
      </c>
      <c r="H39" s="4" t="s">
        <v>162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472.42890973999999</v>
      </c>
      <c r="G40" s="4" t="s">
        <v>163</v>
      </c>
      <c r="H40" s="4" t="s">
        <v>164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101.606251875</v>
      </c>
      <c r="G41" s="4" t="s">
        <v>165</v>
      </c>
      <c r="H41" s="4" t="s">
        <v>166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167</v>
      </c>
      <c r="H42" s="4" t="s">
        <v>168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161010.15</v>
      </c>
      <c r="G43" s="4" t="s">
        <v>169</v>
      </c>
      <c r="H43" s="4" t="s">
        <v>170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258700.19</v>
      </c>
      <c r="G44" s="4" t="s">
        <v>171</v>
      </c>
      <c r="H44" s="4" t="s">
        <v>172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201920.44</v>
      </c>
      <c r="G45" s="4" t="s">
        <v>173</v>
      </c>
      <c r="H45" s="4" t="s">
        <v>174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3588705.27</v>
      </c>
      <c r="G46" s="4" t="s">
        <v>175</v>
      </c>
      <c r="H46" s="4" t="s">
        <v>176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8" spans="1:16" x14ac:dyDescent="0.2">
      <c r="A48">
        <v>-1</v>
      </c>
    </row>
    <row r="51" spans="1:40" x14ac:dyDescent="0.2">
      <c r="A51" s="3">
        <v>75</v>
      </c>
      <c r="B51" s="3" t="s">
        <v>248</v>
      </c>
      <c r="C51" s="3">
        <v>2024</v>
      </c>
      <c r="D51" s="3">
        <v>3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146929938</v>
      </c>
      <c r="O51" s="3">
        <v>1</v>
      </c>
    </row>
    <row r="52" spans="1:40" x14ac:dyDescent="0.2">
      <c r="A52" s="6">
        <v>3</v>
      </c>
      <c r="B52" s="6" t="s">
        <v>249</v>
      </c>
      <c r="C52" s="6">
        <v>13.47</v>
      </c>
      <c r="D52" s="6">
        <v>9.0500000000000007</v>
      </c>
      <c r="E52" s="6">
        <v>12.65</v>
      </c>
      <c r="F52" s="6">
        <v>34.1</v>
      </c>
      <c r="G52" s="6">
        <v>34.1</v>
      </c>
      <c r="H52" s="6">
        <v>1</v>
      </c>
      <c r="I52" s="6">
        <v>1</v>
      </c>
      <c r="J52" s="6">
        <v>2</v>
      </c>
      <c r="K52" s="6">
        <v>34.1</v>
      </c>
      <c r="L52" s="6">
        <v>13.47</v>
      </c>
      <c r="M52" s="6">
        <v>13.47</v>
      </c>
      <c r="N52" s="6">
        <v>9.0500000000000007</v>
      </c>
      <c r="O52" s="6">
        <v>1</v>
      </c>
      <c r="P52" s="6">
        <v>1</v>
      </c>
      <c r="Q52" s="6">
        <v>34.1</v>
      </c>
      <c r="R52" s="6">
        <v>13.47</v>
      </c>
      <c r="S52" s="6" t="s">
        <v>3</v>
      </c>
      <c r="T52" s="6" t="s">
        <v>3</v>
      </c>
      <c r="U52" s="6" t="s">
        <v>3</v>
      </c>
      <c r="V52" s="6" t="s">
        <v>3</v>
      </c>
      <c r="W52" s="6" t="s">
        <v>3</v>
      </c>
      <c r="X52" s="6" t="s">
        <v>3</v>
      </c>
      <c r="Y52" s="6" t="s">
        <v>3</v>
      </c>
      <c r="Z52" s="6" t="s">
        <v>3</v>
      </c>
      <c r="AA52" s="6" t="s">
        <v>3</v>
      </c>
      <c r="AB52" s="6" t="s">
        <v>3</v>
      </c>
      <c r="AC52" s="6" t="s">
        <v>3</v>
      </c>
      <c r="AD52" s="6" t="s">
        <v>3</v>
      </c>
      <c r="AE52" s="6" t="s">
        <v>3</v>
      </c>
      <c r="AF52" s="6" t="s">
        <v>3</v>
      </c>
      <c r="AG52" s="6" t="s">
        <v>3</v>
      </c>
      <c r="AH52" s="6" t="s">
        <v>3</v>
      </c>
      <c r="AI52" s="6"/>
      <c r="AJ52" s="6"/>
      <c r="AK52" s="6"/>
      <c r="AL52" s="6"/>
      <c r="AM52" s="6"/>
      <c r="AN52" s="6">
        <v>146929939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19" x14ac:dyDescent="0.2">
      <c r="A1">
        <f>ROW(Source!A24)</f>
        <v>24</v>
      </c>
      <c r="B1">
        <v>146929938</v>
      </c>
      <c r="C1">
        <v>146930002</v>
      </c>
      <c r="D1">
        <v>134450504</v>
      </c>
      <c r="E1">
        <v>56</v>
      </c>
      <c r="F1">
        <v>1</v>
      </c>
      <c r="G1">
        <v>1</v>
      </c>
      <c r="H1">
        <v>1</v>
      </c>
      <c r="I1" t="s">
        <v>251</v>
      </c>
      <c r="J1" t="s">
        <v>3</v>
      </c>
      <c r="K1" t="s">
        <v>252</v>
      </c>
      <c r="L1">
        <v>1191</v>
      </c>
      <c r="N1">
        <v>1013</v>
      </c>
      <c r="O1" t="s">
        <v>253</v>
      </c>
      <c r="P1" t="s">
        <v>253</v>
      </c>
      <c r="Q1">
        <v>1</v>
      </c>
      <c r="W1">
        <v>0</v>
      </c>
      <c r="X1">
        <v>1983201532</v>
      </c>
      <c r="Y1">
        <f t="shared" ref="Y1:Y6" si="0">(AT1*1.15)</f>
        <v>0.47149999999999992</v>
      </c>
      <c r="AA1">
        <v>0</v>
      </c>
      <c r="AB1">
        <v>0</v>
      </c>
      <c r="AC1">
        <v>0</v>
      </c>
      <c r="AD1">
        <v>324.29000000000002</v>
      </c>
      <c r="AE1">
        <v>0</v>
      </c>
      <c r="AF1">
        <v>0</v>
      </c>
      <c r="AG1">
        <v>0</v>
      </c>
      <c r="AH1">
        <v>9.51</v>
      </c>
      <c r="AI1">
        <v>1</v>
      </c>
      <c r="AJ1">
        <v>1</v>
      </c>
      <c r="AK1">
        <v>1</v>
      </c>
      <c r="AL1">
        <v>34.1</v>
      </c>
      <c r="AM1">
        <v>4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0.41</v>
      </c>
      <c r="AU1" t="s">
        <v>19</v>
      </c>
      <c r="AV1">
        <v>1</v>
      </c>
      <c r="AW1">
        <v>2</v>
      </c>
      <c r="AX1">
        <v>146930010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ROUND(Y1*Source!I24,9)</f>
        <v>4.4273850000000001</v>
      </c>
      <c r="CY1">
        <f>AD1</f>
        <v>324.29000000000002</v>
      </c>
      <c r="CZ1">
        <f>AH1</f>
        <v>9.51</v>
      </c>
      <c r="DA1">
        <f>AL1</f>
        <v>34.1</v>
      </c>
      <c r="DB1">
        <f t="shared" ref="DB1:DB6" si="1">ROUND((ROUND(AT1*CZ1,2)*1.15),2)</f>
        <v>4.49</v>
      </c>
      <c r="DC1">
        <f t="shared" ref="DC1:DC6" si="2">ROUND((ROUND(AT1*AG1,2)*1.15),2)</f>
        <v>0</v>
      </c>
      <c r="DD1" t="s">
        <v>3</v>
      </c>
      <c r="DE1" t="s">
        <v>3</v>
      </c>
      <c r="DF1">
        <f t="shared" ref="DF1:DF6" si="3">ROUND(ROUND(AE1,2)*CX1,2)</f>
        <v>0</v>
      </c>
      <c r="DG1">
        <f>ROUND(ROUND(AF1,2)*CX1,2)</f>
        <v>0</v>
      </c>
      <c r="DH1">
        <f>ROUND(ROUND(AG1,2)*CX1,2)</f>
        <v>0</v>
      </c>
      <c r="DI1">
        <f>ROUND(ROUND(AH1*AL1,2)*CX1,2)</f>
        <v>1435.76</v>
      </c>
      <c r="DJ1">
        <f>DI1</f>
        <v>1435.76</v>
      </c>
      <c r="DK1">
        <v>0</v>
      </c>
      <c r="DL1" t="s">
        <v>3</v>
      </c>
      <c r="DM1">
        <v>0</v>
      </c>
      <c r="DN1" t="s">
        <v>3</v>
      </c>
      <c r="DO1">
        <v>0</v>
      </c>
    </row>
    <row r="2" spans="1:119" x14ac:dyDescent="0.2">
      <c r="A2">
        <f>ROW(Source!A24)</f>
        <v>24</v>
      </c>
      <c r="B2">
        <v>146929938</v>
      </c>
      <c r="C2">
        <v>146930002</v>
      </c>
      <c r="D2">
        <v>134450693</v>
      </c>
      <c r="E2">
        <v>56</v>
      </c>
      <c r="F2">
        <v>1</v>
      </c>
      <c r="G2">
        <v>1</v>
      </c>
      <c r="H2">
        <v>1</v>
      </c>
      <c r="I2" t="s">
        <v>254</v>
      </c>
      <c r="J2" t="s">
        <v>3</v>
      </c>
      <c r="K2" t="s">
        <v>255</v>
      </c>
      <c r="L2">
        <v>1191</v>
      </c>
      <c r="N2">
        <v>1013</v>
      </c>
      <c r="O2" t="s">
        <v>253</v>
      </c>
      <c r="P2" t="s">
        <v>253</v>
      </c>
      <c r="Q2">
        <v>1</v>
      </c>
      <c r="W2">
        <v>0</v>
      </c>
      <c r="X2">
        <v>-1417349443</v>
      </c>
      <c r="Y2">
        <f t="shared" si="0"/>
        <v>0.72449999999999992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34.1</v>
      </c>
      <c r="AL2">
        <v>1</v>
      </c>
      <c r="AM2">
        <v>4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0.63</v>
      </c>
      <c r="AU2" t="s">
        <v>19</v>
      </c>
      <c r="AV2">
        <v>2</v>
      </c>
      <c r="AW2">
        <v>2</v>
      </c>
      <c r="AX2">
        <v>146930011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ROUND(Y2*Source!I24,9)</f>
        <v>6.8030549999999996</v>
      </c>
      <c r="CY2">
        <f>AD2</f>
        <v>0</v>
      </c>
      <c r="CZ2">
        <f>AH2</f>
        <v>0</v>
      </c>
      <c r="DA2">
        <f>AL2</f>
        <v>1</v>
      </c>
      <c r="DB2">
        <f t="shared" si="1"/>
        <v>0</v>
      </c>
      <c r="DC2">
        <f t="shared" si="2"/>
        <v>0</v>
      </c>
      <c r="DD2" t="s">
        <v>3</v>
      </c>
      <c r="DE2" t="s">
        <v>3</v>
      </c>
      <c r="DF2">
        <f t="shared" si="3"/>
        <v>0</v>
      </c>
      <c r="DG2">
        <f>ROUND(ROUND(AF2,2)*CX2,2)</f>
        <v>0</v>
      </c>
      <c r="DH2">
        <f>ROUND(ROUND(AG2*AK2,2)*CX2,2)</f>
        <v>0</v>
      </c>
      <c r="DI2">
        <f t="shared" ref="DI2:DI7" si="4">ROUND(ROUND(AH2,2)*CX2,2)</f>
        <v>0</v>
      </c>
      <c r="DJ2">
        <f>DI2</f>
        <v>0</v>
      </c>
      <c r="DK2">
        <v>0</v>
      </c>
      <c r="DL2" t="s">
        <v>3</v>
      </c>
      <c r="DM2">
        <v>0</v>
      </c>
      <c r="DN2" t="s">
        <v>3</v>
      </c>
      <c r="DO2">
        <v>0</v>
      </c>
    </row>
    <row r="3" spans="1:119" x14ac:dyDescent="0.2">
      <c r="A3">
        <f>ROW(Source!A24)</f>
        <v>24</v>
      </c>
      <c r="B3">
        <v>146929938</v>
      </c>
      <c r="C3">
        <v>146930002</v>
      </c>
      <c r="D3">
        <v>134664590</v>
      </c>
      <c r="E3">
        <v>1</v>
      </c>
      <c r="F3">
        <v>1</v>
      </c>
      <c r="G3">
        <v>1</v>
      </c>
      <c r="H3">
        <v>2</v>
      </c>
      <c r="I3" t="s">
        <v>256</v>
      </c>
      <c r="J3" t="s">
        <v>257</v>
      </c>
      <c r="K3" t="s">
        <v>258</v>
      </c>
      <c r="L3">
        <v>1368</v>
      </c>
      <c r="N3">
        <v>1011</v>
      </c>
      <c r="O3" t="s">
        <v>259</v>
      </c>
      <c r="P3" t="s">
        <v>259</v>
      </c>
      <c r="Q3">
        <v>1</v>
      </c>
      <c r="W3">
        <v>0</v>
      </c>
      <c r="X3">
        <v>1950904050</v>
      </c>
      <c r="Y3">
        <f t="shared" si="0"/>
        <v>0.26450000000000001</v>
      </c>
      <c r="AA3">
        <v>0</v>
      </c>
      <c r="AB3">
        <v>67298.63</v>
      </c>
      <c r="AC3">
        <v>460.35</v>
      </c>
      <c r="AD3">
        <v>0</v>
      </c>
      <c r="AE3">
        <v>0</v>
      </c>
      <c r="AF3">
        <v>5320.05</v>
      </c>
      <c r="AG3">
        <v>13.5</v>
      </c>
      <c r="AH3">
        <v>0</v>
      </c>
      <c r="AI3">
        <v>1</v>
      </c>
      <c r="AJ3">
        <v>12.65</v>
      </c>
      <c r="AK3">
        <v>34.1</v>
      </c>
      <c r="AL3">
        <v>1</v>
      </c>
      <c r="AM3">
        <v>4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0.23</v>
      </c>
      <c r="AU3" t="s">
        <v>19</v>
      </c>
      <c r="AV3">
        <v>0</v>
      </c>
      <c r="AW3">
        <v>2</v>
      </c>
      <c r="AX3">
        <v>146930012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ROUND(Y3*Source!I24,9)</f>
        <v>2.4836550000000002</v>
      </c>
      <c r="CY3">
        <f>AB3</f>
        <v>67298.63</v>
      </c>
      <c r="CZ3">
        <f>AF3</f>
        <v>5320.05</v>
      </c>
      <c r="DA3">
        <f>AJ3</f>
        <v>12.65</v>
      </c>
      <c r="DB3">
        <f t="shared" si="1"/>
        <v>1407.15</v>
      </c>
      <c r="DC3">
        <f t="shared" si="2"/>
        <v>3.58</v>
      </c>
      <c r="DD3" t="s">
        <v>3</v>
      </c>
      <c r="DE3" t="s">
        <v>3</v>
      </c>
      <c r="DF3">
        <f t="shared" si="3"/>
        <v>0</v>
      </c>
      <c r="DG3">
        <f>ROUND(ROUND(AF3*AJ3,2)*CX3,2)</f>
        <v>167146.57999999999</v>
      </c>
      <c r="DH3">
        <f>ROUND(ROUND(AG3*AK3,2)*CX3,2)</f>
        <v>1143.3499999999999</v>
      </c>
      <c r="DI3">
        <f t="shared" si="4"/>
        <v>0</v>
      </c>
      <c r="DJ3">
        <f>DG3</f>
        <v>167146.57999999999</v>
      </c>
      <c r="DK3">
        <v>0</v>
      </c>
      <c r="DL3" t="s">
        <v>3</v>
      </c>
      <c r="DM3">
        <v>0</v>
      </c>
      <c r="DN3" t="s">
        <v>3</v>
      </c>
      <c r="DO3">
        <v>0</v>
      </c>
    </row>
    <row r="4" spans="1:119" x14ac:dyDescent="0.2">
      <c r="A4">
        <f>ROW(Source!A24)</f>
        <v>24</v>
      </c>
      <c r="B4">
        <v>146929938</v>
      </c>
      <c r="C4">
        <v>146930002</v>
      </c>
      <c r="D4">
        <v>134665083</v>
      </c>
      <c r="E4">
        <v>1</v>
      </c>
      <c r="F4">
        <v>1</v>
      </c>
      <c r="G4">
        <v>1</v>
      </c>
      <c r="H4">
        <v>2</v>
      </c>
      <c r="I4" t="s">
        <v>260</v>
      </c>
      <c r="J4" t="s">
        <v>261</v>
      </c>
      <c r="K4" t="s">
        <v>262</v>
      </c>
      <c r="L4">
        <v>1368</v>
      </c>
      <c r="N4">
        <v>1011</v>
      </c>
      <c r="O4" t="s">
        <v>259</v>
      </c>
      <c r="P4" t="s">
        <v>259</v>
      </c>
      <c r="Q4">
        <v>1</v>
      </c>
      <c r="W4">
        <v>0</v>
      </c>
      <c r="X4">
        <v>-770541127</v>
      </c>
      <c r="Y4">
        <f t="shared" si="0"/>
        <v>0.26450000000000001</v>
      </c>
      <c r="AA4">
        <v>0</v>
      </c>
      <c r="AB4">
        <v>1094.23</v>
      </c>
      <c r="AC4">
        <v>395.56</v>
      </c>
      <c r="AD4">
        <v>0</v>
      </c>
      <c r="AE4">
        <v>0</v>
      </c>
      <c r="AF4">
        <v>86.5</v>
      </c>
      <c r="AG4">
        <v>11.6</v>
      </c>
      <c r="AH4">
        <v>0</v>
      </c>
      <c r="AI4">
        <v>1</v>
      </c>
      <c r="AJ4">
        <v>12.65</v>
      </c>
      <c r="AK4">
        <v>34.1</v>
      </c>
      <c r="AL4">
        <v>1</v>
      </c>
      <c r="AM4">
        <v>4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0.23</v>
      </c>
      <c r="AU4" t="s">
        <v>19</v>
      </c>
      <c r="AV4">
        <v>0</v>
      </c>
      <c r="AW4">
        <v>2</v>
      </c>
      <c r="AX4">
        <v>146930013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ROUND(Y4*Source!I24,9)</f>
        <v>2.4836550000000002</v>
      </c>
      <c r="CY4">
        <f>AB4</f>
        <v>1094.23</v>
      </c>
      <c r="CZ4">
        <f>AF4</f>
        <v>86.5</v>
      </c>
      <c r="DA4">
        <f>AJ4</f>
        <v>12.65</v>
      </c>
      <c r="DB4">
        <f t="shared" si="1"/>
        <v>22.89</v>
      </c>
      <c r="DC4">
        <f t="shared" si="2"/>
        <v>3.07</v>
      </c>
      <c r="DD4" t="s">
        <v>3</v>
      </c>
      <c r="DE4" t="s">
        <v>3</v>
      </c>
      <c r="DF4">
        <f t="shared" si="3"/>
        <v>0</v>
      </c>
      <c r="DG4">
        <f>ROUND(ROUND(AF4*AJ4,2)*CX4,2)</f>
        <v>2717.69</v>
      </c>
      <c r="DH4">
        <f>ROUND(ROUND(AG4*AK4,2)*CX4,2)</f>
        <v>982.43</v>
      </c>
      <c r="DI4">
        <f t="shared" si="4"/>
        <v>0</v>
      </c>
      <c r="DJ4">
        <f>DG4</f>
        <v>2717.69</v>
      </c>
      <c r="DK4">
        <v>0</v>
      </c>
      <c r="DL4" t="s">
        <v>3</v>
      </c>
      <c r="DM4">
        <v>0</v>
      </c>
      <c r="DN4" t="s">
        <v>3</v>
      </c>
      <c r="DO4">
        <v>0</v>
      </c>
    </row>
    <row r="5" spans="1:119" x14ac:dyDescent="0.2">
      <c r="A5">
        <f>ROW(Source!A24)</f>
        <v>24</v>
      </c>
      <c r="B5">
        <v>146929938</v>
      </c>
      <c r="C5">
        <v>146930002</v>
      </c>
      <c r="D5">
        <v>134665092</v>
      </c>
      <c r="E5">
        <v>1</v>
      </c>
      <c r="F5">
        <v>1</v>
      </c>
      <c r="G5">
        <v>1</v>
      </c>
      <c r="H5">
        <v>2</v>
      </c>
      <c r="I5" t="s">
        <v>263</v>
      </c>
      <c r="J5" t="s">
        <v>264</v>
      </c>
      <c r="K5" t="s">
        <v>265</v>
      </c>
      <c r="L5">
        <v>1368</v>
      </c>
      <c r="N5">
        <v>1011</v>
      </c>
      <c r="O5" t="s">
        <v>259</v>
      </c>
      <c r="P5" t="s">
        <v>259</v>
      </c>
      <c r="Q5">
        <v>1</v>
      </c>
      <c r="W5">
        <v>0</v>
      </c>
      <c r="X5">
        <v>-2060870261</v>
      </c>
      <c r="Y5">
        <f t="shared" si="0"/>
        <v>1.15E-2</v>
      </c>
      <c r="AA5">
        <v>0</v>
      </c>
      <c r="AB5">
        <v>1391.5</v>
      </c>
      <c r="AC5">
        <v>395.56</v>
      </c>
      <c r="AD5">
        <v>0</v>
      </c>
      <c r="AE5">
        <v>0</v>
      </c>
      <c r="AF5">
        <v>110</v>
      </c>
      <c r="AG5">
        <v>11.6</v>
      </c>
      <c r="AH5">
        <v>0</v>
      </c>
      <c r="AI5">
        <v>1</v>
      </c>
      <c r="AJ5">
        <v>12.65</v>
      </c>
      <c r="AK5">
        <v>34.1</v>
      </c>
      <c r="AL5">
        <v>1</v>
      </c>
      <c r="AM5">
        <v>4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0.01</v>
      </c>
      <c r="AU5" t="s">
        <v>19</v>
      </c>
      <c r="AV5">
        <v>0</v>
      </c>
      <c r="AW5">
        <v>2</v>
      </c>
      <c r="AX5">
        <v>146930014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ROUND(Y5*Source!I24,9)</f>
        <v>0.107985</v>
      </c>
      <c r="CY5">
        <f>AB5</f>
        <v>1391.5</v>
      </c>
      <c r="CZ5">
        <f>AF5</f>
        <v>110</v>
      </c>
      <c r="DA5">
        <f>AJ5</f>
        <v>12.65</v>
      </c>
      <c r="DB5">
        <f t="shared" si="1"/>
        <v>1.27</v>
      </c>
      <c r="DC5">
        <f t="shared" si="2"/>
        <v>0.14000000000000001</v>
      </c>
      <c r="DD5" t="s">
        <v>3</v>
      </c>
      <c r="DE5" t="s">
        <v>3</v>
      </c>
      <c r="DF5">
        <f t="shared" si="3"/>
        <v>0</v>
      </c>
      <c r="DG5">
        <f>ROUND(ROUND(AF5*AJ5,2)*CX5,2)</f>
        <v>150.26</v>
      </c>
      <c r="DH5">
        <f>ROUND(ROUND(AG5*AK5,2)*CX5,2)</f>
        <v>42.71</v>
      </c>
      <c r="DI5">
        <f t="shared" si="4"/>
        <v>0</v>
      </c>
      <c r="DJ5">
        <f>DG5</f>
        <v>150.26</v>
      </c>
      <c r="DK5">
        <v>0</v>
      </c>
      <c r="DL5" t="s">
        <v>3</v>
      </c>
      <c r="DM5">
        <v>0</v>
      </c>
      <c r="DN5" t="s">
        <v>3</v>
      </c>
      <c r="DO5">
        <v>0</v>
      </c>
    </row>
    <row r="6" spans="1:119" x14ac:dyDescent="0.2">
      <c r="A6">
        <f>ROW(Source!A24)</f>
        <v>24</v>
      </c>
      <c r="B6">
        <v>146929938</v>
      </c>
      <c r="C6">
        <v>146930002</v>
      </c>
      <c r="D6">
        <v>134665175</v>
      </c>
      <c r="E6">
        <v>1</v>
      </c>
      <c r="F6">
        <v>1</v>
      </c>
      <c r="G6">
        <v>1</v>
      </c>
      <c r="H6">
        <v>2</v>
      </c>
      <c r="I6" t="s">
        <v>266</v>
      </c>
      <c r="J6" t="s">
        <v>267</v>
      </c>
      <c r="K6" t="s">
        <v>268</v>
      </c>
      <c r="L6">
        <v>1368</v>
      </c>
      <c r="N6">
        <v>1011</v>
      </c>
      <c r="O6" t="s">
        <v>259</v>
      </c>
      <c r="P6" t="s">
        <v>259</v>
      </c>
      <c r="Q6">
        <v>1</v>
      </c>
      <c r="W6">
        <v>0</v>
      </c>
      <c r="X6">
        <v>-1884463876</v>
      </c>
      <c r="Y6">
        <f t="shared" si="0"/>
        <v>0.184</v>
      </c>
      <c r="AA6">
        <v>0</v>
      </c>
      <c r="AB6">
        <v>1435.02</v>
      </c>
      <c r="AC6">
        <v>460.35</v>
      </c>
      <c r="AD6">
        <v>0</v>
      </c>
      <c r="AE6">
        <v>0</v>
      </c>
      <c r="AF6">
        <v>113.44</v>
      </c>
      <c r="AG6">
        <v>13.5</v>
      </c>
      <c r="AH6">
        <v>0</v>
      </c>
      <c r="AI6">
        <v>1</v>
      </c>
      <c r="AJ6">
        <v>12.65</v>
      </c>
      <c r="AK6">
        <v>34.1</v>
      </c>
      <c r="AL6">
        <v>1</v>
      </c>
      <c r="AM6">
        <v>4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0.16</v>
      </c>
      <c r="AU6" t="s">
        <v>19</v>
      </c>
      <c r="AV6">
        <v>0</v>
      </c>
      <c r="AW6">
        <v>2</v>
      </c>
      <c r="AX6">
        <v>146930015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ROUND(Y6*Source!I24,9)</f>
        <v>1.72776</v>
      </c>
      <c r="CY6">
        <f>AB6</f>
        <v>1435.02</v>
      </c>
      <c r="CZ6">
        <f>AF6</f>
        <v>113.44</v>
      </c>
      <c r="DA6">
        <f>AJ6</f>
        <v>12.65</v>
      </c>
      <c r="DB6">
        <f t="shared" si="1"/>
        <v>20.87</v>
      </c>
      <c r="DC6">
        <f t="shared" si="2"/>
        <v>2.48</v>
      </c>
      <c r="DD6" t="s">
        <v>3</v>
      </c>
      <c r="DE6" t="s">
        <v>3</v>
      </c>
      <c r="DF6">
        <f t="shared" si="3"/>
        <v>0</v>
      </c>
      <c r="DG6">
        <f>ROUND(ROUND(AF6*AJ6,2)*CX6,2)</f>
        <v>2479.37</v>
      </c>
      <c r="DH6">
        <f>ROUND(ROUND(AG6*AK6,2)*CX6,2)</f>
        <v>795.37</v>
      </c>
      <c r="DI6">
        <f t="shared" si="4"/>
        <v>0</v>
      </c>
      <c r="DJ6">
        <f>DG6</f>
        <v>2479.37</v>
      </c>
      <c r="DK6">
        <v>0</v>
      </c>
      <c r="DL6" t="s">
        <v>3</v>
      </c>
      <c r="DM6">
        <v>0</v>
      </c>
      <c r="DN6" t="s">
        <v>3</v>
      </c>
      <c r="DO6">
        <v>0</v>
      </c>
    </row>
    <row r="7" spans="1:119" x14ac:dyDescent="0.2">
      <c r="A7">
        <f>ROW(Source!A24)</f>
        <v>24</v>
      </c>
      <c r="B7">
        <v>146929938</v>
      </c>
      <c r="C7">
        <v>146930002</v>
      </c>
      <c r="D7">
        <v>134463836</v>
      </c>
      <c r="E7">
        <v>1</v>
      </c>
      <c r="F7">
        <v>1</v>
      </c>
      <c r="G7">
        <v>1</v>
      </c>
      <c r="H7">
        <v>3</v>
      </c>
      <c r="I7" t="s">
        <v>269</v>
      </c>
      <c r="J7" t="s">
        <v>270</v>
      </c>
      <c r="K7" t="s">
        <v>271</v>
      </c>
      <c r="L7">
        <v>1339</v>
      </c>
      <c r="N7">
        <v>1007</v>
      </c>
      <c r="O7" t="s">
        <v>68</v>
      </c>
      <c r="P7" t="s">
        <v>68</v>
      </c>
      <c r="Q7">
        <v>1</v>
      </c>
      <c r="W7">
        <v>0</v>
      </c>
      <c r="X7">
        <v>-1161832183</v>
      </c>
      <c r="Y7">
        <f>AT7</f>
        <v>0.104</v>
      </c>
      <c r="AA7">
        <v>22.08</v>
      </c>
      <c r="AB7">
        <v>0</v>
      </c>
      <c r="AC7">
        <v>0</v>
      </c>
      <c r="AD7">
        <v>0</v>
      </c>
      <c r="AE7">
        <v>2.44</v>
      </c>
      <c r="AF7">
        <v>0</v>
      </c>
      <c r="AG7">
        <v>0</v>
      </c>
      <c r="AH7">
        <v>0</v>
      </c>
      <c r="AI7">
        <v>9.0500000000000007</v>
      </c>
      <c r="AJ7">
        <v>1</v>
      </c>
      <c r="AK7">
        <v>1</v>
      </c>
      <c r="AL7">
        <v>1</v>
      </c>
      <c r="AM7">
        <v>4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0.104</v>
      </c>
      <c r="AU7" t="s">
        <v>3</v>
      </c>
      <c r="AV7">
        <v>0</v>
      </c>
      <c r="AW7">
        <v>2</v>
      </c>
      <c r="AX7">
        <v>146930016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ROUND(Y7*Source!I24,9)</f>
        <v>0.97655999999999998</v>
      </c>
      <c r="CY7">
        <f>AA7</f>
        <v>22.08</v>
      </c>
      <c r="CZ7">
        <f>AE7</f>
        <v>2.44</v>
      </c>
      <c r="DA7">
        <f>AI7</f>
        <v>9.0500000000000007</v>
      </c>
      <c r="DB7">
        <f>ROUND(ROUND(AT7*CZ7,2),2)</f>
        <v>0.25</v>
      </c>
      <c r="DC7">
        <f>ROUND(ROUND(AT7*AG7,2),2)</f>
        <v>0</v>
      </c>
      <c r="DD7" t="s">
        <v>3</v>
      </c>
      <c r="DE7" t="s">
        <v>3</v>
      </c>
      <c r="DF7">
        <f>ROUND(ROUND(AE7*AI7,2)*CX7,2)</f>
        <v>21.56</v>
      </c>
      <c r="DG7">
        <f>ROUND(ROUND(AF7,2)*CX7,2)</f>
        <v>0</v>
      </c>
      <c r="DH7">
        <f>ROUND(ROUND(AG7,2)*CX7,2)</f>
        <v>0</v>
      </c>
      <c r="DI7">
        <f t="shared" si="4"/>
        <v>0</v>
      </c>
      <c r="DJ7">
        <f>DF7</f>
        <v>21.56</v>
      </c>
      <c r="DK7">
        <v>0</v>
      </c>
      <c r="DL7" t="s">
        <v>3</v>
      </c>
      <c r="DM7">
        <v>0</v>
      </c>
      <c r="DN7" t="s">
        <v>3</v>
      </c>
      <c r="DO7">
        <v>0</v>
      </c>
    </row>
    <row r="8" spans="1:119" x14ac:dyDescent="0.2">
      <c r="A8">
        <f>ROW(Source!A25)</f>
        <v>25</v>
      </c>
      <c r="B8">
        <v>146929938</v>
      </c>
      <c r="C8">
        <v>146930017</v>
      </c>
      <c r="D8">
        <v>140760031</v>
      </c>
      <c r="E8">
        <v>70</v>
      </c>
      <c r="F8">
        <v>1</v>
      </c>
      <c r="G8">
        <v>1</v>
      </c>
      <c r="H8">
        <v>1</v>
      </c>
      <c r="I8" t="s">
        <v>272</v>
      </c>
      <c r="J8" t="s">
        <v>3</v>
      </c>
      <c r="K8" t="s">
        <v>273</v>
      </c>
      <c r="L8">
        <v>1191</v>
      </c>
      <c r="N8">
        <v>1013</v>
      </c>
      <c r="O8" t="s">
        <v>253</v>
      </c>
      <c r="P8" t="s">
        <v>253</v>
      </c>
      <c r="Q8">
        <v>1</v>
      </c>
      <c r="W8">
        <v>0</v>
      </c>
      <c r="X8">
        <v>-1111239348</v>
      </c>
      <c r="Y8">
        <f>(AT8*1.15)</f>
        <v>15.628499999999999</v>
      </c>
      <c r="AA8">
        <v>0</v>
      </c>
      <c r="AB8">
        <v>0</v>
      </c>
      <c r="AC8">
        <v>0</v>
      </c>
      <c r="AD8">
        <v>328.04</v>
      </c>
      <c r="AE8">
        <v>0</v>
      </c>
      <c r="AF8">
        <v>0</v>
      </c>
      <c r="AG8">
        <v>0</v>
      </c>
      <c r="AH8">
        <v>9.6199999999999992</v>
      </c>
      <c r="AI8">
        <v>1</v>
      </c>
      <c r="AJ8">
        <v>1</v>
      </c>
      <c r="AK8">
        <v>1</v>
      </c>
      <c r="AL8">
        <v>34.1</v>
      </c>
      <c r="AM8">
        <v>4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13.59</v>
      </c>
      <c r="AU8" t="s">
        <v>19</v>
      </c>
      <c r="AV8">
        <v>1</v>
      </c>
      <c r="AW8">
        <v>2</v>
      </c>
      <c r="AX8">
        <v>146930021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ROUND(Y8*Source!I25,9)</f>
        <v>6.2514000000000003</v>
      </c>
      <c r="CY8">
        <f>AD8</f>
        <v>328.04</v>
      </c>
      <c r="CZ8">
        <f>AH8</f>
        <v>9.6199999999999992</v>
      </c>
      <c r="DA8">
        <f>AL8</f>
        <v>34.1</v>
      </c>
      <c r="DB8">
        <f>ROUND((ROUND(AT8*CZ8,2)*1.15),2)</f>
        <v>150.35</v>
      </c>
      <c r="DC8">
        <f>ROUND((ROUND(AT8*AG8,2)*1.15),2)</f>
        <v>0</v>
      </c>
      <c r="DD8" t="s">
        <v>3</v>
      </c>
      <c r="DE8" t="s">
        <v>3</v>
      </c>
      <c r="DF8">
        <f>ROUND(ROUND(AE8,2)*CX8,2)</f>
        <v>0</v>
      </c>
      <c r="DG8">
        <f>ROUND(ROUND(AF8,2)*CX8,2)</f>
        <v>0</v>
      </c>
      <c r="DH8">
        <f>ROUND(ROUND(AG8,2)*CX8,2)</f>
        <v>0</v>
      </c>
      <c r="DI8">
        <f>ROUND(ROUND(AH8*AL8,2)*CX8,2)</f>
        <v>2050.71</v>
      </c>
      <c r="DJ8">
        <f>DI8</f>
        <v>2050.71</v>
      </c>
      <c r="DK8">
        <v>0</v>
      </c>
      <c r="DL8" t="s">
        <v>3</v>
      </c>
      <c r="DM8">
        <v>0</v>
      </c>
      <c r="DN8" t="s">
        <v>3</v>
      </c>
      <c r="DO8">
        <v>0</v>
      </c>
    </row>
    <row r="9" spans="1:119" x14ac:dyDescent="0.2">
      <c r="A9">
        <f>ROW(Source!A25)</f>
        <v>25</v>
      </c>
      <c r="B9">
        <v>146929938</v>
      </c>
      <c r="C9">
        <v>146930017</v>
      </c>
      <c r="D9">
        <v>140923395</v>
      </c>
      <c r="E9">
        <v>1</v>
      </c>
      <c r="F9">
        <v>1</v>
      </c>
      <c r="G9">
        <v>1</v>
      </c>
      <c r="H9">
        <v>2</v>
      </c>
      <c r="I9" t="s">
        <v>274</v>
      </c>
      <c r="J9" t="s">
        <v>275</v>
      </c>
      <c r="K9" t="s">
        <v>276</v>
      </c>
      <c r="L9">
        <v>1367</v>
      </c>
      <c r="N9">
        <v>1011</v>
      </c>
      <c r="O9" t="s">
        <v>277</v>
      </c>
      <c r="P9" t="s">
        <v>277</v>
      </c>
      <c r="Q9">
        <v>1</v>
      </c>
      <c r="W9">
        <v>0</v>
      </c>
      <c r="X9">
        <v>37242201</v>
      </c>
      <c r="Y9">
        <f>(AT9*1.15)</f>
        <v>15.628499999999999</v>
      </c>
      <c r="AA9">
        <v>0</v>
      </c>
      <c r="AB9">
        <v>770.26</v>
      </c>
      <c r="AC9">
        <v>0</v>
      </c>
      <c r="AD9">
        <v>0</v>
      </c>
      <c r="AE9">
        <v>0</v>
      </c>
      <c r="AF9">
        <v>60.89</v>
      </c>
      <c r="AG9">
        <v>0</v>
      </c>
      <c r="AH9">
        <v>0</v>
      </c>
      <c r="AI9">
        <v>1</v>
      </c>
      <c r="AJ9">
        <v>12.65</v>
      </c>
      <c r="AK9">
        <v>34.1</v>
      </c>
      <c r="AL9">
        <v>1</v>
      </c>
      <c r="AM9">
        <v>4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13.59</v>
      </c>
      <c r="AU9" t="s">
        <v>19</v>
      </c>
      <c r="AV9">
        <v>0</v>
      </c>
      <c r="AW9">
        <v>2</v>
      </c>
      <c r="AX9">
        <v>146930022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ROUND(Y9*Source!I25,9)</f>
        <v>6.2514000000000003</v>
      </c>
      <c r="CY9">
        <f>AB9</f>
        <v>770.26</v>
      </c>
      <c r="CZ9">
        <f>AF9</f>
        <v>60.89</v>
      </c>
      <c r="DA9">
        <f>AJ9</f>
        <v>12.65</v>
      </c>
      <c r="DB9">
        <f>ROUND((ROUND(AT9*CZ9,2)*1.15),2)</f>
        <v>951.63</v>
      </c>
      <c r="DC9">
        <f>ROUND((ROUND(AT9*AG9,2)*1.15),2)</f>
        <v>0</v>
      </c>
      <c r="DD9" t="s">
        <v>3</v>
      </c>
      <c r="DE9" t="s">
        <v>3</v>
      </c>
      <c r="DF9">
        <f>ROUND(ROUND(AE9,2)*CX9,2)</f>
        <v>0</v>
      </c>
      <c r="DG9">
        <f>ROUND(ROUND(AF9*AJ9,2)*CX9,2)</f>
        <v>4815.2</v>
      </c>
      <c r="DH9">
        <f>ROUND(ROUND(AG9*AK9,2)*CX9,2)</f>
        <v>0</v>
      </c>
      <c r="DI9">
        <f>ROUND(ROUND(AH9,2)*CX9,2)</f>
        <v>0</v>
      </c>
      <c r="DJ9">
        <f>DG9</f>
        <v>4815.2</v>
      </c>
      <c r="DK9">
        <v>0</v>
      </c>
      <c r="DL9" t="s">
        <v>3</v>
      </c>
      <c r="DM9">
        <v>0</v>
      </c>
      <c r="DN9" t="s">
        <v>3</v>
      </c>
      <c r="DO9">
        <v>0</v>
      </c>
    </row>
    <row r="10" spans="1:119" x14ac:dyDescent="0.2">
      <c r="A10">
        <f>ROW(Source!A25)</f>
        <v>25</v>
      </c>
      <c r="B10">
        <v>146929938</v>
      </c>
      <c r="C10">
        <v>146930017</v>
      </c>
      <c r="D10">
        <v>140775640</v>
      </c>
      <c r="E10">
        <v>1</v>
      </c>
      <c r="F10">
        <v>1</v>
      </c>
      <c r="G10">
        <v>1</v>
      </c>
      <c r="H10">
        <v>3</v>
      </c>
      <c r="I10" t="s">
        <v>278</v>
      </c>
      <c r="J10" t="s">
        <v>279</v>
      </c>
      <c r="K10" t="s">
        <v>280</v>
      </c>
      <c r="L10">
        <v>1371</v>
      </c>
      <c r="N10">
        <v>1013</v>
      </c>
      <c r="O10" t="s">
        <v>281</v>
      </c>
      <c r="P10" t="s">
        <v>281</v>
      </c>
      <c r="Q10">
        <v>1</v>
      </c>
      <c r="W10">
        <v>0</v>
      </c>
      <c r="X10">
        <v>1596118916</v>
      </c>
      <c r="Y10">
        <f>AT10</f>
        <v>0.73</v>
      </c>
      <c r="AA10">
        <v>6669.85</v>
      </c>
      <c r="AB10">
        <v>0</v>
      </c>
      <c r="AC10">
        <v>0</v>
      </c>
      <c r="AD10">
        <v>0</v>
      </c>
      <c r="AE10">
        <v>737</v>
      </c>
      <c r="AF10">
        <v>0</v>
      </c>
      <c r="AG10">
        <v>0</v>
      </c>
      <c r="AH10">
        <v>0</v>
      </c>
      <c r="AI10">
        <v>9.0500000000000007</v>
      </c>
      <c r="AJ10">
        <v>1</v>
      </c>
      <c r="AK10">
        <v>1</v>
      </c>
      <c r="AL10">
        <v>1</v>
      </c>
      <c r="AM10">
        <v>4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0.73</v>
      </c>
      <c r="AU10" t="s">
        <v>3</v>
      </c>
      <c r="AV10">
        <v>0</v>
      </c>
      <c r="AW10">
        <v>2</v>
      </c>
      <c r="AX10">
        <v>146930023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ROUND(Y10*Source!I25,9)</f>
        <v>0.29199999999999998</v>
      </c>
      <c r="CY10">
        <f>AA10</f>
        <v>6669.85</v>
      </c>
      <c r="CZ10">
        <f>AE10</f>
        <v>737</v>
      </c>
      <c r="DA10">
        <f>AI10</f>
        <v>9.0500000000000007</v>
      </c>
      <c r="DB10">
        <f>ROUND(ROUND(AT10*CZ10,2),2)</f>
        <v>538.01</v>
      </c>
      <c r="DC10">
        <f>ROUND(ROUND(AT10*AG10,2),2)</f>
        <v>0</v>
      </c>
      <c r="DD10" t="s">
        <v>3</v>
      </c>
      <c r="DE10" t="s">
        <v>3</v>
      </c>
      <c r="DF10">
        <f>ROUND(ROUND(AE10*AI10,2)*CX10,2)</f>
        <v>1947.6</v>
      </c>
      <c r="DG10">
        <f>ROUND(ROUND(AF10,2)*CX10,2)</f>
        <v>0</v>
      </c>
      <c r="DH10">
        <f>ROUND(ROUND(AG10,2)*CX10,2)</f>
        <v>0</v>
      </c>
      <c r="DI10">
        <f>ROUND(ROUND(AH10,2)*CX10,2)</f>
        <v>0</v>
      </c>
      <c r="DJ10">
        <f>DF10</f>
        <v>1947.6</v>
      </c>
      <c r="DK10">
        <v>0</v>
      </c>
      <c r="DL10" t="s">
        <v>3</v>
      </c>
      <c r="DM10">
        <v>0</v>
      </c>
      <c r="DN10" t="s">
        <v>3</v>
      </c>
      <c r="DO10">
        <v>0</v>
      </c>
    </row>
    <row r="11" spans="1:119" x14ac:dyDescent="0.2">
      <c r="A11">
        <f>ROW(Source!A26)</f>
        <v>26</v>
      </c>
      <c r="B11">
        <v>146929938</v>
      </c>
      <c r="C11">
        <v>146930024</v>
      </c>
      <c r="D11">
        <v>140760031</v>
      </c>
      <c r="E11">
        <v>70</v>
      </c>
      <c r="F11">
        <v>1</v>
      </c>
      <c r="G11">
        <v>1</v>
      </c>
      <c r="H11">
        <v>1</v>
      </c>
      <c r="I11" t="s">
        <v>272</v>
      </c>
      <c r="J11" t="s">
        <v>3</v>
      </c>
      <c r="K11" t="s">
        <v>273</v>
      </c>
      <c r="L11">
        <v>1191</v>
      </c>
      <c r="N11">
        <v>1013</v>
      </c>
      <c r="O11" t="s">
        <v>253</v>
      </c>
      <c r="P11" t="s">
        <v>253</v>
      </c>
      <c r="Q11">
        <v>1</v>
      </c>
      <c r="W11">
        <v>0</v>
      </c>
      <c r="X11">
        <v>-1111239348</v>
      </c>
      <c r="Y11">
        <f>((AT11*1.15)*15)</f>
        <v>46.05749999999999</v>
      </c>
      <c r="AA11">
        <v>0</v>
      </c>
      <c r="AB11">
        <v>0</v>
      </c>
      <c r="AC11">
        <v>0</v>
      </c>
      <c r="AD11">
        <v>328.04</v>
      </c>
      <c r="AE11">
        <v>0</v>
      </c>
      <c r="AF11">
        <v>0</v>
      </c>
      <c r="AG11">
        <v>0</v>
      </c>
      <c r="AH11">
        <v>9.6199999999999992</v>
      </c>
      <c r="AI11">
        <v>1</v>
      </c>
      <c r="AJ11">
        <v>1</v>
      </c>
      <c r="AK11">
        <v>1</v>
      </c>
      <c r="AL11">
        <v>34.1</v>
      </c>
      <c r="AM11">
        <v>4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2.67</v>
      </c>
      <c r="AU11" t="s">
        <v>40</v>
      </c>
      <c r="AV11">
        <v>1</v>
      </c>
      <c r="AW11">
        <v>2</v>
      </c>
      <c r="AX11">
        <v>146930028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ROUND(Y11*Source!I26,9)</f>
        <v>18.422999999999998</v>
      </c>
      <c r="CY11">
        <f>AD11</f>
        <v>328.04</v>
      </c>
      <c r="CZ11">
        <f>AH11</f>
        <v>9.6199999999999992</v>
      </c>
      <c r="DA11">
        <f>AL11</f>
        <v>34.1</v>
      </c>
      <c r="DB11">
        <f>ROUND(((ROUND(AT11*CZ11,2)*1.15)*15),2)</f>
        <v>443.15</v>
      </c>
      <c r="DC11">
        <f>ROUND(((ROUND(AT11*AG11,2)*1.15)*15),2)</f>
        <v>0</v>
      </c>
      <c r="DD11" t="s">
        <v>3</v>
      </c>
      <c r="DE11" t="s">
        <v>3</v>
      </c>
      <c r="DF11">
        <f>ROUND(ROUND(AE11,2)*CX11,2)</f>
        <v>0</v>
      </c>
      <c r="DG11">
        <f>ROUND(ROUND(AF11,2)*CX11,2)</f>
        <v>0</v>
      </c>
      <c r="DH11">
        <f>ROUND(ROUND(AG11,2)*CX11,2)</f>
        <v>0</v>
      </c>
      <c r="DI11">
        <f>ROUND(ROUND(AH11*AL11,2)*CX11,2)</f>
        <v>6043.48</v>
      </c>
      <c r="DJ11">
        <f>DI11</f>
        <v>6043.48</v>
      </c>
      <c r="DK11">
        <v>0</v>
      </c>
      <c r="DL11" t="s">
        <v>3</v>
      </c>
      <c r="DM11">
        <v>0</v>
      </c>
      <c r="DN11" t="s">
        <v>3</v>
      </c>
      <c r="DO11">
        <v>0</v>
      </c>
    </row>
    <row r="12" spans="1:119" x14ac:dyDescent="0.2">
      <c r="A12">
        <f>ROW(Source!A26)</f>
        <v>26</v>
      </c>
      <c r="B12">
        <v>146929938</v>
      </c>
      <c r="C12">
        <v>146930024</v>
      </c>
      <c r="D12">
        <v>140923395</v>
      </c>
      <c r="E12">
        <v>1</v>
      </c>
      <c r="F12">
        <v>1</v>
      </c>
      <c r="G12">
        <v>1</v>
      </c>
      <c r="H12">
        <v>2</v>
      </c>
      <c r="I12" t="s">
        <v>274</v>
      </c>
      <c r="J12" t="s">
        <v>275</v>
      </c>
      <c r="K12" t="s">
        <v>276</v>
      </c>
      <c r="L12">
        <v>1367</v>
      </c>
      <c r="N12">
        <v>1011</v>
      </c>
      <c r="O12" t="s">
        <v>277</v>
      </c>
      <c r="P12" t="s">
        <v>277</v>
      </c>
      <c r="Q12">
        <v>1</v>
      </c>
      <c r="W12">
        <v>0</v>
      </c>
      <c r="X12">
        <v>37242201</v>
      </c>
      <c r="Y12">
        <f>((AT12*1.15)*15)</f>
        <v>46.05749999999999</v>
      </c>
      <c r="AA12">
        <v>0</v>
      </c>
      <c r="AB12">
        <v>770.26</v>
      </c>
      <c r="AC12">
        <v>0</v>
      </c>
      <c r="AD12">
        <v>0</v>
      </c>
      <c r="AE12">
        <v>0</v>
      </c>
      <c r="AF12">
        <v>60.89</v>
      </c>
      <c r="AG12">
        <v>0</v>
      </c>
      <c r="AH12">
        <v>0</v>
      </c>
      <c r="AI12">
        <v>1</v>
      </c>
      <c r="AJ12">
        <v>12.65</v>
      </c>
      <c r="AK12">
        <v>34.1</v>
      </c>
      <c r="AL12">
        <v>1</v>
      </c>
      <c r="AM12">
        <v>4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2.67</v>
      </c>
      <c r="AU12" t="s">
        <v>40</v>
      </c>
      <c r="AV12">
        <v>0</v>
      </c>
      <c r="AW12">
        <v>2</v>
      </c>
      <c r="AX12">
        <v>146930029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ROUND(Y12*Source!I26,9)</f>
        <v>18.422999999999998</v>
      </c>
      <c r="CY12">
        <f>AB12</f>
        <v>770.26</v>
      </c>
      <c r="CZ12">
        <f>AF12</f>
        <v>60.89</v>
      </c>
      <c r="DA12">
        <f>AJ12</f>
        <v>12.65</v>
      </c>
      <c r="DB12">
        <f>ROUND(((ROUND(AT12*CZ12,2)*1.15)*15),2)</f>
        <v>2804.51</v>
      </c>
      <c r="DC12">
        <f>ROUND(((ROUND(AT12*AG12,2)*1.15)*15),2)</f>
        <v>0</v>
      </c>
      <c r="DD12" t="s">
        <v>3</v>
      </c>
      <c r="DE12" t="s">
        <v>3</v>
      </c>
      <c r="DF12">
        <f>ROUND(ROUND(AE12,2)*CX12,2)</f>
        <v>0</v>
      </c>
      <c r="DG12">
        <f>ROUND(ROUND(AF12*AJ12,2)*CX12,2)</f>
        <v>14190.5</v>
      </c>
      <c r="DH12">
        <f>ROUND(ROUND(AG12*AK12,2)*CX12,2)</f>
        <v>0</v>
      </c>
      <c r="DI12">
        <f>ROUND(ROUND(AH12,2)*CX12,2)</f>
        <v>0</v>
      </c>
      <c r="DJ12">
        <f>DG12</f>
        <v>14190.5</v>
      </c>
      <c r="DK12">
        <v>0</v>
      </c>
      <c r="DL12" t="s">
        <v>3</v>
      </c>
      <c r="DM12">
        <v>0</v>
      </c>
      <c r="DN12" t="s">
        <v>3</v>
      </c>
      <c r="DO12">
        <v>0</v>
      </c>
    </row>
    <row r="13" spans="1:119" x14ac:dyDescent="0.2">
      <c r="A13">
        <f>ROW(Source!A26)</f>
        <v>26</v>
      </c>
      <c r="B13">
        <v>146929938</v>
      </c>
      <c r="C13">
        <v>146930024</v>
      </c>
      <c r="D13">
        <v>140775640</v>
      </c>
      <c r="E13">
        <v>1</v>
      </c>
      <c r="F13">
        <v>1</v>
      </c>
      <c r="G13">
        <v>1</v>
      </c>
      <c r="H13">
        <v>3</v>
      </c>
      <c r="I13" t="s">
        <v>278</v>
      </c>
      <c r="J13" t="s">
        <v>279</v>
      </c>
      <c r="K13" t="s">
        <v>280</v>
      </c>
      <c r="L13">
        <v>1371</v>
      </c>
      <c r="N13">
        <v>1013</v>
      </c>
      <c r="O13" t="s">
        <v>281</v>
      </c>
      <c r="P13" t="s">
        <v>281</v>
      </c>
      <c r="Q13">
        <v>1</v>
      </c>
      <c r="W13">
        <v>0</v>
      </c>
      <c r="X13">
        <v>1596118916</v>
      </c>
      <c r="Y13">
        <f>(AT13*15)</f>
        <v>2.31</v>
      </c>
      <c r="AA13">
        <v>6669.85</v>
      </c>
      <c r="AB13">
        <v>0</v>
      </c>
      <c r="AC13">
        <v>0</v>
      </c>
      <c r="AD13">
        <v>0</v>
      </c>
      <c r="AE13">
        <v>737</v>
      </c>
      <c r="AF13">
        <v>0</v>
      </c>
      <c r="AG13">
        <v>0</v>
      </c>
      <c r="AH13">
        <v>0</v>
      </c>
      <c r="AI13">
        <v>9.0500000000000007</v>
      </c>
      <c r="AJ13">
        <v>1</v>
      </c>
      <c r="AK13">
        <v>1</v>
      </c>
      <c r="AL13">
        <v>1</v>
      </c>
      <c r="AM13">
        <v>4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0.154</v>
      </c>
      <c r="AU13" t="s">
        <v>39</v>
      </c>
      <c r="AV13">
        <v>0</v>
      </c>
      <c r="AW13">
        <v>2</v>
      </c>
      <c r="AX13">
        <v>146930030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ROUND(Y13*Source!I26,9)</f>
        <v>0.92400000000000004</v>
      </c>
      <c r="CY13">
        <f>AA13</f>
        <v>6669.85</v>
      </c>
      <c r="CZ13">
        <f>AE13</f>
        <v>737</v>
      </c>
      <c r="DA13">
        <f>AI13</f>
        <v>9.0500000000000007</v>
      </c>
      <c r="DB13">
        <f>ROUND((ROUND(AT13*CZ13,2)*15),2)</f>
        <v>1702.5</v>
      </c>
      <c r="DC13">
        <f>ROUND((ROUND(AT13*AG13,2)*15),2)</f>
        <v>0</v>
      </c>
      <c r="DD13" t="s">
        <v>3</v>
      </c>
      <c r="DE13" t="s">
        <v>3</v>
      </c>
      <c r="DF13">
        <f>ROUND(ROUND(AE13*AI13,2)*CX13,2)</f>
        <v>6162.94</v>
      </c>
      <c r="DG13">
        <f>ROUND(ROUND(AF13,2)*CX13,2)</f>
        <v>0</v>
      </c>
      <c r="DH13">
        <f>ROUND(ROUND(AG13,2)*CX13,2)</f>
        <v>0</v>
      </c>
      <c r="DI13">
        <f>ROUND(ROUND(AH13,2)*CX13,2)</f>
        <v>0</v>
      </c>
      <c r="DJ13">
        <f>DF13</f>
        <v>6162.94</v>
      </c>
      <c r="DK13">
        <v>0</v>
      </c>
      <c r="DL13" t="s">
        <v>3</v>
      </c>
      <c r="DM13">
        <v>0</v>
      </c>
      <c r="DN13" t="s">
        <v>3</v>
      </c>
      <c r="DO13">
        <v>0</v>
      </c>
    </row>
    <row r="14" spans="1:119" x14ac:dyDescent="0.2">
      <c r="A14">
        <f>ROW(Source!A27)</f>
        <v>27</v>
      </c>
      <c r="B14">
        <v>146929938</v>
      </c>
      <c r="C14">
        <v>146930031</v>
      </c>
      <c r="D14">
        <v>134450423</v>
      </c>
      <c r="E14">
        <v>56</v>
      </c>
      <c r="F14">
        <v>1</v>
      </c>
      <c r="G14">
        <v>1</v>
      </c>
      <c r="H14">
        <v>1</v>
      </c>
      <c r="I14" t="s">
        <v>282</v>
      </c>
      <c r="J14" t="s">
        <v>3</v>
      </c>
      <c r="K14" t="s">
        <v>283</v>
      </c>
      <c r="L14">
        <v>1191</v>
      </c>
      <c r="N14">
        <v>1013</v>
      </c>
      <c r="O14" t="s">
        <v>253</v>
      </c>
      <c r="P14" t="s">
        <v>253</v>
      </c>
      <c r="Q14">
        <v>1</v>
      </c>
      <c r="W14">
        <v>0</v>
      </c>
      <c r="X14">
        <v>735429535</v>
      </c>
      <c r="Y14">
        <f>(AT14*1.15)</f>
        <v>66.033000000000001</v>
      </c>
      <c r="AA14">
        <v>0</v>
      </c>
      <c r="AB14">
        <v>0</v>
      </c>
      <c r="AC14">
        <v>0</v>
      </c>
      <c r="AD14">
        <v>265.98</v>
      </c>
      <c r="AE14">
        <v>0</v>
      </c>
      <c r="AF14">
        <v>0</v>
      </c>
      <c r="AG14">
        <v>0</v>
      </c>
      <c r="AH14">
        <v>7.8</v>
      </c>
      <c r="AI14">
        <v>1</v>
      </c>
      <c r="AJ14">
        <v>1</v>
      </c>
      <c r="AK14">
        <v>1</v>
      </c>
      <c r="AL14">
        <v>34.1</v>
      </c>
      <c r="AM14">
        <v>4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57.42</v>
      </c>
      <c r="AU14" t="s">
        <v>19</v>
      </c>
      <c r="AV14">
        <v>1</v>
      </c>
      <c r="AW14">
        <v>2</v>
      </c>
      <c r="AX14">
        <v>146930036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ROUND(Y14*Source!I27,9)</f>
        <v>26.4132</v>
      </c>
      <c r="CY14">
        <f>AD14</f>
        <v>265.98</v>
      </c>
      <c r="CZ14">
        <f>AH14</f>
        <v>7.8</v>
      </c>
      <c r="DA14">
        <f>AL14</f>
        <v>34.1</v>
      </c>
      <c r="DB14">
        <f>ROUND((ROUND(AT14*CZ14,2)*1.15),2)</f>
        <v>515.05999999999995</v>
      </c>
      <c r="DC14">
        <f>ROUND((ROUND(AT14*AG14,2)*1.15),2)</f>
        <v>0</v>
      </c>
      <c r="DD14" t="s">
        <v>3</v>
      </c>
      <c r="DE14" t="s">
        <v>3</v>
      </c>
      <c r="DF14">
        <f t="shared" ref="DF14:DF26" si="5">ROUND(ROUND(AE14,2)*CX14,2)</f>
        <v>0</v>
      </c>
      <c r="DG14">
        <f>ROUND(ROUND(AF14,2)*CX14,2)</f>
        <v>0</v>
      </c>
      <c r="DH14">
        <f>ROUND(ROUND(AG14,2)*CX14,2)</f>
        <v>0</v>
      </c>
      <c r="DI14">
        <f>ROUND(ROUND(AH14*AL14,2)*CX14,2)</f>
        <v>7025.38</v>
      </c>
      <c r="DJ14">
        <f>DI14</f>
        <v>7025.38</v>
      </c>
      <c r="DK14">
        <v>0</v>
      </c>
      <c r="DL14" t="s">
        <v>3</v>
      </c>
      <c r="DM14">
        <v>0</v>
      </c>
      <c r="DN14" t="s">
        <v>3</v>
      </c>
      <c r="DO14">
        <v>0</v>
      </c>
    </row>
    <row r="15" spans="1:119" x14ac:dyDescent="0.2">
      <c r="A15">
        <f>ROW(Source!A27)</f>
        <v>27</v>
      </c>
      <c r="B15">
        <v>146929938</v>
      </c>
      <c r="C15">
        <v>146930031</v>
      </c>
      <c r="D15">
        <v>134450693</v>
      </c>
      <c r="E15">
        <v>56</v>
      </c>
      <c r="F15">
        <v>1</v>
      </c>
      <c r="G15">
        <v>1</v>
      </c>
      <c r="H15">
        <v>1</v>
      </c>
      <c r="I15" t="s">
        <v>254</v>
      </c>
      <c r="J15" t="s">
        <v>3</v>
      </c>
      <c r="K15" t="s">
        <v>255</v>
      </c>
      <c r="L15">
        <v>1191</v>
      </c>
      <c r="N15">
        <v>1013</v>
      </c>
      <c r="O15" t="s">
        <v>253</v>
      </c>
      <c r="P15" t="s">
        <v>253</v>
      </c>
      <c r="Q15">
        <v>1</v>
      </c>
      <c r="W15">
        <v>0</v>
      </c>
      <c r="X15">
        <v>-1417349443</v>
      </c>
      <c r="Y15">
        <f>(AT15*1.15)</f>
        <v>14.294499999999999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34.1</v>
      </c>
      <c r="AL15">
        <v>1</v>
      </c>
      <c r="AM15">
        <v>4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12.43</v>
      </c>
      <c r="AU15" t="s">
        <v>19</v>
      </c>
      <c r="AV15">
        <v>2</v>
      </c>
      <c r="AW15">
        <v>2</v>
      </c>
      <c r="AX15">
        <v>146930037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ROUND(Y15*Source!I27,9)</f>
        <v>5.7178000000000004</v>
      </c>
      <c r="CY15">
        <f>AD15</f>
        <v>0</v>
      </c>
      <c r="CZ15">
        <f>AH15</f>
        <v>0</v>
      </c>
      <c r="DA15">
        <f>AL15</f>
        <v>1</v>
      </c>
      <c r="DB15">
        <f>ROUND((ROUND(AT15*CZ15,2)*1.15),2)</f>
        <v>0</v>
      </c>
      <c r="DC15">
        <f>ROUND((ROUND(AT15*AG15,2)*1.15),2)</f>
        <v>0</v>
      </c>
      <c r="DD15" t="s">
        <v>3</v>
      </c>
      <c r="DE15" t="s">
        <v>3</v>
      </c>
      <c r="DF15">
        <f t="shared" si="5"/>
        <v>0</v>
      </c>
      <c r="DG15">
        <f>ROUND(ROUND(AF15,2)*CX15,2)</f>
        <v>0</v>
      </c>
      <c r="DH15">
        <f>ROUND(ROUND(AG15*AK15,2)*CX15,2)</f>
        <v>0</v>
      </c>
      <c r="DI15">
        <f>ROUND(ROUND(AH15,2)*CX15,2)</f>
        <v>0</v>
      </c>
      <c r="DJ15">
        <f>DI15</f>
        <v>0</v>
      </c>
      <c r="DK15">
        <v>0</v>
      </c>
      <c r="DL15" t="s">
        <v>3</v>
      </c>
      <c r="DM15">
        <v>0</v>
      </c>
      <c r="DN15" t="s">
        <v>3</v>
      </c>
      <c r="DO15">
        <v>0</v>
      </c>
    </row>
    <row r="16" spans="1:119" x14ac:dyDescent="0.2">
      <c r="A16">
        <f>ROW(Source!A27)</f>
        <v>27</v>
      </c>
      <c r="B16">
        <v>146929938</v>
      </c>
      <c r="C16">
        <v>146930031</v>
      </c>
      <c r="D16">
        <v>134663092</v>
      </c>
      <c r="E16">
        <v>1</v>
      </c>
      <c r="F16">
        <v>1</v>
      </c>
      <c r="G16">
        <v>1</v>
      </c>
      <c r="H16">
        <v>2</v>
      </c>
      <c r="I16" t="s">
        <v>284</v>
      </c>
      <c r="J16" t="s">
        <v>285</v>
      </c>
      <c r="K16" t="s">
        <v>286</v>
      </c>
      <c r="L16">
        <v>1368</v>
      </c>
      <c r="N16">
        <v>1011</v>
      </c>
      <c r="O16" t="s">
        <v>259</v>
      </c>
      <c r="P16" t="s">
        <v>259</v>
      </c>
      <c r="Q16">
        <v>1</v>
      </c>
      <c r="W16">
        <v>0</v>
      </c>
      <c r="X16">
        <v>652324372</v>
      </c>
      <c r="Y16">
        <f>(AT16*1.15)</f>
        <v>3.6339999999999999</v>
      </c>
      <c r="AA16">
        <v>0</v>
      </c>
      <c r="AB16">
        <v>1000.24</v>
      </c>
      <c r="AC16">
        <v>460.35</v>
      </c>
      <c r="AD16">
        <v>0</v>
      </c>
      <c r="AE16">
        <v>0</v>
      </c>
      <c r="AF16">
        <v>79.069999999999993</v>
      </c>
      <c r="AG16">
        <v>13.5</v>
      </c>
      <c r="AH16">
        <v>0</v>
      </c>
      <c r="AI16">
        <v>1</v>
      </c>
      <c r="AJ16">
        <v>12.65</v>
      </c>
      <c r="AK16">
        <v>34.1</v>
      </c>
      <c r="AL16">
        <v>1</v>
      </c>
      <c r="AM16">
        <v>4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3.16</v>
      </c>
      <c r="AU16" t="s">
        <v>19</v>
      </c>
      <c r="AV16">
        <v>0</v>
      </c>
      <c r="AW16">
        <v>2</v>
      </c>
      <c r="AX16">
        <v>146930038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ROUND(Y16*Source!I27,9)</f>
        <v>1.4536</v>
      </c>
      <c r="CY16">
        <f>AB16</f>
        <v>1000.24</v>
      </c>
      <c r="CZ16">
        <f>AF16</f>
        <v>79.069999999999993</v>
      </c>
      <c r="DA16">
        <f>AJ16</f>
        <v>12.65</v>
      </c>
      <c r="DB16">
        <f>ROUND((ROUND(AT16*CZ16,2)*1.15),2)</f>
        <v>287.33999999999997</v>
      </c>
      <c r="DC16">
        <f>ROUND((ROUND(AT16*AG16,2)*1.15),2)</f>
        <v>49.06</v>
      </c>
      <c r="DD16" t="s">
        <v>3</v>
      </c>
      <c r="DE16" t="s">
        <v>3</v>
      </c>
      <c r="DF16">
        <f t="shared" si="5"/>
        <v>0</v>
      </c>
      <c r="DG16">
        <f>ROUND(ROUND(AF16*AJ16,2)*CX16,2)</f>
        <v>1453.95</v>
      </c>
      <c r="DH16">
        <f>ROUND(ROUND(AG16*AK16,2)*CX16,2)</f>
        <v>669.16</v>
      </c>
      <c r="DI16">
        <f>ROUND(ROUND(AH16,2)*CX16,2)</f>
        <v>0</v>
      </c>
      <c r="DJ16">
        <f>DG16</f>
        <v>1453.95</v>
      </c>
      <c r="DK16">
        <v>0</v>
      </c>
      <c r="DL16" t="s">
        <v>3</v>
      </c>
      <c r="DM16">
        <v>0</v>
      </c>
      <c r="DN16" t="s">
        <v>3</v>
      </c>
      <c r="DO16">
        <v>0</v>
      </c>
    </row>
    <row r="17" spans="1:119" x14ac:dyDescent="0.2">
      <c r="A17">
        <f>ROW(Source!A27)</f>
        <v>27</v>
      </c>
      <c r="B17">
        <v>146929938</v>
      </c>
      <c r="C17">
        <v>146930031</v>
      </c>
      <c r="D17">
        <v>134663204</v>
      </c>
      <c r="E17">
        <v>1</v>
      </c>
      <c r="F17">
        <v>1</v>
      </c>
      <c r="G17">
        <v>1</v>
      </c>
      <c r="H17">
        <v>2</v>
      </c>
      <c r="I17" t="s">
        <v>287</v>
      </c>
      <c r="J17" t="s">
        <v>288</v>
      </c>
      <c r="K17" t="s">
        <v>289</v>
      </c>
      <c r="L17">
        <v>1368</v>
      </c>
      <c r="N17">
        <v>1011</v>
      </c>
      <c r="O17" t="s">
        <v>259</v>
      </c>
      <c r="P17" t="s">
        <v>259</v>
      </c>
      <c r="Q17">
        <v>1</v>
      </c>
      <c r="W17">
        <v>0</v>
      </c>
      <c r="X17">
        <v>208459009</v>
      </c>
      <c r="Y17">
        <f>(AT17*1.15)</f>
        <v>10.660499999999999</v>
      </c>
      <c r="AA17">
        <v>0</v>
      </c>
      <c r="AB17">
        <v>1458.17</v>
      </c>
      <c r="AC17">
        <v>460.35</v>
      </c>
      <c r="AD17">
        <v>0</v>
      </c>
      <c r="AE17">
        <v>0</v>
      </c>
      <c r="AF17">
        <v>115.27</v>
      </c>
      <c r="AG17">
        <v>13.5</v>
      </c>
      <c r="AH17">
        <v>0</v>
      </c>
      <c r="AI17">
        <v>1</v>
      </c>
      <c r="AJ17">
        <v>12.65</v>
      </c>
      <c r="AK17">
        <v>34.1</v>
      </c>
      <c r="AL17">
        <v>1</v>
      </c>
      <c r="AM17">
        <v>4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</v>
      </c>
      <c r="AT17">
        <v>9.27</v>
      </c>
      <c r="AU17" t="s">
        <v>19</v>
      </c>
      <c r="AV17">
        <v>0</v>
      </c>
      <c r="AW17">
        <v>2</v>
      </c>
      <c r="AX17">
        <v>146930039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ROUND(Y17*Source!I27,9)</f>
        <v>4.2641999999999998</v>
      </c>
      <c r="CY17">
        <f>AB17</f>
        <v>1458.17</v>
      </c>
      <c r="CZ17">
        <f>AF17</f>
        <v>115.27</v>
      </c>
      <c r="DA17">
        <f>AJ17</f>
        <v>12.65</v>
      </c>
      <c r="DB17">
        <f>ROUND((ROUND(AT17*CZ17,2)*1.15),2)</f>
        <v>1228.83</v>
      </c>
      <c r="DC17">
        <f>ROUND((ROUND(AT17*AG17,2)*1.15),2)</f>
        <v>143.91999999999999</v>
      </c>
      <c r="DD17" t="s">
        <v>3</v>
      </c>
      <c r="DE17" t="s">
        <v>3</v>
      </c>
      <c r="DF17">
        <f t="shared" si="5"/>
        <v>0</v>
      </c>
      <c r="DG17">
        <f>ROUND(ROUND(AF17*AJ17,2)*CX17,2)</f>
        <v>6217.93</v>
      </c>
      <c r="DH17">
        <f>ROUND(ROUND(AG17*AK17,2)*CX17,2)</f>
        <v>1963.02</v>
      </c>
      <c r="DI17">
        <f>ROUND(ROUND(AH17,2)*CX17,2)</f>
        <v>0</v>
      </c>
      <c r="DJ17">
        <f>DG17</f>
        <v>6217.93</v>
      </c>
      <c r="DK17">
        <v>0</v>
      </c>
      <c r="DL17" t="s">
        <v>3</v>
      </c>
      <c r="DM17">
        <v>0</v>
      </c>
      <c r="DN17" t="s">
        <v>3</v>
      </c>
      <c r="DO17">
        <v>0</v>
      </c>
    </row>
    <row r="18" spans="1:119" x14ac:dyDescent="0.2">
      <c r="A18">
        <f>ROW(Source!A32)</f>
        <v>32</v>
      </c>
      <c r="B18">
        <v>146929938</v>
      </c>
      <c r="C18">
        <v>146930044</v>
      </c>
      <c r="D18">
        <v>140759935</v>
      </c>
      <c r="E18">
        <v>70</v>
      </c>
      <c r="F18">
        <v>1</v>
      </c>
      <c r="G18">
        <v>1</v>
      </c>
      <c r="H18">
        <v>1</v>
      </c>
      <c r="I18" t="s">
        <v>282</v>
      </c>
      <c r="J18" t="s">
        <v>3</v>
      </c>
      <c r="K18" t="s">
        <v>290</v>
      </c>
      <c r="L18">
        <v>1191</v>
      </c>
      <c r="N18">
        <v>1013</v>
      </c>
      <c r="O18" t="s">
        <v>253</v>
      </c>
      <c r="P18" t="s">
        <v>253</v>
      </c>
      <c r="Q18">
        <v>1</v>
      </c>
      <c r="W18">
        <v>0</v>
      </c>
      <c r="X18">
        <v>2031828327</v>
      </c>
      <c r="Y18">
        <f>((AT18*1.15)*1.15)</f>
        <v>11.743799999999998</v>
      </c>
      <c r="AA18">
        <v>0</v>
      </c>
      <c r="AB18">
        <v>0</v>
      </c>
      <c r="AC18">
        <v>0</v>
      </c>
      <c r="AD18">
        <v>265.98</v>
      </c>
      <c r="AE18">
        <v>0</v>
      </c>
      <c r="AF18">
        <v>0</v>
      </c>
      <c r="AG18">
        <v>0</v>
      </c>
      <c r="AH18">
        <v>7.8</v>
      </c>
      <c r="AI18">
        <v>1</v>
      </c>
      <c r="AJ18">
        <v>1</v>
      </c>
      <c r="AK18">
        <v>1</v>
      </c>
      <c r="AL18">
        <v>34.1</v>
      </c>
      <c r="AM18">
        <v>4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8.8800000000000008</v>
      </c>
      <c r="AU18" t="s">
        <v>80</v>
      </c>
      <c r="AV18">
        <v>1</v>
      </c>
      <c r="AW18">
        <v>2</v>
      </c>
      <c r="AX18">
        <v>146930048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ROUND(Y18*Source!I32,9)</f>
        <v>0.52612223999999996</v>
      </c>
      <c r="CY18">
        <f>AD18</f>
        <v>265.98</v>
      </c>
      <c r="CZ18">
        <f>AH18</f>
        <v>7.8</v>
      </c>
      <c r="DA18">
        <f>AL18</f>
        <v>34.1</v>
      </c>
      <c r="DB18">
        <f>ROUND(((ROUND(AT18*CZ18,2)*1.15)*1.15),2)</f>
        <v>91.6</v>
      </c>
      <c r="DC18">
        <f>ROUND(((ROUND(AT18*AG18,2)*1.15)*1.15),2)</f>
        <v>0</v>
      </c>
      <c r="DD18" t="s">
        <v>3</v>
      </c>
      <c r="DE18" t="s">
        <v>3</v>
      </c>
      <c r="DF18">
        <f t="shared" si="5"/>
        <v>0</v>
      </c>
      <c r="DG18">
        <f>ROUND(ROUND(AF18,2)*CX18,2)</f>
        <v>0</v>
      </c>
      <c r="DH18">
        <f>ROUND(ROUND(AG18,2)*CX18,2)</f>
        <v>0</v>
      </c>
      <c r="DI18">
        <f>ROUND(ROUND(AH18*AL18,2)*CX18,2)</f>
        <v>139.94</v>
      </c>
      <c r="DJ18">
        <f>DI18</f>
        <v>139.94</v>
      </c>
      <c r="DK18">
        <v>0</v>
      </c>
      <c r="DL18" t="s">
        <v>3</v>
      </c>
      <c r="DM18">
        <v>0</v>
      </c>
      <c r="DN18" t="s">
        <v>3</v>
      </c>
      <c r="DO18">
        <v>0</v>
      </c>
    </row>
    <row r="19" spans="1:119" x14ac:dyDescent="0.2">
      <c r="A19">
        <f>ROW(Source!A32)</f>
        <v>32</v>
      </c>
      <c r="B19">
        <v>146929938</v>
      </c>
      <c r="C19">
        <v>146930044</v>
      </c>
      <c r="D19">
        <v>140760225</v>
      </c>
      <c r="E19">
        <v>70</v>
      </c>
      <c r="F19">
        <v>1</v>
      </c>
      <c r="G19">
        <v>1</v>
      </c>
      <c r="H19">
        <v>1</v>
      </c>
      <c r="I19" t="s">
        <v>254</v>
      </c>
      <c r="J19" t="s">
        <v>3</v>
      </c>
      <c r="K19" t="s">
        <v>255</v>
      </c>
      <c r="L19">
        <v>1191</v>
      </c>
      <c r="N19">
        <v>1013</v>
      </c>
      <c r="O19" t="s">
        <v>253</v>
      </c>
      <c r="P19" t="s">
        <v>253</v>
      </c>
      <c r="Q19">
        <v>1</v>
      </c>
      <c r="W19">
        <v>0</v>
      </c>
      <c r="X19">
        <v>-1417349443</v>
      </c>
      <c r="Y19">
        <f>((AT19*1.25)*1.15)</f>
        <v>27.743749999999999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1</v>
      </c>
      <c r="AJ19">
        <v>1</v>
      </c>
      <c r="AK19">
        <v>34.1</v>
      </c>
      <c r="AL19">
        <v>1</v>
      </c>
      <c r="AM19">
        <v>4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19.3</v>
      </c>
      <c r="AU19" t="s">
        <v>79</v>
      </c>
      <c r="AV19">
        <v>2</v>
      </c>
      <c r="AW19">
        <v>2</v>
      </c>
      <c r="AX19">
        <v>146930049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ROUND(Y19*Source!I32,9)</f>
        <v>1.24292</v>
      </c>
      <c r="CY19">
        <f>AD19</f>
        <v>0</v>
      </c>
      <c r="CZ19">
        <f>AH19</f>
        <v>0</v>
      </c>
      <c r="DA19">
        <f>AL19</f>
        <v>1</v>
      </c>
      <c r="DB19">
        <f>ROUND(((ROUND(AT19*CZ19,2)*1.25)*1.15),2)</f>
        <v>0</v>
      </c>
      <c r="DC19">
        <f>ROUND(((ROUND(AT19*AG19,2)*1.25)*1.15),2)</f>
        <v>0</v>
      </c>
      <c r="DD19" t="s">
        <v>3</v>
      </c>
      <c r="DE19" t="s">
        <v>3</v>
      </c>
      <c r="DF19">
        <f t="shared" si="5"/>
        <v>0</v>
      </c>
      <c r="DG19">
        <f>ROUND(ROUND(AF19,2)*CX19,2)</f>
        <v>0</v>
      </c>
      <c r="DH19">
        <f>ROUND(ROUND(AG19*AK19,2)*CX19,2)</f>
        <v>0</v>
      </c>
      <c r="DI19">
        <f>ROUND(ROUND(AH19,2)*CX19,2)</f>
        <v>0</v>
      </c>
      <c r="DJ19">
        <f>DI19</f>
        <v>0</v>
      </c>
      <c r="DK19">
        <v>0</v>
      </c>
      <c r="DL19" t="s">
        <v>3</v>
      </c>
      <c r="DM19">
        <v>0</v>
      </c>
      <c r="DN19" t="s">
        <v>3</v>
      </c>
      <c r="DO19">
        <v>0</v>
      </c>
    </row>
    <row r="20" spans="1:119" x14ac:dyDescent="0.2">
      <c r="A20">
        <f>ROW(Source!A32)</f>
        <v>32</v>
      </c>
      <c r="B20">
        <v>146929938</v>
      </c>
      <c r="C20">
        <v>146930044</v>
      </c>
      <c r="D20">
        <v>140922461</v>
      </c>
      <c r="E20">
        <v>1</v>
      </c>
      <c r="F20">
        <v>1</v>
      </c>
      <c r="G20">
        <v>1</v>
      </c>
      <c r="H20">
        <v>2</v>
      </c>
      <c r="I20" t="s">
        <v>287</v>
      </c>
      <c r="J20" t="s">
        <v>288</v>
      </c>
      <c r="K20" t="s">
        <v>289</v>
      </c>
      <c r="L20">
        <v>1367</v>
      </c>
      <c r="N20">
        <v>1011</v>
      </c>
      <c r="O20" t="s">
        <v>277</v>
      </c>
      <c r="P20" t="s">
        <v>277</v>
      </c>
      <c r="Q20">
        <v>1</v>
      </c>
      <c r="W20">
        <v>0</v>
      </c>
      <c r="X20">
        <v>145565111</v>
      </c>
      <c r="Y20">
        <f>((AT20*1.25)*1.15)</f>
        <v>27.743749999999999</v>
      </c>
      <c r="AA20">
        <v>0</v>
      </c>
      <c r="AB20">
        <v>1458.17</v>
      </c>
      <c r="AC20">
        <v>460.35</v>
      </c>
      <c r="AD20">
        <v>0</v>
      </c>
      <c r="AE20">
        <v>0</v>
      </c>
      <c r="AF20">
        <v>115.27</v>
      </c>
      <c r="AG20">
        <v>13.5</v>
      </c>
      <c r="AH20">
        <v>0</v>
      </c>
      <c r="AI20">
        <v>1</v>
      </c>
      <c r="AJ20">
        <v>12.65</v>
      </c>
      <c r="AK20">
        <v>34.1</v>
      </c>
      <c r="AL20">
        <v>1</v>
      </c>
      <c r="AM20">
        <v>4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19.3</v>
      </c>
      <c r="AU20" t="s">
        <v>79</v>
      </c>
      <c r="AV20">
        <v>0</v>
      </c>
      <c r="AW20">
        <v>2</v>
      </c>
      <c r="AX20">
        <v>146930050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ROUND(Y20*Source!I32,9)</f>
        <v>1.24292</v>
      </c>
      <c r="CY20">
        <f>AB20</f>
        <v>1458.17</v>
      </c>
      <c r="CZ20">
        <f>AF20</f>
        <v>115.27</v>
      </c>
      <c r="DA20">
        <f>AJ20</f>
        <v>12.65</v>
      </c>
      <c r="DB20">
        <f>ROUND(((ROUND(AT20*CZ20,2)*1.25)*1.15),2)</f>
        <v>3198.02</v>
      </c>
      <c r="DC20">
        <f>ROUND(((ROUND(AT20*AG20,2)*1.25)*1.15),2)</f>
        <v>374.54</v>
      </c>
      <c r="DD20" t="s">
        <v>3</v>
      </c>
      <c r="DE20" t="s">
        <v>3</v>
      </c>
      <c r="DF20">
        <f t="shared" si="5"/>
        <v>0</v>
      </c>
      <c r="DG20">
        <f>ROUND(ROUND(AF20*AJ20,2)*CX20,2)</f>
        <v>1812.39</v>
      </c>
      <c r="DH20">
        <f>ROUND(ROUND(AG20*AK20,2)*CX20,2)</f>
        <v>572.17999999999995</v>
      </c>
      <c r="DI20">
        <f>ROUND(ROUND(AH20,2)*CX20,2)</f>
        <v>0</v>
      </c>
      <c r="DJ20">
        <f>DG20</f>
        <v>1812.39</v>
      </c>
      <c r="DK20">
        <v>0</v>
      </c>
      <c r="DL20" t="s">
        <v>3</v>
      </c>
      <c r="DM20">
        <v>0</v>
      </c>
      <c r="DN20" t="s">
        <v>3</v>
      </c>
      <c r="DO20">
        <v>0</v>
      </c>
    </row>
    <row r="21" spans="1:119" x14ac:dyDescent="0.2">
      <c r="A21">
        <f>ROW(Source!A33)</f>
        <v>33</v>
      </c>
      <c r="B21">
        <v>146929938</v>
      </c>
      <c r="C21">
        <v>146930332</v>
      </c>
      <c r="D21">
        <v>140759950</v>
      </c>
      <c r="E21">
        <v>70</v>
      </c>
      <c r="F21">
        <v>1</v>
      </c>
      <c r="G21">
        <v>1</v>
      </c>
      <c r="H21">
        <v>1</v>
      </c>
      <c r="I21" t="s">
        <v>291</v>
      </c>
      <c r="J21" t="s">
        <v>3</v>
      </c>
      <c r="K21" t="s">
        <v>292</v>
      </c>
      <c r="L21">
        <v>1191</v>
      </c>
      <c r="N21">
        <v>1013</v>
      </c>
      <c r="O21" t="s">
        <v>253</v>
      </c>
      <c r="P21" t="s">
        <v>253</v>
      </c>
      <c r="Q21">
        <v>1</v>
      </c>
      <c r="W21">
        <v>0</v>
      </c>
      <c r="X21">
        <v>1903864200</v>
      </c>
      <c r="Y21">
        <f>((AT21*1.15)*1.15)</f>
        <v>19.043999999999997</v>
      </c>
      <c r="AA21">
        <v>0</v>
      </c>
      <c r="AB21">
        <v>0</v>
      </c>
      <c r="AC21">
        <v>0</v>
      </c>
      <c r="AD21">
        <v>273.48</v>
      </c>
      <c r="AE21">
        <v>0</v>
      </c>
      <c r="AF21">
        <v>0</v>
      </c>
      <c r="AG21">
        <v>0</v>
      </c>
      <c r="AH21">
        <v>8.02</v>
      </c>
      <c r="AI21">
        <v>1</v>
      </c>
      <c r="AJ21">
        <v>1</v>
      </c>
      <c r="AK21">
        <v>1</v>
      </c>
      <c r="AL21">
        <v>34.1</v>
      </c>
      <c r="AM21">
        <v>4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14.4</v>
      </c>
      <c r="AU21" t="s">
        <v>80</v>
      </c>
      <c r="AV21">
        <v>1</v>
      </c>
      <c r="AW21">
        <v>2</v>
      </c>
      <c r="AX21">
        <v>146930333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ROUND(Y21*Source!I33,9)</f>
        <v>8.2270079999999997</v>
      </c>
      <c r="CY21">
        <f>AD21</f>
        <v>273.48</v>
      </c>
      <c r="CZ21">
        <f>AH21</f>
        <v>8.02</v>
      </c>
      <c r="DA21">
        <f>AL21</f>
        <v>34.1</v>
      </c>
      <c r="DB21">
        <f>ROUND(((ROUND(AT21*CZ21,2)*1.15)*1.15),2)</f>
        <v>152.74</v>
      </c>
      <c r="DC21">
        <f>ROUND(((ROUND(AT21*AG21,2)*1.15)*1.15),2)</f>
        <v>0</v>
      </c>
      <c r="DD21" t="s">
        <v>3</v>
      </c>
      <c r="DE21" t="s">
        <v>3</v>
      </c>
      <c r="DF21">
        <f t="shared" si="5"/>
        <v>0</v>
      </c>
      <c r="DG21">
        <f>ROUND(ROUND(AF21,2)*CX21,2)</f>
        <v>0</v>
      </c>
      <c r="DH21">
        <f>ROUND(ROUND(AG21,2)*CX21,2)</f>
        <v>0</v>
      </c>
      <c r="DI21">
        <f>ROUND(ROUND(AH21*AL21,2)*CX21,2)</f>
        <v>2249.92</v>
      </c>
      <c r="DJ21">
        <f>DI21</f>
        <v>2249.92</v>
      </c>
      <c r="DK21">
        <v>0</v>
      </c>
      <c r="DL21" t="s">
        <v>3</v>
      </c>
      <c r="DM21">
        <v>0</v>
      </c>
      <c r="DN21" t="s">
        <v>3</v>
      </c>
      <c r="DO21">
        <v>0</v>
      </c>
    </row>
    <row r="22" spans="1:119" x14ac:dyDescent="0.2">
      <c r="A22">
        <f>ROW(Source!A33)</f>
        <v>33</v>
      </c>
      <c r="B22">
        <v>146929938</v>
      </c>
      <c r="C22">
        <v>146930332</v>
      </c>
      <c r="D22">
        <v>140760225</v>
      </c>
      <c r="E22">
        <v>70</v>
      </c>
      <c r="F22">
        <v>1</v>
      </c>
      <c r="G22">
        <v>1</v>
      </c>
      <c r="H22">
        <v>1</v>
      </c>
      <c r="I22" t="s">
        <v>254</v>
      </c>
      <c r="J22" t="s">
        <v>3</v>
      </c>
      <c r="K22" t="s">
        <v>255</v>
      </c>
      <c r="L22">
        <v>1191</v>
      </c>
      <c r="N22">
        <v>1013</v>
      </c>
      <c r="O22" t="s">
        <v>253</v>
      </c>
      <c r="P22" t="s">
        <v>253</v>
      </c>
      <c r="Q22">
        <v>1</v>
      </c>
      <c r="W22">
        <v>0</v>
      </c>
      <c r="X22">
        <v>-1417349443</v>
      </c>
      <c r="Y22">
        <f>((AT22*1.25)*1.15)</f>
        <v>19.952500000000001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34.1</v>
      </c>
      <c r="AL22">
        <v>1</v>
      </c>
      <c r="AM22">
        <v>4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13.88</v>
      </c>
      <c r="AU22" t="s">
        <v>79</v>
      </c>
      <c r="AV22">
        <v>2</v>
      </c>
      <c r="AW22">
        <v>2</v>
      </c>
      <c r="AX22">
        <v>146930334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ROUND(Y22*Source!I33,9)</f>
        <v>8.6194799999999994</v>
      </c>
      <c r="CY22">
        <f>AD22</f>
        <v>0</v>
      </c>
      <c r="CZ22">
        <f>AH22</f>
        <v>0</v>
      </c>
      <c r="DA22">
        <f>AL22</f>
        <v>1</v>
      </c>
      <c r="DB22">
        <f>ROUND(((ROUND(AT22*CZ22,2)*1.25)*1.15),2)</f>
        <v>0</v>
      </c>
      <c r="DC22">
        <f>ROUND(((ROUND(AT22*AG22,2)*1.25)*1.15),2)</f>
        <v>0</v>
      </c>
      <c r="DD22" t="s">
        <v>3</v>
      </c>
      <c r="DE22" t="s">
        <v>3</v>
      </c>
      <c r="DF22">
        <f t="shared" si="5"/>
        <v>0</v>
      </c>
      <c r="DG22">
        <f>ROUND(ROUND(AF22,2)*CX22,2)</f>
        <v>0</v>
      </c>
      <c r="DH22">
        <f>ROUND(ROUND(AG22*AK22,2)*CX22,2)</f>
        <v>0</v>
      </c>
      <c r="DI22">
        <f t="shared" ref="DI22:DI28" si="6">ROUND(ROUND(AH22,2)*CX22,2)</f>
        <v>0</v>
      </c>
      <c r="DJ22">
        <f>DI22</f>
        <v>0</v>
      </c>
      <c r="DK22">
        <v>0</v>
      </c>
      <c r="DL22" t="s">
        <v>3</v>
      </c>
      <c r="DM22">
        <v>0</v>
      </c>
      <c r="DN22" t="s">
        <v>3</v>
      </c>
      <c r="DO22">
        <v>0</v>
      </c>
    </row>
    <row r="23" spans="1:119" x14ac:dyDescent="0.2">
      <c r="A23">
        <f>ROW(Source!A33)</f>
        <v>33</v>
      </c>
      <c r="B23">
        <v>146929938</v>
      </c>
      <c r="C23">
        <v>146930332</v>
      </c>
      <c r="D23">
        <v>140922409</v>
      </c>
      <c r="E23">
        <v>1</v>
      </c>
      <c r="F23">
        <v>1</v>
      </c>
      <c r="G23">
        <v>1</v>
      </c>
      <c r="H23">
        <v>2</v>
      </c>
      <c r="I23" t="s">
        <v>293</v>
      </c>
      <c r="J23" t="s">
        <v>294</v>
      </c>
      <c r="K23" t="s">
        <v>295</v>
      </c>
      <c r="L23">
        <v>1367</v>
      </c>
      <c r="N23">
        <v>1011</v>
      </c>
      <c r="O23" t="s">
        <v>277</v>
      </c>
      <c r="P23" t="s">
        <v>277</v>
      </c>
      <c r="Q23">
        <v>1</v>
      </c>
      <c r="W23">
        <v>0</v>
      </c>
      <c r="X23">
        <v>468669606</v>
      </c>
      <c r="Y23">
        <f>((AT23*1.25)*1.15)</f>
        <v>2.5443749999999996</v>
      </c>
      <c r="AA23">
        <v>0</v>
      </c>
      <c r="AB23">
        <v>1555.95</v>
      </c>
      <c r="AC23">
        <v>460.35</v>
      </c>
      <c r="AD23">
        <v>0</v>
      </c>
      <c r="AE23">
        <v>0</v>
      </c>
      <c r="AF23">
        <v>123</v>
      </c>
      <c r="AG23">
        <v>13.5</v>
      </c>
      <c r="AH23">
        <v>0</v>
      </c>
      <c r="AI23">
        <v>1</v>
      </c>
      <c r="AJ23">
        <v>12.65</v>
      </c>
      <c r="AK23">
        <v>34.1</v>
      </c>
      <c r="AL23">
        <v>1</v>
      </c>
      <c r="AM23">
        <v>4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1.77</v>
      </c>
      <c r="AU23" t="s">
        <v>79</v>
      </c>
      <c r="AV23">
        <v>0</v>
      </c>
      <c r="AW23">
        <v>2</v>
      </c>
      <c r="AX23">
        <v>146930335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ROUND(Y23*Source!I33,9)</f>
        <v>1.09917</v>
      </c>
      <c r="CY23">
        <f>AB23</f>
        <v>1555.95</v>
      </c>
      <c r="CZ23">
        <f>AF23</f>
        <v>123</v>
      </c>
      <c r="DA23">
        <f>AJ23</f>
        <v>12.65</v>
      </c>
      <c r="DB23">
        <f>ROUND(((ROUND(AT23*CZ23,2)*1.25)*1.15),2)</f>
        <v>312.95999999999998</v>
      </c>
      <c r="DC23">
        <f>ROUND(((ROUND(AT23*AG23,2)*1.25)*1.15),2)</f>
        <v>34.36</v>
      </c>
      <c r="DD23" t="s">
        <v>3</v>
      </c>
      <c r="DE23" t="s">
        <v>3</v>
      </c>
      <c r="DF23">
        <f t="shared" si="5"/>
        <v>0</v>
      </c>
      <c r="DG23">
        <f>ROUND(ROUND(AF23*AJ23,2)*CX23,2)</f>
        <v>1710.25</v>
      </c>
      <c r="DH23">
        <f>ROUND(ROUND(AG23*AK23,2)*CX23,2)</f>
        <v>506</v>
      </c>
      <c r="DI23">
        <f t="shared" si="6"/>
        <v>0</v>
      </c>
      <c r="DJ23">
        <f>DG23</f>
        <v>1710.25</v>
      </c>
      <c r="DK23">
        <v>0</v>
      </c>
      <c r="DL23" t="s">
        <v>3</v>
      </c>
      <c r="DM23">
        <v>0</v>
      </c>
      <c r="DN23" t="s">
        <v>3</v>
      </c>
      <c r="DO23">
        <v>0</v>
      </c>
    </row>
    <row r="24" spans="1:119" x14ac:dyDescent="0.2">
      <c r="A24">
        <f>ROW(Source!A33)</f>
        <v>33</v>
      </c>
      <c r="B24">
        <v>146929938</v>
      </c>
      <c r="C24">
        <v>146930332</v>
      </c>
      <c r="D24">
        <v>140923105</v>
      </c>
      <c r="E24">
        <v>1</v>
      </c>
      <c r="F24">
        <v>1</v>
      </c>
      <c r="G24">
        <v>1</v>
      </c>
      <c r="H24">
        <v>2</v>
      </c>
      <c r="I24" t="s">
        <v>296</v>
      </c>
      <c r="J24" t="s">
        <v>297</v>
      </c>
      <c r="K24" t="s">
        <v>298</v>
      </c>
      <c r="L24">
        <v>1367</v>
      </c>
      <c r="N24">
        <v>1011</v>
      </c>
      <c r="O24" t="s">
        <v>277</v>
      </c>
      <c r="P24" t="s">
        <v>277</v>
      </c>
      <c r="Q24">
        <v>1</v>
      </c>
      <c r="W24">
        <v>0</v>
      </c>
      <c r="X24">
        <v>-896236776</v>
      </c>
      <c r="Y24">
        <f>((AT24*1.25)*1.15)</f>
        <v>6.1668749999999992</v>
      </c>
      <c r="AA24">
        <v>0</v>
      </c>
      <c r="AB24">
        <v>1138.3699999999999</v>
      </c>
      <c r="AC24">
        <v>343.05</v>
      </c>
      <c r="AD24">
        <v>0</v>
      </c>
      <c r="AE24">
        <v>0</v>
      </c>
      <c r="AF24">
        <v>89.99</v>
      </c>
      <c r="AG24">
        <v>10.06</v>
      </c>
      <c r="AH24">
        <v>0</v>
      </c>
      <c r="AI24">
        <v>1</v>
      </c>
      <c r="AJ24">
        <v>12.65</v>
      </c>
      <c r="AK24">
        <v>34.1</v>
      </c>
      <c r="AL24">
        <v>1</v>
      </c>
      <c r="AM24">
        <v>4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4.29</v>
      </c>
      <c r="AU24" t="s">
        <v>79</v>
      </c>
      <c r="AV24">
        <v>0</v>
      </c>
      <c r="AW24">
        <v>2</v>
      </c>
      <c r="AX24">
        <v>146930336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ROUND(Y24*Source!I33,9)</f>
        <v>2.6640899999999998</v>
      </c>
      <c r="CY24">
        <f>AB24</f>
        <v>1138.3699999999999</v>
      </c>
      <c r="CZ24">
        <f>AF24</f>
        <v>89.99</v>
      </c>
      <c r="DA24">
        <f>AJ24</f>
        <v>12.65</v>
      </c>
      <c r="DB24">
        <f>ROUND(((ROUND(AT24*CZ24,2)*1.25)*1.15),2)</f>
        <v>554.96</v>
      </c>
      <c r="DC24">
        <f>ROUND(((ROUND(AT24*AG24,2)*1.25)*1.15),2)</f>
        <v>62.04</v>
      </c>
      <c r="DD24" t="s">
        <v>3</v>
      </c>
      <c r="DE24" t="s">
        <v>3</v>
      </c>
      <c r="DF24">
        <f t="shared" si="5"/>
        <v>0</v>
      </c>
      <c r="DG24">
        <f>ROUND(ROUND(AF24*AJ24,2)*CX24,2)</f>
        <v>3032.72</v>
      </c>
      <c r="DH24">
        <f>ROUND(ROUND(AG24*AK24,2)*CX24,2)</f>
        <v>913.92</v>
      </c>
      <c r="DI24">
        <f t="shared" si="6"/>
        <v>0</v>
      </c>
      <c r="DJ24">
        <f>DG24</f>
        <v>3032.72</v>
      </c>
      <c r="DK24">
        <v>0</v>
      </c>
      <c r="DL24" t="s">
        <v>3</v>
      </c>
      <c r="DM24">
        <v>0</v>
      </c>
      <c r="DN24" t="s">
        <v>3</v>
      </c>
      <c r="DO24">
        <v>0</v>
      </c>
    </row>
    <row r="25" spans="1:119" x14ac:dyDescent="0.2">
      <c r="A25">
        <f>ROW(Source!A33)</f>
        <v>33</v>
      </c>
      <c r="B25">
        <v>146929938</v>
      </c>
      <c r="C25">
        <v>146930332</v>
      </c>
      <c r="D25">
        <v>140923339</v>
      </c>
      <c r="E25">
        <v>1</v>
      </c>
      <c r="F25">
        <v>1</v>
      </c>
      <c r="G25">
        <v>1</v>
      </c>
      <c r="H25">
        <v>2</v>
      </c>
      <c r="I25" t="s">
        <v>299</v>
      </c>
      <c r="J25" t="s">
        <v>300</v>
      </c>
      <c r="K25" t="s">
        <v>301</v>
      </c>
      <c r="L25">
        <v>1367</v>
      </c>
      <c r="N25">
        <v>1011</v>
      </c>
      <c r="O25" t="s">
        <v>277</v>
      </c>
      <c r="P25" t="s">
        <v>277</v>
      </c>
      <c r="Q25">
        <v>1</v>
      </c>
      <c r="W25">
        <v>0</v>
      </c>
      <c r="X25">
        <v>2136760994</v>
      </c>
      <c r="Y25">
        <f>((AT25*1.25)*1.15)</f>
        <v>10.177499999999998</v>
      </c>
      <c r="AA25">
        <v>0</v>
      </c>
      <c r="AB25">
        <v>4605.49</v>
      </c>
      <c r="AC25">
        <v>460.35</v>
      </c>
      <c r="AD25">
        <v>0</v>
      </c>
      <c r="AE25">
        <v>0</v>
      </c>
      <c r="AF25">
        <v>364.07</v>
      </c>
      <c r="AG25">
        <v>13.5</v>
      </c>
      <c r="AH25">
        <v>0</v>
      </c>
      <c r="AI25">
        <v>1</v>
      </c>
      <c r="AJ25">
        <v>12.65</v>
      </c>
      <c r="AK25">
        <v>34.1</v>
      </c>
      <c r="AL25">
        <v>1</v>
      </c>
      <c r="AM25">
        <v>4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7.08</v>
      </c>
      <c r="AU25" t="s">
        <v>79</v>
      </c>
      <c r="AV25">
        <v>0</v>
      </c>
      <c r="AW25">
        <v>2</v>
      </c>
      <c r="AX25">
        <v>146930337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ROUND(Y25*Source!I33,9)</f>
        <v>4.3966799999999999</v>
      </c>
      <c r="CY25">
        <f>AB25</f>
        <v>4605.49</v>
      </c>
      <c r="CZ25">
        <f>AF25</f>
        <v>364.07</v>
      </c>
      <c r="DA25">
        <f>AJ25</f>
        <v>12.65</v>
      </c>
      <c r="DB25">
        <f>ROUND(((ROUND(AT25*CZ25,2)*1.25)*1.15),2)</f>
        <v>3705.33</v>
      </c>
      <c r="DC25">
        <f>ROUND(((ROUND(AT25*AG25,2)*1.25)*1.15),2)</f>
        <v>137.4</v>
      </c>
      <c r="DD25" t="s">
        <v>3</v>
      </c>
      <c r="DE25" t="s">
        <v>3</v>
      </c>
      <c r="DF25">
        <f t="shared" si="5"/>
        <v>0</v>
      </c>
      <c r="DG25">
        <f>ROUND(ROUND(AF25*AJ25,2)*CX25,2)</f>
        <v>20248.87</v>
      </c>
      <c r="DH25">
        <f>ROUND(ROUND(AG25*AK25,2)*CX25,2)</f>
        <v>2024.01</v>
      </c>
      <c r="DI25">
        <f t="shared" si="6"/>
        <v>0</v>
      </c>
      <c r="DJ25">
        <f>DG25</f>
        <v>20248.87</v>
      </c>
      <c r="DK25">
        <v>0</v>
      </c>
      <c r="DL25" t="s">
        <v>3</v>
      </c>
      <c r="DM25">
        <v>0</v>
      </c>
      <c r="DN25" t="s">
        <v>3</v>
      </c>
      <c r="DO25">
        <v>0</v>
      </c>
    </row>
    <row r="26" spans="1:119" x14ac:dyDescent="0.2">
      <c r="A26">
        <f>ROW(Source!A33)</f>
        <v>33</v>
      </c>
      <c r="B26">
        <v>146929938</v>
      </c>
      <c r="C26">
        <v>146930332</v>
      </c>
      <c r="D26">
        <v>140923832</v>
      </c>
      <c r="E26">
        <v>1</v>
      </c>
      <c r="F26">
        <v>1</v>
      </c>
      <c r="G26">
        <v>1</v>
      </c>
      <c r="H26">
        <v>2</v>
      </c>
      <c r="I26" t="s">
        <v>263</v>
      </c>
      <c r="J26" t="s">
        <v>264</v>
      </c>
      <c r="K26" t="s">
        <v>265</v>
      </c>
      <c r="L26">
        <v>1367</v>
      </c>
      <c r="N26">
        <v>1011</v>
      </c>
      <c r="O26" t="s">
        <v>277</v>
      </c>
      <c r="P26" t="s">
        <v>277</v>
      </c>
      <c r="Q26">
        <v>1</v>
      </c>
      <c r="W26">
        <v>0</v>
      </c>
      <c r="X26">
        <v>-859805338</v>
      </c>
      <c r="Y26">
        <f>((AT26*1.25)*1.15)</f>
        <v>1.06375</v>
      </c>
      <c r="AA26">
        <v>0</v>
      </c>
      <c r="AB26">
        <v>1391.5</v>
      </c>
      <c r="AC26">
        <v>395.56</v>
      </c>
      <c r="AD26">
        <v>0</v>
      </c>
      <c r="AE26">
        <v>0</v>
      </c>
      <c r="AF26">
        <v>110</v>
      </c>
      <c r="AG26">
        <v>11.6</v>
      </c>
      <c r="AH26">
        <v>0</v>
      </c>
      <c r="AI26">
        <v>1</v>
      </c>
      <c r="AJ26">
        <v>12.65</v>
      </c>
      <c r="AK26">
        <v>34.1</v>
      </c>
      <c r="AL26">
        <v>1</v>
      </c>
      <c r="AM26">
        <v>4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0.74</v>
      </c>
      <c r="AU26" t="s">
        <v>79</v>
      </c>
      <c r="AV26">
        <v>0</v>
      </c>
      <c r="AW26">
        <v>2</v>
      </c>
      <c r="AX26">
        <v>146930338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ROUND(Y26*Source!I33,9)</f>
        <v>0.45954</v>
      </c>
      <c r="CY26">
        <f>AB26</f>
        <v>1391.5</v>
      </c>
      <c r="CZ26">
        <f>AF26</f>
        <v>110</v>
      </c>
      <c r="DA26">
        <f>AJ26</f>
        <v>12.65</v>
      </c>
      <c r="DB26">
        <f>ROUND(((ROUND(AT26*CZ26,2)*1.25)*1.15),2)</f>
        <v>117.01</v>
      </c>
      <c r="DC26">
        <f>ROUND(((ROUND(AT26*AG26,2)*1.25)*1.15),2)</f>
        <v>12.33</v>
      </c>
      <c r="DD26" t="s">
        <v>3</v>
      </c>
      <c r="DE26" t="s">
        <v>3</v>
      </c>
      <c r="DF26">
        <f t="shared" si="5"/>
        <v>0</v>
      </c>
      <c r="DG26">
        <f>ROUND(ROUND(AF26*AJ26,2)*CX26,2)</f>
        <v>639.45000000000005</v>
      </c>
      <c r="DH26">
        <f>ROUND(ROUND(AG26*AK26,2)*CX26,2)</f>
        <v>181.78</v>
      </c>
      <c r="DI26">
        <f t="shared" si="6"/>
        <v>0</v>
      </c>
      <c r="DJ26">
        <f>DG26</f>
        <v>639.45000000000005</v>
      </c>
      <c r="DK26">
        <v>0</v>
      </c>
      <c r="DL26" t="s">
        <v>3</v>
      </c>
      <c r="DM26">
        <v>0</v>
      </c>
      <c r="DN26" t="s">
        <v>3</v>
      </c>
      <c r="DO26">
        <v>0</v>
      </c>
    </row>
    <row r="27" spans="1:119" x14ac:dyDescent="0.2">
      <c r="A27">
        <f>ROW(Source!A33)</f>
        <v>33</v>
      </c>
      <c r="B27">
        <v>146929938</v>
      </c>
      <c r="C27">
        <v>146930332</v>
      </c>
      <c r="D27">
        <v>140772680</v>
      </c>
      <c r="E27">
        <v>1</v>
      </c>
      <c r="F27">
        <v>1</v>
      </c>
      <c r="G27">
        <v>1</v>
      </c>
      <c r="H27">
        <v>3</v>
      </c>
      <c r="I27" t="s">
        <v>269</v>
      </c>
      <c r="J27" t="s">
        <v>270</v>
      </c>
      <c r="K27" t="s">
        <v>271</v>
      </c>
      <c r="L27">
        <v>1339</v>
      </c>
      <c r="N27">
        <v>1007</v>
      </c>
      <c r="O27" t="s">
        <v>68</v>
      </c>
      <c r="P27" t="s">
        <v>68</v>
      </c>
      <c r="Q27">
        <v>1</v>
      </c>
      <c r="W27">
        <v>0</v>
      </c>
      <c r="X27">
        <v>-143474561</v>
      </c>
      <c r="Y27">
        <f>AT27</f>
        <v>5</v>
      </c>
      <c r="AA27">
        <v>22.08</v>
      </c>
      <c r="AB27">
        <v>0</v>
      </c>
      <c r="AC27">
        <v>0</v>
      </c>
      <c r="AD27">
        <v>0</v>
      </c>
      <c r="AE27">
        <v>2.44</v>
      </c>
      <c r="AF27">
        <v>0</v>
      </c>
      <c r="AG27">
        <v>0</v>
      </c>
      <c r="AH27">
        <v>0</v>
      </c>
      <c r="AI27">
        <v>9.0500000000000007</v>
      </c>
      <c r="AJ27">
        <v>1</v>
      </c>
      <c r="AK27">
        <v>1</v>
      </c>
      <c r="AL27">
        <v>1</v>
      </c>
      <c r="AM27">
        <v>4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5</v>
      </c>
      <c r="AU27" t="s">
        <v>3</v>
      </c>
      <c r="AV27">
        <v>0</v>
      </c>
      <c r="AW27">
        <v>2</v>
      </c>
      <c r="AX27">
        <v>146930339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ROUND(Y27*Source!I33,9)</f>
        <v>2.16</v>
      </c>
      <c r="CY27">
        <f>AA27</f>
        <v>22.08</v>
      </c>
      <c r="CZ27">
        <f>AE27</f>
        <v>2.44</v>
      </c>
      <c r="DA27">
        <f>AI27</f>
        <v>9.0500000000000007</v>
      </c>
      <c r="DB27">
        <f>ROUND(ROUND(AT27*CZ27,2),2)</f>
        <v>12.2</v>
      </c>
      <c r="DC27">
        <f>ROUND(ROUND(AT27*AG27,2),2)</f>
        <v>0</v>
      </c>
      <c r="DD27" t="s">
        <v>3</v>
      </c>
      <c r="DE27" t="s">
        <v>3</v>
      </c>
      <c r="DF27">
        <f>ROUND(ROUND(AE27*AI27,2)*CX27,2)</f>
        <v>47.69</v>
      </c>
      <c r="DG27">
        <f>ROUND(ROUND(AF27,2)*CX27,2)</f>
        <v>0</v>
      </c>
      <c r="DH27">
        <f>ROUND(ROUND(AG27,2)*CX27,2)</f>
        <v>0</v>
      </c>
      <c r="DI27">
        <f t="shared" si="6"/>
        <v>0</v>
      </c>
      <c r="DJ27">
        <f>DF27</f>
        <v>47.69</v>
      </c>
      <c r="DK27">
        <v>0</v>
      </c>
      <c r="DL27" t="s">
        <v>3</v>
      </c>
      <c r="DM27">
        <v>0</v>
      </c>
      <c r="DN27" t="s">
        <v>3</v>
      </c>
      <c r="DO27">
        <v>0</v>
      </c>
    </row>
    <row r="28" spans="1:119" x14ac:dyDescent="0.2">
      <c r="A28">
        <f>ROW(Source!A33)</f>
        <v>33</v>
      </c>
      <c r="B28">
        <v>146929938</v>
      </c>
      <c r="C28">
        <v>146930332</v>
      </c>
      <c r="D28">
        <v>140760955</v>
      </c>
      <c r="E28">
        <v>70</v>
      </c>
      <c r="F28">
        <v>1</v>
      </c>
      <c r="G28">
        <v>1</v>
      </c>
      <c r="H28">
        <v>3</v>
      </c>
      <c r="I28" t="s">
        <v>302</v>
      </c>
      <c r="J28" t="s">
        <v>3</v>
      </c>
      <c r="K28" t="s">
        <v>303</v>
      </c>
      <c r="L28">
        <v>1339</v>
      </c>
      <c r="N28">
        <v>1007</v>
      </c>
      <c r="O28" t="s">
        <v>68</v>
      </c>
      <c r="P28" t="s">
        <v>68</v>
      </c>
      <c r="Q28">
        <v>1</v>
      </c>
      <c r="W28">
        <v>0</v>
      </c>
      <c r="X28">
        <v>220090467</v>
      </c>
      <c r="Y28">
        <f>AT28</f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9.0500000000000007</v>
      </c>
      <c r="AJ28">
        <v>1</v>
      </c>
      <c r="AK28">
        <v>1</v>
      </c>
      <c r="AL28">
        <v>1</v>
      </c>
      <c r="AM28">
        <v>4</v>
      </c>
      <c r="AN28">
        <v>1</v>
      </c>
      <c r="AO28">
        <v>0</v>
      </c>
      <c r="AP28">
        <v>0</v>
      </c>
      <c r="AQ28">
        <v>0</v>
      </c>
      <c r="AR28">
        <v>0</v>
      </c>
      <c r="AS28" t="s">
        <v>3</v>
      </c>
      <c r="AT28">
        <v>0</v>
      </c>
      <c r="AU28" t="s">
        <v>3</v>
      </c>
      <c r="AV28">
        <v>0</v>
      </c>
      <c r="AW28">
        <v>2</v>
      </c>
      <c r="AX28">
        <v>146930340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ROUND(Y28*Source!I33,9)</f>
        <v>0</v>
      </c>
      <c r="CY28">
        <f>AA28</f>
        <v>0</v>
      </c>
      <c r="CZ28">
        <f>AE28</f>
        <v>0</v>
      </c>
      <c r="DA28">
        <f>AI28</f>
        <v>9.0500000000000007</v>
      </c>
      <c r="DB28">
        <f>ROUND(ROUND(AT28*CZ28,2),2)</f>
        <v>0</v>
      </c>
      <c r="DC28">
        <f>ROUND(ROUND(AT28*AG28,2),2)</f>
        <v>0</v>
      </c>
      <c r="DD28" t="s">
        <v>3</v>
      </c>
      <c r="DE28" t="s">
        <v>3</v>
      </c>
      <c r="DF28">
        <f>ROUND(ROUND(AE28*AI28,2)*CX28,2)</f>
        <v>0</v>
      </c>
      <c r="DG28">
        <f>ROUND(ROUND(AF28,2)*CX28,2)</f>
        <v>0</v>
      </c>
      <c r="DH28">
        <f>ROUND(ROUND(AG28,2)*CX28,2)</f>
        <v>0</v>
      </c>
      <c r="DI28">
        <f t="shared" si="6"/>
        <v>0</v>
      </c>
      <c r="DJ28">
        <f>DF28</f>
        <v>0</v>
      </c>
      <c r="DK28">
        <v>0</v>
      </c>
      <c r="DL28" t="s">
        <v>3</v>
      </c>
      <c r="DM28">
        <v>0</v>
      </c>
      <c r="DN28" t="s">
        <v>3</v>
      </c>
      <c r="DO28">
        <v>0</v>
      </c>
    </row>
    <row r="29" spans="1:119" x14ac:dyDescent="0.2">
      <c r="A29">
        <f>ROW(Source!A35)</f>
        <v>35</v>
      </c>
      <c r="B29">
        <v>146929938</v>
      </c>
      <c r="C29">
        <v>146930051</v>
      </c>
      <c r="D29">
        <v>140759950</v>
      </c>
      <c r="E29">
        <v>70</v>
      </c>
      <c r="F29">
        <v>1</v>
      </c>
      <c r="G29">
        <v>1</v>
      </c>
      <c r="H29">
        <v>1</v>
      </c>
      <c r="I29" t="s">
        <v>291</v>
      </c>
      <c r="J29" t="s">
        <v>3</v>
      </c>
      <c r="K29" t="s">
        <v>292</v>
      </c>
      <c r="L29">
        <v>1191</v>
      </c>
      <c r="N29">
        <v>1013</v>
      </c>
      <c r="O29" t="s">
        <v>253</v>
      </c>
      <c r="P29" t="s">
        <v>253</v>
      </c>
      <c r="Q29">
        <v>1</v>
      </c>
      <c r="W29">
        <v>0</v>
      </c>
      <c r="X29">
        <v>1903864200</v>
      </c>
      <c r="Y29">
        <f>((AT29*1.15)*1.15)</f>
        <v>28.565999999999999</v>
      </c>
      <c r="AA29">
        <v>0</v>
      </c>
      <c r="AB29">
        <v>0</v>
      </c>
      <c r="AC29">
        <v>0</v>
      </c>
      <c r="AD29">
        <v>273.48</v>
      </c>
      <c r="AE29">
        <v>0</v>
      </c>
      <c r="AF29">
        <v>0</v>
      </c>
      <c r="AG29">
        <v>0</v>
      </c>
      <c r="AH29">
        <v>8.02</v>
      </c>
      <c r="AI29">
        <v>1</v>
      </c>
      <c r="AJ29">
        <v>1</v>
      </c>
      <c r="AK29">
        <v>1</v>
      </c>
      <c r="AL29">
        <v>34.1</v>
      </c>
      <c r="AM29">
        <v>4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21.6</v>
      </c>
      <c r="AU29" t="s">
        <v>80</v>
      </c>
      <c r="AV29">
        <v>1</v>
      </c>
      <c r="AW29">
        <v>2</v>
      </c>
      <c r="AX29">
        <v>146930061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ROUND(Y29*Source!I35,9)</f>
        <v>12.340512</v>
      </c>
      <c r="CY29">
        <f>AD29</f>
        <v>273.48</v>
      </c>
      <c r="CZ29">
        <f>AH29</f>
        <v>8.02</v>
      </c>
      <c r="DA29">
        <f>AL29</f>
        <v>34.1</v>
      </c>
      <c r="DB29">
        <f>ROUND(((ROUND(AT29*CZ29,2)*1.15)*1.15),2)</f>
        <v>229.1</v>
      </c>
      <c r="DC29">
        <f>ROUND(((ROUND(AT29*AG29,2)*1.15)*1.15),2)</f>
        <v>0</v>
      </c>
      <c r="DD29" t="s">
        <v>3</v>
      </c>
      <c r="DE29" t="s">
        <v>3</v>
      </c>
      <c r="DF29">
        <f t="shared" ref="DF29:DF35" si="7">ROUND(ROUND(AE29,2)*CX29,2)</f>
        <v>0</v>
      </c>
      <c r="DG29">
        <f>ROUND(ROUND(AF29,2)*CX29,2)</f>
        <v>0</v>
      </c>
      <c r="DH29">
        <f>ROUND(ROUND(AG29,2)*CX29,2)</f>
        <v>0</v>
      </c>
      <c r="DI29">
        <f>ROUND(ROUND(AH29*AL29,2)*CX29,2)</f>
        <v>3374.88</v>
      </c>
      <c r="DJ29">
        <f>DI29</f>
        <v>3374.88</v>
      </c>
      <c r="DK29">
        <v>0</v>
      </c>
      <c r="DL29" t="s">
        <v>3</v>
      </c>
      <c r="DM29">
        <v>0</v>
      </c>
      <c r="DN29" t="s">
        <v>3</v>
      </c>
      <c r="DO29">
        <v>0</v>
      </c>
    </row>
    <row r="30" spans="1:119" x14ac:dyDescent="0.2">
      <c r="A30">
        <f>ROW(Source!A35)</f>
        <v>35</v>
      </c>
      <c r="B30">
        <v>146929938</v>
      </c>
      <c r="C30">
        <v>146930051</v>
      </c>
      <c r="D30">
        <v>140760225</v>
      </c>
      <c r="E30">
        <v>70</v>
      </c>
      <c r="F30">
        <v>1</v>
      </c>
      <c r="G30">
        <v>1</v>
      </c>
      <c r="H30">
        <v>1</v>
      </c>
      <c r="I30" t="s">
        <v>254</v>
      </c>
      <c r="J30" t="s">
        <v>3</v>
      </c>
      <c r="K30" t="s">
        <v>255</v>
      </c>
      <c r="L30">
        <v>1191</v>
      </c>
      <c r="N30">
        <v>1013</v>
      </c>
      <c r="O30" t="s">
        <v>253</v>
      </c>
      <c r="P30" t="s">
        <v>253</v>
      </c>
      <c r="Q30">
        <v>1</v>
      </c>
      <c r="W30">
        <v>0</v>
      </c>
      <c r="X30">
        <v>-1417349443</v>
      </c>
      <c r="Y30">
        <f t="shared" ref="Y30:Y35" si="8">((AT30*1.25)*1.15)</f>
        <v>29.612499999999997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1</v>
      </c>
      <c r="AJ30">
        <v>1</v>
      </c>
      <c r="AK30">
        <v>34.1</v>
      </c>
      <c r="AL30">
        <v>1</v>
      </c>
      <c r="AM30">
        <v>4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20.6</v>
      </c>
      <c r="AU30" t="s">
        <v>79</v>
      </c>
      <c r="AV30">
        <v>2</v>
      </c>
      <c r="AW30">
        <v>2</v>
      </c>
      <c r="AX30">
        <v>146930062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ROUND(Y30*Source!I35,9)</f>
        <v>12.7926</v>
      </c>
      <c r="CY30">
        <f>AD30</f>
        <v>0</v>
      </c>
      <c r="CZ30">
        <f>AH30</f>
        <v>0</v>
      </c>
      <c r="DA30">
        <f>AL30</f>
        <v>1</v>
      </c>
      <c r="DB30">
        <f t="shared" ref="DB30:DB35" si="9">ROUND(((ROUND(AT30*CZ30,2)*1.25)*1.15),2)</f>
        <v>0</v>
      </c>
      <c r="DC30">
        <f t="shared" ref="DC30:DC35" si="10">ROUND(((ROUND(AT30*AG30,2)*1.25)*1.15),2)</f>
        <v>0</v>
      </c>
      <c r="DD30" t="s">
        <v>3</v>
      </c>
      <c r="DE30" t="s">
        <v>3</v>
      </c>
      <c r="DF30">
        <f t="shared" si="7"/>
        <v>0</v>
      </c>
      <c r="DG30">
        <f>ROUND(ROUND(AF30,2)*CX30,2)</f>
        <v>0</v>
      </c>
      <c r="DH30">
        <f t="shared" ref="DH30:DH35" si="11">ROUND(ROUND(AG30*AK30,2)*CX30,2)</f>
        <v>0</v>
      </c>
      <c r="DI30">
        <f t="shared" ref="DI30:DI37" si="12">ROUND(ROUND(AH30,2)*CX30,2)</f>
        <v>0</v>
      </c>
      <c r="DJ30">
        <f>DI30</f>
        <v>0</v>
      </c>
      <c r="DK30">
        <v>0</v>
      </c>
      <c r="DL30" t="s">
        <v>3</v>
      </c>
      <c r="DM30">
        <v>0</v>
      </c>
      <c r="DN30" t="s">
        <v>3</v>
      </c>
      <c r="DO30">
        <v>0</v>
      </c>
    </row>
    <row r="31" spans="1:119" x14ac:dyDescent="0.2">
      <c r="A31">
        <f>ROW(Source!A35)</f>
        <v>35</v>
      </c>
      <c r="B31">
        <v>146929938</v>
      </c>
      <c r="C31">
        <v>146930051</v>
      </c>
      <c r="D31">
        <v>140922396</v>
      </c>
      <c r="E31">
        <v>1</v>
      </c>
      <c r="F31">
        <v>1</v>
      </c>
      <c r="G31">
        <v>1</v>
      </c>
      <c r="H31">
        <v>2</v>
      </c>
      <c r="I31" t="s">
        <v>284</v>
      </c>
      <c r="J31" t="s">
        <v>285</v>
      </c>
      <c r="K31" t="s">
        <v>286</v>
      </c>
      <c r="L31">
        <v>1367</v>
      </c>
      <c r="N31">
        <v>1011</v>
      </c>
      <c r="O31" t="s">
        <v>277</v>
      </c>
      <c r="P31" t="s">
        <v>277</v>
      </c>
      <c r="Q31">
        <v>1</v>
      </c>
      <c r="W31">
        <v>0</v>
      </c>
      <c r="X31">
        <v>-177383015</v>
      </c>
      <c r="Y31">
        <f t="shared" si="8"/>
        <v>3.7231249999999996</v>
      </c>
      <c r="AA31">
        <v>0</v>
      </c>
      <c r="AB31">
        <v>1000.24</v>
      </c>
      <c r="AC31">
        <v>460.35</v>
      </c>
      <c r="AD31">
        <v>0</v>
      </c>
      <c r="AE31">
        <v>0</v>
      </c>
      <c r="AF31">
        <v>79.069999999999993</v>
      </c>
      <c r="AG31">
        <v>13.5</v>
      </c>
      <c r="AH31">
        <v>0</v>
      </c>
      <c r="AI31">
        <v>1</v>
      </c>
      <c r="AJ31">
        <v>12.65</v>
      </c>
      <c r="AK31">
        <v>34.1</v>
      </c>
      <c r="AL31">
        <v>1</v>
      </c>
      <c r="AM31">
        <v>4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2.59</v>
      </c>
      <c r="AU31" t="s">
        <v>79</v>
      </c>
      <c r="AV31">
        <v>0</v>
      </c>
      <c r="AW31">
        <v>2</v>
      </c>
      <c r="AX31">
        <v>146930063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ROUND(Y31*Source!I35,9)</f>
        <v>1.60839</v>
      </c>
      <c r="CY31">
        <f>AB31</f>
        <v>1000.24</v>
      </c>
      <c r="CZ31">
        <f>AF31</f>
        <v>79.069999999999993</v>
      </c>
      <c r="DA31">
        <f>AJ31</f>
        <v>12.65</v>
      </c>
      <c r="DB31">
        <f t="shared" si="9"/>
        <v>294.39</v>
      </c>
      <c r="DC31">
        <f t="shared" si="10"/>
        <v>50.27</v>
      </c>
      <c r="DD31" t="s">
        <v>3</v>
      </c>
      <c r="DE31" t="s">
        <v>3</v>
      </c>
      <c r="DF31">
        <f t="shared" si="7"/>
        <v>0</v>
      </c>
      <c r="DG31">
        <f>ROUND(ROUND(AF31*AJ31,2)*CX31,2)</f>
        <v>1608.78</v>
      </c>
      <c r="DH31">
        <f t="shared" si="11"/>
        <v>740.42</v>
      </c>
      <c r="DI31">
        <f t="shared" si="12"/>
        <v>0</v>
      </c>
      <c r="DJ31">
        <f>DG31</f>
        <v>1608.78</v>
      </c>
      <c r="DK31">
        <v>0</v>
      </c>
      <c r="DL31" t="s">
        <v>3</v>
      </c>
      <c r="DM31">
        <v>0</v>
      </c>
      <c r="DN31" t="s">
        <v>3</v>
      </c>
      <c r="DO31">
        <v>0</v>
      </c>
    </row>
    <row r="32" spans="1:119" x14ac:dyDescent="0.2">
      <c r="A32">
        <f>ROW(Source!A35)</f>
        <v>35</v>
      </c>
      <c r="B32">
        <v>146929938</v>
      </c>
      <c r="C32">
        <v>146930051</v>
      </c>
      <c r="D32">
        <v>140922409</v>
      </c>
      <c r="E32">
        <v>1</v>
      </c>
      <c r="F32">
        <v>1</v>
      </c>
      <c r="G32">
        <v>1</v>
      </c>
      <c r="H32">
        <v>2</v>
      </c>
      <c r="I32" t="s">
        <v>293</v>
      </c>
      <c r="J32" t="s">
        <v>294</v>
      </c>
      <c r="K32" t="s">
        <v>295</v>
      </c>
      <c r="L32">
        <v>1367</v>
      </c>
      <c r="N32">
        <v>1011</v>
      </c>
      <c r="O32" t="s">
        <v>277</v>
      </c>
      <c r="P32" t="s">
        <v>277</v>
      </c>
      <c r="Q32">
        <v>1</v>
      </c>
      <c r="W32">
        <v>0</v>
      </c>
      <c r="X32">
        <v>468669606</v>
      </c>
      <c r="Y32">
        <f t="shared" si="8"/>
        <v>3.3062499999999999</v>
      </c>
      <c r="AA32">
        <v>0</v>
      </c>
      <c r="AB32">
        <v>1555.95</v>
      </c>
      <c r="AC32">
        <v>460.35</v>
      </c>
      <c r="AD32">
        <v>0</v>
      </c>
      <c r="AE32">
        <v>0</v>
      </c>
      <c r="AF32">
        <v>123</v>
      </c>
      <c r="AG32">
        <v>13.5</v>
      </c>
      <c r="AH32">
        <v>0</v>
      </c>
      <c r="AI32">
        <v>1</v>
      </c>
      <c r="AJ32">
        <v>12.65</v>
      </c>
      <c r="AK32">
        <v>34.1</v>
      </c>
      <c r="AL32">
        <v>1</v>
      </c>
      <c r="AM32">
        <v>4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2.2999999999999998</v>
      </c>
      <c r="AU32" t="s">
        <v>79</v>
      </c>
      <c r="AV32">
        <v>0</v>
      </c>
      <c r="AW32">
        <v>2</v>
      </c>
      <c r="AX32">
        <v>146930064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ROUND(Y32*Source!I35,9)</f>
        <v>1.4282999999999999</v>
      </c>
      <c r="CY32">
        <f>AB32</f>
        <v>1555.95</v>
      </c>
      <c r="CZ32">
        <f>AF32</f>
        <v>123</v>
      </c>
      <c r="DA32">
        <f>AJ32</f>
        <v>12.65</v>
      </c>
      <c r="DB32">
        <f t="shared" si="9"/>
        <v>406.67</v>
      </c>
      <c r="DC32">
        <f t="shared" si="10"/>
        <v>44.63</v>
      </c>
      <c r="DD32" t="s">
        <v>3</v>
      </c>
      <c r="DE32" t="s">
        <v>3</v>
      </c>
      <c r="DF32">
        <f t="shared" si="7"/>
        <v>0</v>
      </c>
      <c r="DG32">
        <f>ROUND(ROUND(AF32*AJ32,2)*CX32,2)</f>
        <v>2222.36</v>
      </c>
      <c r="DH32">
        <f t="shared" si="11"/>
        <v>657.52</v>
      </c>
      <c r="DI32">
        <f t="shared" si="12"/>
        <v>0</v>
      </c>
      <c r="DJ32">
        <f>DG32</f>
        <v>2222.36</v>
      </c>
      <c r="DK32">
        <v>0</v>
      </c>
      <c r="DL32" t="s">
        <v>3</v>
      </c>
      <c r="DM32">
        <v>0</v>
      </c>
      <c r="DN32" t="s">
        <v>3</v>
      </c>
      <c r="DO32">
        <v>0</v>
      </c>
    </row>
    <row r="33" spans="1:119" x14ac:dyDescent="0.2">
      <c r="A33">
        <f>ROW(Source!A35)</f>
        <v>35</v>
      </c>
      <c r="B33">
        <v>146929938</v>
      </c>
      <c r="C33">
        <v>146930051</v>
      </c>
      <c r="D33">
        <v>140923105</v>
      </c>
      <c r="E33">
        <v>1</v>
      </c>
      <c r="F33">
        <v>1</v>
      </c>
      <c r="G33">
        <v>1</v>
      </c>
      <c r="H33">
        <v>2</v>
      </c>
      <c r="I33" t="s">
        <v>296</v>
      </c>
      <c r="J33" t="s">
        <v>297</v>
      </c>
      <c r="K33" t="s">
        <v>298</v>
      </c>
      <c r="L33">
        <v>1367</v>
      </c>
      <c r="N33">
        <v>1011</v>
      </c>
      <c r="O33" t="s">
        <v>277</v>
      </c>
      <c r="P33" t="s">
        <v>277</v>
      </c>
      <c r="Q33">
        <v>1</v>
      </c>
      <c r="W33">
        <v>0</v>
      </c>
      <c r="X33">
        <v>-896236776</v>
      </c>
      <c r="Y33">
        <f t="shared" si="8"/>
        <v>3.5362499999999999</v>
      </c>
      <c r="AA33">
        <v>0</v>
      </c>
      <c r="AB33">
        <v>1138.3699999999999</v>
      </c>
      <c r="AC33">
        <v>343.05</v>
      </c>
      <c r="AD33">
        <v>0</v>
      </c>
      <c r="AE33">
        <v>0</v>
      </c>
      <c r="AF33">
        <v>89.99</v>
      </c>
      <c r="AG33">
        <v>10.06</v>
      </c>
      <c r="AH33">
        <v>0</v>
      </c>
      <c r="AI33">
        <v>1</v>
      </c>
      <c r="AJ33">
        <v>12.65</v>
      </c>
      <c r="AK33">
        <v>34.1</v>
      </c>
      <c r="AL33">
        <v>1</v>
      </c>
      <c r="AM33">
        <v>4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2.46</v>
      </c>
      <c r="AU33" t="s">
        <v>79</v>
      </c>
      <c r="AV33">
        <v>0</v>
      </c>
      <c r="AW33">
        <v>2</v>
      </c>
      <c r="AX33">
        <v>146930065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ROUND(Y33*Source!I35,9)</f>
        <v>1.52766</v>
      </c>
      <c r="CY33">
        <f>AB33</f>
        <v>1138.3699999999999</v>
      </c>
      <c r="CZ33">
        <f>AF33</f>
        <v>89.99</v>
      </c>
      <c r="DA33">
        <f>AJ33</f>
        <v>12.65</v>
      </c>
      <c r="DB33">
        <f t="shared" si="9"/>
        <v>318.23</v>
      </c>
      <c r="DC33">
        <f t="shared" si="10"/>
        <v>35.58</v>
      </c>
      <c r="DD33" t="s">
        <v>3</v>
      </c>
      <c r="DE33" t="s">
        <v>3</v>
      </c>
      <c r="DF33">
        <f t="shared" si="7"/>
        <v>0</v>
      </c>
      <c r="DG33">
        <f>ROUND(ROUND(AF33*AJ33,2)*CX33,2)</f>
        <v>1739.04</v>
      </c>
      <c r="DH33">
        <f t="shared" si="11"/>
        <v>524.05999999999995</v>
      </c>
      <c r="DI33">
        <f t="shared" si="12"/>
        <v>0</v>
      </c>
      <c r="DJ33">
        <f>DG33</f>
        <v>1739.04</v>
      </c>
      <c r="DK33">
        <v>0</v>
      </c>
      <c r="DL33" t="s">
        <v>3</v>
      </c>
      <c r="DM33">
        <v>0</v>
      </c>
      <c r="DN33" t="s">
        <v>3</v>
      </c>
      <c r="DO33">
        <v>0</v>
      </c>
    </row>
    <row r="34" spans="1:119" x14ac:dyDescent="0.2">
      <c r="A34">
        <f>ROW(Source!A35)</f>
        <v>35</v>
      </c>
      <c r="B34">
        <v>146929938</v>
      </c>
      <c r="C34">
        <v>146930051</v>
      </c>
      <c r="D34">
        <v>140923339</v>
      </c>
      <c r="E34">
        <v>1</v>
      </c>
      <c r="F34">
        <v>1</v>
      </c>
      <c r="G34">
        <v>1</v>
      </c>
      <c r="H34">
        <v>2</v>
      </c>
      <c r="I34" t="s">
        <v>299</v>
      </c>
      <c r="J34" t="s">
        <v>300</v>
      </c>
      <c r="K34" t="s">
        <v>301</v>
      </c>
      <c r="L34">
        <v>1367</v>
      </c>
      <c r="N34">
        <v>1011</v>
      </c>
      <c r="O34" t="s">
        <v>277</v>
      </c>
      <c r="P34" t="s">
        <v>277</v>
      </c>
      <c r="Q34">
        <v>1</v>
      </c>
      <c r="W34">
        <v>0</v>
      </c>
      <c r="X34">
        <v>2136760994</v>
      </c>
      <c r="Y34">
        <f t="shared" si="8"/>
        <v>17.551874999999999</v>
      </c>
      <c r="AA34">
        <v>0</v>
      </c>
      <c r="AB34">
        <v>4605.49</v>
      </c>
      <c r="AC34">
        <v>460.35</v>
      </c>
      <c r="AD34">
        <v>0</v>
      </c>
      <c r="AE34">
        <v>0</v>
      </c>
      <c r="AF34">
        <v>364.07</v>
      </c>
      <c r="AG34">
        <v>13.5</v>
      </c>
      <c r="AH34">
        <v>0</v>
      </c>
      <c r="AI34">
        <v>1</v>
      </c>
      <c r="AJ34">
        <v>12.65</v>
      </c>
      <c r="AK34">
        <v>34.1</v>
      </c>
      <c r="AL34">
        <v>1</v>
      </c>
      <c r="AM34">
        <v>4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12.21</v>
      </c>
      <c r="AU34" t="s">
        <v>79</v>
      </c>
      <c r="AV34">
        <v>0</v>
      </c>
      <c r="AW34">
        <v>2</v>
      </c>
      <c r="AX34">
        <v>146930066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ROUND(Y34*Source!I35,9)</f>
        <v>7.5824100000000003</v>
      </c>
      <c r="CY34">
        <f>AB34</f>
        <v>4605.49</v>
      </c>
      <c r="CZ34">
        <f>AF34</f>
        <v>364.07</v>
      </c>
      <c r="DA34">
        <f>AJ34</f>
        <v>12.65</v>
      </c>
      <c r="DB34">
        <f t="shared" si="9"/>
        <v>6390.1</v>
      </c>
      <c r="DC34">
        <f t="shared" si="10"/>
        <v>236.96</v>
      </c>
      <c r="DD34" t="s">
        <v>3</v>
      </c>
      <c r="DE34" t="s">
        <v>3</v>
      </c>
      <c r="DF34">
        <f t="shared" si="7"/>
        <v>0</v>
      </c>
      <c r="DG34">
        <f>ROUND(ROUND(AF34*AJ34,2)*CX34,2)</f>
        <v>34920.71</v>
      </c>
      <c r="DH34">
        <f t="shared" si="11"/>
        <v>3490.56</v>
      </c>
      <c r="DI34">
        <f t="shared" si="12"/>
        <v>0</v>
      </c>
      <c r="DJ34">
        <f>DG34</f>
        <v>34920.71</v>
      </c>
      <c r="DK34">
        <v>0</v>
      </c>
      <c r="DL34" t="s">
        <v>3</v>
      </c>
      <c r="DM34">
        <v>0</v>
      </c>
      <c r="DN34" t="s">
        <v>3</v>
      </c>
      <c r="DO34">
        <v>0</v>
      </c>
    </row>
    <row r="35" spans="1:119" x14ac:dyDescent="0.2">
      <c r="A35">
        <f>ROW(Source!A35)</f>
        <v>35</v>
      </c>
      <c r="B35">
        <v>146929938</v>
      </c>
      <c r="C35">
        <v>146930051</v>
      </c>
      <c r="D35">
        <v>140923832</v>
      </c>
      <c r="E35">
        <v>1</v>
      </c>
      <c r="F35">
        <v>1</v>
      </c>
      <c r="G35">
        <v>1</v>
      </c>
      <c r="H35">
        <v>2</v>
      </c>
      <c r="I35" t="s">
        <v>263</v>
      </c>
      <c r="J35" t="s">
        <v>264</v>
      </c>
      <c r="K35" t="s">
        <v>265</v>
      </c>
      <c r="L35">
        <v>1367</v>
      </c>
      <c r="N35">
        <v>1011</v>
      </c>
      <c r="O35" t="s">
        <v>277</v>
      </c>
      <c r="P35" t="s">
        <v>277</v>
      </c>
      <c r="Q35">
        <v>1</v>
      </c>
      <c r="W35">
        <v>0</v>
      </c>
      <c r="X35">
        <v>-859805338</v>
      </c>
      <c r="Y35">
        <f t="shared" si="8"/>
        <v>1.4949999999999999</v>
      </c>
      <c r="AA35">
        <v>0</v>
      </c>
      <c r="AB35">
        <v>1391.5</v>
      </c>
      <c r="AC35">
        <v>395.56</v>
      </c>
      <c r="AD35">
        <v>0</v>
      </c>
      <c r="AE35">
        <v>0</v>
      </c>
      <c r="AF35">
        <v>110</v>
      </c>
      <c r="AG35">
        <v>11.6</v>
      </c>
      <c r="AH35">
        <v>0</v>
      </c>
      <c r="AI35">
        <v>1</v>
      </c>
      <c r="AJ35">
        <v>12.65</v>
      </c>
      <c r="AK35">
        <v>34.1</v>
      </c>
      <c r="AL35">
        <v>1</v>
      </c>
      <c r="AM35">
        <v>4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1.04</v>
      </c>
      <c r="AU35" t="s">
        <v>79</v>
      </c>
      <c r="AV35">
        <v>0</v>
      </c>
      <c r="AW35">
        <v>2</v>
      </c>
      <c r="AX35">
        <v>146930067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ROUND(Y35*Source!I35,9)</f>
        <v>0.64583999999999997</v>
      </c>
      <c r="CY35">
        <f>AB35</f>
        <v>1391.5</v>
      </c>
      <c r="CZ35">
        <f>AF35</f>
        <v>110</v>
      </c>
      <c r="DA35">
        <f>AJ35</f>
        <v>12.65</v>
      </c>
      <c r="DB35">
        <f t="shared" si="9"/>
        <v>164.45</v>
      </c>
      <c r="DC35">
        <f t="shared" si="10"/>
        <v>17.34</v>
      </c>
      <c r="DD35" t="s">
        <v>3</v>
      </c>
      <c r="DE35" t="s">
        <v>3</v>
      </c>
      <c r="DF35">
        <f t="shared" si="7"/>
        <v>0</v>
      </c>
      <c r="DG35">
        <f>ROUND(ROUND(AF35*AJ35,2)*CX35,2)</f>
        <v>898.69</v>
      </c>
      <c r="DH35">
        <f t="shared" si="11"/>
        <v>255.47</v>
      </c>
      <c r="DI35">
        <f t="shared" si="12"/>
        <v>0</v>
      </c>
      <c r="DJ35">
        <f>DG35</f>
        <v>898.69</v>
      </c>
      <c r="DK35">
        <v>0</v>
      </c>
      <c r="DL35" t="s">
        <v>3</v>
      </c>
      <c r="DM35">
        <v>0</v>
      </c>
      <c r="DN35" t="s">
        <v>3</v>
      </c>
      <c r="DO35">
        <v>0</v>
      </c>
    </row>
    <row r="36" spans="1:119" x14ac:dyDescent="0.2">
      <c r="A36">
        <f>ROW(Source!A35)</f>
        <v>35</v>
      </c>
      <c r="B36">
        <v>146929938</v>
      </c>
      <c r="C36">
        <v>146930051</v>
      </c>
      <c r="D36">
        <v>140772680</v>
      </c>
      <c r="E36">
        <v>1</v>
      </c>
      <c r="F36">
        <v>1</v>
      </c>
      <c r="G36">
        <v>1</v>
      </c>
      <c r="H36">
        <v>3</v>
      </c>
      <c r="I36" t="s">
        <v>269</v>
      </c>
      <c r="J36" t="s">
        <v>270</v>
      </c>
      <c r="K36" t="s">
        <v>271</v>
      </c>
      <c r="L36">
        <v>1339</v>
      </c>
      <c r="N36">
        <v>1007</v>
      </c>
      <c r="O36" t="s">
        <v>68</v>
      </c>
      <c r="P36" t="s">
        <v>68</v>
      </c>
      <c r="Q36">
        <v>1</v>
      </c>
      <c r="W36">
        <v>0</v>
      </c>
      <c r="X36">
        <v>-143474561</v>
      </c>
      <c r="Y36">
        <f>AT36</f>
        <v>7</v>
      </c>
      <c r="AA36">
        <v>22.08</v>
      </c>
      <c r="AB36">
        <v>0</v>
      </c>
      <c r="AC36">
        <v>0</v>
      </c>
      <c r="AD36">
        <v>0</v>
      </c>
      <c r="AE36">
        <v>2.44</v>
      </c>
      <c r="AF36">
        <v>0</v>
      </c>
      <c r="AG36">
        <v>0</v>
      </c>
      <c r="AH36">
        <v>0</v>
      </c>
      <c r="AI36">
        <v>9.0500000000000007</v>
      </c>
      <c r="AJ36">
        <v>1</v>
      </c>
      <c r="AK36">
        <v>1</v>
      </c>
      <c r="AL36">
        <v>1</v>
      </c>
      <c r="AM36">
        <v>4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7</v>
      </c>
      <c r="AU36" t="s">
        <v>3</v>
      </c>
      <c r="AV36">
        <v>0</v>
      </c>
      <c r="AW36">
        <v>2</v>
      </c>
      <c r="AX36">
        <v>146930068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ROUND(Y36*Source!I35,9)</f>
        <v>3.024</v>
      </c>
      <c r="CY36">
        <f>AA36</f>
        <v>22.08</v>
      </c>
      <c r="CZ36">
        <f>AE36</f>
        <v>2.44</v>
      </c>
      <c r="DA36">
        <f>AI36</f>
        <v>9.0500000000000007</v>
      </c>
      <c r="DB36">
        <f>ROUND(ROUND(AT36*CZ36,2),2)</f>
        <v>17.079999999999998</v>
      </c>
      <c r="DC36">
        <f>ROUND(ROUND(AT36*AG36,2),2)</f>
        <v>0</v>
      </c>
      <c r="DD36" t="s">
        <v>3</v>
      </c>
      <c r="DE36" t="s">
        <v>3</v>
      </c>
      <c r="DF36">
        <f>ROUND(ROUND(AE36*AI36,2)*CX36,2)</f>
        <v>66.77</v>
      </c>
      <c r="DG36">
        <f>ROUND(ROUND(AF36,2)*CX36,2)</f>
        <v>0</v>
      </c>
      <c r="DH36">
        <f>ROUND(ROUND(AG36,2)*CX36,2)</f>
        <v>0</v>
      </c>
      <c r="DI36">
        <f t="shared" si="12"/>
        <v>0</v>
      </c>
      <c r="DJ36">
        <f>DF36</f>
        <v>66.77</v>
      </c>
      <c r="DK36">
        <v>0</v>
      </c>
      <c r="DL36" t="s">
        <v>3</v>
      </c>
      <c r="DM36">
        <v>0</v>
      </c>
      <c r="DN36" t="s">
        <v>3</v>
      </c>
      <c r="DO36">
        <v>0</v>
      </c>
    </row>
    <row r="37" spans="1:119" x14ac:dyDescent="0.2">
      <c r="A37">
        <f>ROW(Source!A35)</f>
        <v>35</v>
      </c>
      <c r="B37">
        <v>146929938</v>
      </c>
      <c r="C37">
        <v>146930051</v>
      </c>
      <c r="D37">
        <v>140760910</v>
      </c>
      <c r="E37">
        <v>70</v>
      </c>
      <c r="F37">
        <v>1</v>
      </c>
      <c r="G37">
        <v>1</v>
      </c>
      <c r="H37">
        <v>3</v>
      </c>
      <c r="I37" t="s">
        <v>304</v>
      </c>
      <c r="J37" t="s">
        <v>3</v>
      </c>
      <c r="K37" t="s">
        <v>305</v>
      </c>
      <c r="L37">
        <v>1339</v>
      </c>
      <c r="N37">
        <v>1007</v>
      </c>
      <c r="O37" t="s">
        <v>68</v>
      </c>
      <c r="P37" t="s">
        <v>68</v>
      </c>
      <c r="Q37">
        <v>1</v>
      </c>
      <c r="W37">
        <v>0</v>
      </c>
      <c r="X37">
        <v>-804509811</v>
      </c>
      <c r="Y37">
        <f>AT37</f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9.0500000000000007</v>
      </c>
      <c r="AJ37">
        <v>1</v>
      </c>
      <c r="AK37">
        <v>1</v>
      </c>
      <c r="AL37">
        <v>1</v>
      </c>
      <c r="AM37">
        <v>4</v>
      </c>
      <c r="AN37">
        <v>1</v>
      </c>
      <c r="AO37">
        <v>0</v>
      </c>
      <c r="AP37">
        <v>0</v>
      </c>
      <c r="AQ37">
        <v>0</v>
      </c>
      <c r="AR37">
        <v>0</v>
      </c>
      <c r="AS37" t="s">
        <v>3</v>
      </c>
      <c r="AT37">
        <v>0</v>
      </c>
      <c r="AU37" t="s">
        <v>3</v>
      </c>
      <c r="AV37">
        <v>0</v>
      </c>
      <c r="AW37">
        <v>2</v>
      </c>
      <c r="AX37">
        <v>146930069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ROUND(Y37*Source!I35,9)</f>
        <v>0</v>
      </c>
      <c r="CY37">
        <f>AA37</f>
        <v>0</v>
      </c>
      <c r="CZ37">
        <f>AE37</f>
        <v>0</v>
      </c>
      <c r="DA37">
        <f>AI37</f>
        <v>9.0500000000000007</v>
      </c>
      <c r="DB37">
        <f>ROUND(ROUND(AT37*CZ37,2),2)</f>
        <v>0</v>
      </c>
      <c r="DC37">
        <f>ROUND(ROUND(AT37*AG37,2),2)</f>
        <v>0</v>
      </c>
      <c r="DD37" t="s">
        <v>3</v>
      </c>
      <c r="DE37" t="s">
        <v>3</v>
      </c>
      <c r="DF37">
        <f>ROUND(ROUND(AE37*AI37,2)*CX37,2)</f>
        <v>0</v>
      </c>
      <c r="DG37">
        <f>ROUND(ROUND(AF37,2)*CX37,2)</f>
        <v>0</v>
      </c>
      <c r="DH37">
        <f>ROUND(ROUND(AG37,2)*CX37,2)</f>
        <v>0</v>
      </c>
      <c r="DI37">
        <f t="shared" si="12"/>
        <v>0</v>
      </c>
      <c r="DJ37">
        <f>DF37</f>
        <v>0</v>
      </c>
      <c r="DK37">
        <v>0</v>
      </c>
      <c r="DL37" t="s">
        <v>3</v>
      </c>
      <c r="DM37">
        <v>0</v>
      </c>
      <c r="DN37" t="s">
        <v>3</v>
      </c>
      <c r="DO37">
        <v>0</v>
      </c>
    </row>
    <row r="38" spans="1:119" x14ac:dyDescent="0.2">
      <c r="A38">
        <f>ROW(Source!A37)</f>
        <v>37</v>
      </c>
      <c r="B38">
        <v>146929938</v>
      </c>
      <c r="C38">
        <v>146930372</v>
      </c>
      <c r="D38">
        <v>134450483</v>
      </c>
      <c r="E38">
        <v>56</v>
      </c>
      <c r="F38">
        <v>1</v>
      </c>
      <c r="G38">
        <v>1</v>
      </c>
      <c r="H38">
        <v>1</v>
      </c>
      <c r="I38" t="s">
        <v>306</v>
      </c>
      <c r="J38" t="s">
        <v>3</v>
      </c>
      <c r="K38" t="s">
        <v>307</v>
      </c>
      <c r="L38">
        <v>1191</v>
      </c>
      <c r="N38">
        <v>1013</v>
      </c>
      <c r="O38" t="s">
        <v>253</v>
      </c>
      <c r="P38" t="s">
        <v>253</v>
      </c>
      <c r="Q38">
        <v>1</v>
      </c>
      <c r="W38">
        <v>0</v>
      </c>
      <c r="X38">
        <v>145020957</v>
      </c>
      <c r="Y38">
        <f>((AT38*1.15)*1.15)</f>
        <v>15.076499999999998</v>
      </c>
      <c r="AA38">
        <v>0</v>
      </c>
      <c r="AB38">
        <v>0</v>
      </c>
      <c r="AC38">
        <v>0</v>
      </c>
      <c r="AD38">
        <v>309.29000000000002</v>
      </c>
      <c r="AE38">
        <v>0</v>
      </c>
      <c r="AF38">
        <v>0</v>
      </c>
      <c r="AG38">
        <v>0</v>
      </c>
      <c r="AH38">
        <v>9.07</v>
      </c>
      <c r="AI38">
        <v>1</v>
      </c>
      <c r="AJ38">
        <v>1</v>
      </c>
      <c r="AK38">
        <v>1</v>
      </c>
      <c r="AL38">
        <v>34.1</v>
      </c>
      <c r="AM38">
        <v>4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11.4</v>
      </c>
      <c r="AU38" t="s">
        <v>80</v>
      </c>
      <c r="AV38">
        <v>1</v>
      </c>
      <c r="AW38">
        <v>2</v>
      </c>
      <c r="AX38">
        <v>146930373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ROUND(Y38*Source!I37,9)</f>
        <v>14.3980575</v>
      </c>
      <c r="CY38">
        <f>AD38</f>
        <v>309.29000000000002</v>
      </c>
      <c r="CZ38">
        <f>AH38</f>
        <v>9.07</v>
      </c>
      <c r="DA38">
        <f>AL38</f>
        <v>34.1</v>
      </c>
      <c r="DB38">
        <f>ROUND(((ROUND(AT38*CZ38,2)*1.15)*1.15),2)</f>
        <v>136.75</v>
      </c>
      <c r="DC38">
        <f>ROUND(((ROUND(AT38*AG38,2)*1.15)*1.15),2)</f>
        <v>0</v>
      </c>
      <c r="DD38" t="s">
        <v>3</v>
      </c>
      <c r="DE38" t="s">
        <v>3</v>
      </c>
      <c r="DF38">
        <f>ROUND(ROUND(AE38,2)*CX38,2)</f>
        <v>0</v>
      </c>
      <c r="DG38">
        <f>ROUND(ROUND(AF38,2)*CX38,2)</f>
        <v>0</v>
      </c>
      <c r="DH38">
        <f>ROUND(ROUND(AG38,2)*CX38,2)</f>
        <v>0</v>
      </c>
      <c r="DI38">
        <f>ROUND(ROUND(AH38*AL38,2)*CX38,2)</f>
        <v>4453.18</v>
      </c>
      <c r="DJ38">
        <f>DI38</f>
        <v>4453.18</v>
      </c>
      <c r="DK38">
        <v>0</v>
      </c>
      <c r="DL38" t="s">
        <v>3</v>
      </c>
      <c r="DM38">
        <v>0</v>
      </c>
      <c r="DN38" t="s">
        <v>3</v>
      </c>
      <c r="DO38">
        <v>0</v>
      </c>
    </row>
    <row r="39" spans="1:119" x14ac:dyDescent="0.2">
      <c r="A39">
        <f>ROW(Source!A37)</f>
        <v>37</v>
      </c>
      <c r="B39">
        <v>146929938</v>
      </c>
      <c r="C39">
        <v>146930372</v>
      </c>
      <c r="D39">
        <v>134450693</v>
      </c>
      <c r="E39">
        <v>56</v>
      </c>
      <c r="F39">
        <v>1</v>
      </c>
      <c r="G39">
        <v>1</v>
      </c>
      <c r="H39">
        <v>1</v>
      </c>
      <c r="I39" t="s">
        <v>254</v>
      </c>
      <c r="J39" t="s">
        <v>3</v>
      </c>
      <c r="K39" t="s">
        <v>255</v>
      </c>
      <c r="L39">
        <v>1191</v>
      </c>
      <c r="N39">
        <v>1013</v>
      </c>
      <c r="O39" t="s">
        <v>253</v>
      </c>
      <c r="P39" t="s">
        <v>253</v>
      </c>
      <c r="Q39">
        <v>1</v>
      </c>
      <c r="W39">
        <v>0</v>
      </c>
      <c r="X39">
        <v>-1417349443</v>
      </c>
      <c r="Y39">
        <f>((AT39*1.25)*1.15)</f>
        <v>0.22999999999999998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34.1</v>
      </c>
      <c r="AL39">
        <v>1</v>
      </c>
      <c r="AM39">
        <v>4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0.16</v>
      </c>
      <c r="AU39" t="s">
        <v>79</v>
      </c>
      <c r="AV39">
        <v>2</v>
      </c>
      <c r="AW39">
        <v>2</v>
      </c>
      <c r="AX39">
        <v>146930374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ROUND(Y39*Source!I37,9)</f>
        <v>0.21965000000000001</v>
      </c>
      <c r="CY39">
        <f>AD39</f>
        <v>0</v>
      </c>
      <c r="CZ39">
        <f>AH39</f>
        <v>0</v>
      </c>
      <c r="DA39">
        <f>AL39</f>
        <v>1</v>
      </c>
      <c r="DB39">
        <f>ROUND(((ROUND(AT39*CZ39,2)*1.25)*1.15),2)</f>
        <v>0</v>
      </c>
      <c r="DC39">
        <f>ROUND(((ROUND(AT39*AG39,2)*1.25)*1.15),2)</f>
        <v>0</v>
      </c>
      <c r="DD39" t="s">
        <v>3</v>
      </c>
      <c r="DE39" t="s">
        <v>3</v>
      </c>
      <c r="DF39">
        <f>ROUND(ROUND(AE39,2)*CX39,2)</f>
        <v>0</v>
      </c>
      <c r="DG39">
        <f>ROUND(ROUND(AF39,2)*CX39,2)</f>
        <v>0</v>
      </c>
      <c r="DH39">
        <f>ROUND(ROUND(AG39*AK39,2)*CX39,2)</f>
        <v>0</v>
      </c>
      <c r="DI39">
        <f>ROUND(ROUND(AH39,2)*CX39,2)</f>
        <v>0</v>
      </c>
      <c r="DJ39">
        <f>DI39</f>
        <v>0</v>
      </c>
      <c r="DK39">
        <v>0</v>
      </c>
      <c r="DL39" t="s">
        <v>3</v>
      </c>
      <c r="DM39">
        <v>0</v>
      </c>
      <c r="DN39" t="s">
        <v>3</v>
      </c>
      <c r="DO39">
        <v>0</v>
      </c>
    </row>
    <row r="40" spans="1:119" x14ac:dyDescent="0.2">
      <c r="A40">
        <f>ROW(Source!A37)</f>
        <v>37</v>
      </c>
      <c r="B40">
        <v>146929938</v>
      </c>
      <c r="C40">
        <v>146930372</v>
      </c>
      <c r="D40">
        <v>134663890</v>
      </c>
      <c r="E40">
        <v>1</v>
      </c>
      <c r="F40">
        <v>1</v>
      </c>
      <c r="G40">
        <v>1</v>
      </c>
      <c r="H40">
        <v>2</v>
      </c>
      <c r="I40" t="s">
        <v>308</v>
      </c>
      <c r="J40" t="s">
        <v>309</v>
      </c>
      <c r="K40" t="s">
        <v>310</v>
      </c>
      <c r="L40">
        <v>1368</v>
      </c>
      <c r="N40">
        <v>1011</v>
      </c>
      <c r="O40" t="s">
        <v>259</v>
      </c>
      <c r="P40" t="s">
        <v>259</v>
      </c>
      <c r="Q40">
        <v>1</v>
      </c>
      <c r="W40">
        <v>0</v>
      </c>
      <c r="X40">
        <v>-1346461524</v>
      </c>
      <c r="Y40">
        <f>((AT40*1.25)*1.15)</f>
        <v>0.10062500000000001</v>
      </c>
      <c r="AA40">
        <v>0</v>
      </c>
      <c r="AB40">
        <v>1459.81</v>
      </c>
      <c r="AC40">
        <v>460.35</v>
      </c>
      <c r="AD40">
        <v>0</v>
      </c>
      <c r="AE40">
        <v>0</v>
      </c>
      <c r="AF40">
        <v>115.4</v>
      </c>
      <c r="AG40">
        <v>13.5</v>
      </c>
      <c r="AH40">
        <v>0</v>
      </c>
      <c r="AI40">
        <v>1</v>
      </c>
      <c r="AJ40">
        <v>12.65</v>
      </c>
      <c r="AK40">
        <v>34.1</v>
      </c>
      <c r="AL40">
        <v>1</v>
      </c>
      <c r="AM40">
        <v>4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7.0000000000000007E-2</v>
      </c>
      <c r="AU40" t="s">
        <v>79</v>
      </c>
      <c r="AV40">
        <v>0</v>
      </c>
      <c r="AW40">
        <v>2</v>
      </c>
      <c r="AX40">
        <v>146930375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ROUND(Y40*Source!I37,9)</f>
        <v>9.6096874999999998E-2</v>
      </c>
      <c r="CY40">
        <f>AB40</f>
        <v>1459.81</v>
      </c>
      <c r="CZ40">
        <f>AF40</f>
        <v>115.4</v>
      </c>
      <c r="DA40">
        <f>AJ40</f>
        <v>12.65</v>
      </c>
      <c r="DB40">
        <f>ROUND(((ROUND(AT40*CZ40,2)*1.25)*1.15),2)</f>
        <v>11.62</v>
      </c>
      <c r="DC40">
        <f>ROUND(((ROUND(AT40*AG40,2)*1.25)*1.15),2)</f>
        <v>1.37</v>
      </c>
      <c r="DD40" t="s">
        <v>3</v>
      </c>
      <c r="DE40" t="s">
        <v>3</v>
      </c>
      <c r="DF40">
        <f>ROUND(ROUND(AE40,2)*CX40,2)</f>
        <v>0</v>
      </c>
      <c r="DG40">
        <f>ROUND(ROUND(AF40*AJ40,2)*CX40,2)</f>
        <v>140.28</v>
      </c>
      <c r="DH40">
        <f>ROUND(ROUND(AG40*AK40,2)*CX40,2)</f>
        <v>44.24</v>
      </c>
      <c r="DI40">
        <f>ROUND(ROUND(AH40,2)*CX40,2)</f>
        <v>0</v>
      </c>
      <c r="DJ40">
        <f>DG40</f>
        <v>140.28</v>
      </c>
      <c r="DK40">
        <v>0</v>
      </c>
      <c r="DL40" t="s">
        <v>3</v>
      </c>
      <c r="DM40">
        <v>0</v>
      </c>
      <c r="DN40" t="s">
        <v>3</v>
      </c>
      <c r="DO40">
        <v>0</v>
      </c>
    </row>
    <row r="41" spans="1:119" x14ac:dyDescent="0.2">
      <c r="A41">
        <f>ROW(Source!A37)</f>
        <v>37</v>
      </c>
      <c r="B41">
        <v>146929938</v>
      </c>
      <c r="C41">
        <v>146930372</v>
      </c>
      <c r="D41">
        <v>134665167</v>
      </c>
      <c r="E41">
        <v>1</v>
      </c>
      <c r="F41">
        <v>1</v>
      </c>
      <c r="G41">
        <v>1</v>
      </c>
      <c r="H41">
        <v>2</v>
      </c>
      <c r="I41" t="s">
        <v>311</v>
      </c>
      <c r="J41" t="s">
        <v>312</v>
      </c>
      <c r="K41" t="s">
        <v>313</v>
      </c>
      <c r="L41">
        <v>1368</v>
      </c>
      <c r="N41">
        <v>1011</v>
      </c>
      <c r="O41" t="s">
        <v>259</v>
      </c>
      <c r="P41" t="s">
        <v>259</v>
      </c>
      <c r="Q41">
        <v>1</v>
      </c>
      <c r="W41">
        <v>0</v>
      </c>
      <c r="X41">
        <v>-841254546</v>
      </c>
      <c r="Y41">
        <f>((AT41*1.25)*1.15)</f>
        <v>0.12937499999999999</v>
      </c>
      <c r="AA41">
        <v>0</v>
      </c>
      <c r="AB41">
        <v>831.23</v>
      </c>
      <c r="AC41">
        <v>395.56</v>
      </c>
      <c r="AD41">
        <v>0</v>
      </c>
      <c r="AE41">
        <v>0</v>
      </c>
      <c r="AF41">
        <v>65.709999999999994</v>
      </c>
      <c r="AG41">
        <v>11.6</v>
      </c>
      <c r="AH41">
        <v>0</v>
      </c>
      <c r="AI41">
        <v>1</v>
      </c>
      <c r="AJ41">
        <v>12.65</v>
      </c>
      <c r="AK41">
        <v>34.1</v>
      </c>
      <c r="AL41">
        <v>1</v>
      </c>
      <c r="AM41">
        <v>4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0.09</v>
      </c>
      <c r="AU41" t="s">
        <v>79</v>
      </c>
      <c r="AV41">
        <v>0</v>
      </c>
      <c r="AW41">
        <v>2</v>
      </c>
      <c r="AX41">
        <v>146930376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ROUND(Y41*Source!I37,9)</f>
        <v>0.123553125</v>
      </c>
      <c r="CY41">
        <f>AB41</f>
        <v>831.23</v>
      </c>
      <c r="CZ41">
        <f>AF41</f>
        <v>65.709999999999994</v>
      </c>
      <c r="DA41">
        <f>AJ41</f>
        <v>12.65</v>
      </c>
      <c r="DB41">
        <f>ROUND(((ROUND(AT41*CZ41,2)*1.25)*1.15),2)</f>
        <v>8.5</v>
      </c>
      <c r="DC41">
        <f>ROUND(((ROUND(AT41*AG41,2)*1.25)*1.15),2)</f>
        <v>1.5</v>
      </c>
      <c r="DD41" t="s">
        <v>3</v>
      </c>
      <c r="DE41" t="s">
        <v>3</v>
      </c>
      <c r="DF41">
        <f>ROUND(ROUND(AE41,2)*CX41,2)</f>
        <v>0</v>
      </c>
      <c r="DG41">
        <f>ROUND(ROUND(AF41*AJ41,2)*CX41,2)</f>
        <v>102.7</v>
      </c>
      <c r="DH41">
        <f>ROUND(ROUND(AG41*AK41,2)*CX41,2)</f>
        <v>48.87</v>
      </c>
      <c r="DI41">
        <f>ROUND(ROUND(AH41,2)*CX41,2)</f>
        <v>0</v>
      </c>
      <c r="DJ41">
        <f>DG41</f>
        <v>102.7</v>
      </c>
      <c r="DK41">
        <v>0</v>
      </c>
      <c r="DL41" t="s">
        <v>3</v>
      </c>
      <c r="DM41">
        <v>0</v>
      </c>
      <c r="DN41" t="s">
        <v>3</v>
      </c>
      <c r="DO41">
        <v>0</v>
      </c>
    </row>
    <row r="42" spans="1:119" x14ac:dyDescent="0.2">
      <c r="A42">
        <f>ROW(Source!A37)</f>
        <v>37</v>
      </c>
      <c r="B42">
        <v>146929938</v>
      </c>
      <c r="C42">
        <v>146930372</v>
      </c>
      <c r="D42">
        <v>134452893</v>
      </c>
      <c r="E42">
        <v>56</v>
      </c>
      <c r="F42">
        <v>1</v>
      </c>
      <c r="G42">
        <v>1</v>
      </c>
      <c r="H42">
        <v>3</v>
      </c>
      <c r="I42" t="s">
        <v>314</v>
      </c>
      <c r="J42" t="s">
        <v>3</v>
      </c>
      <c r="K42" t="s">
        <v>315</v>
      </c>
      <c r="L42">
        <v>1348</v>
      </c>
      <c r="N42">
        <v>1009</v>
      </c>
      <c r="O42" t="s">
        <v>95</v>
      </c>
      <c r="P42" t="s">
        <v>95</v>
      </c>
      <c r="Q42">
        <v>1000</v>
      </c>
      <c r="W42">
        <v>0</v>
      </c>
      <c r="X42">
        <v>1875360671</v>
      </c>
      <c r="Y42">
        <f>AT42</f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9.0500000000000007</v>
      </c>
      <c r="AJ42">
        <v>1</v>
      </c>
      <c r="AK42">
        <v>1</v>
      </c>
      <c r="AL42">
        <v>1</v>
      </c>
      <c r="AM42">
        <v>4</v>
      </c>
      <c r="AN42">
        <v>1</v>
      </c>
      <c r="AO42">
        <v>0</v>
      </c>
      <c r="AP42">
        <v>0</v>
      </c>
      <c r="AQ42">
        <v>0</v>
      </c>
      <c r="AR42">
        <v>0</v>
      </c>
      <c r="AS42" t="s">
        <v>3</v>
      </c>
      <c r="AT42">
        <v>0</v>
      </c>
      <c r="AU42" t="s">
        <v>3</v>
      </c>
      <c r="AV42">
        <v>0</v>
      </c>
      <c r="AW42">
        <v>2</v>
      </c>
      <c r="AX42">
        <v>146930377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ROUND(Y42*Source!I37,9)</f>
        <v>0</v>
      </c>
      <c r="CY42">
        <f>AA42</f>
        <v>0</v>
      </c>
      <c r="CZ42">
        <f>AE42</f>
        <v>0</v>
      </c>
      <c r="DA42">
        <f>AI42</f>
        <v>9.0500000000000007</v>
      </c>
      <c r="DB42">
        <f>ROUND(ROUND(AT42*CZ42,2),2)</f>
        <v>0</v>
      </c>
      <c r="DC42">
        <f>ROUND(ROUND(AT42*AG42,2),2)</f>
        <v>0</v>
      </c>
      <c r="DD42" t="s">
        <v>3</v>
      </c>
      <c r="DE42" t="s">
        <v>3</v>
      </c>
      <c r="DF42">
        <f>ROUND(ROUND(AE42*AI42,2)*CX42,2)</f>
        <v>0</v>
      </c>
      <c r="DG42">
        <f>ROUND(ROUND(AF42,2)*CX42,2)</f>
        <v>0</v>
      </c>
      <c r="DH42">
        <f>ROUND(ROUND(AG42,2)*CX42,2)</f>
        <v>0</v>
      </c>
      <c r="DI42">
        <f>ROUND(ROUND(AH42,2)*CX42,2)</f>
        <v>0</v>
      </c>
      <c r="DJ42">
        <f>DF42</f>
        <v>0</v>
      </c>
      <c r="DK42">
        <v>0</v>
      </c>
      <c r="DL42" t="s">
        <v>3</v>
      </c>
      <c r="DM42">
        <v>0</v>
      </c>
      <c r="DN42" t="s">
        <v>3</v>
      </c>
      <c r="DO42">
        <v>0</v>
      </c>
    </row>
    <row r="43" spans="1:119" x14ac:dyDescent="0.2">
      <c r="A43">
        <f>ROW(Source!A40)</f>
        <v>40</v>
      </c>
      <c r="B43">
        <v>146929938</v>
      </c>
      <c r="C43">
        <v>146930071</v>
      </c>
      <c r="D43">
        <v>140759974</v>
      </c>
      <c r="E43">
        <v>70</v>
      </c>
      <c r="F43">
        <v>1</v>
      </c>
      <c r="G43">
        <v>1</v>
      </c>
      <c r="H43">
        <v>1</v>
      </c>
      <c r="I43" t="s">
        <v>316</v>
      </c>
      <c r="J43" t="s">
        <v>3</v>
      </c>
      <c r="K43" t="s">
        <v>317</v>
      </c>
      <c r="L43">
        <v>1191</v>
      </c>
      <c r="N43">
        <v>1013</v>
      </c>
      <c r="O43" t="s">
        <v>253</v>
      </c>
      <c r="P43" t="s">
        <v>253</v>
      </c>
      <c r="Q43">
        <v>1</v>
      </c>
      <c r="W43">
        <v>0</v>
      </c>
      <c r="X43">
        <v>-961628416</v>
      </c>
      <c r="Y43">
        <f>((AT43*1.15)*1.15)</f>
        <v>399.39499999999992</v>
      </c>
      <c r="AA43">
        <v>0</v>
      </c>
      <c r="AB43">
        <v>0</v>
      </c>
      <c r="AC43">
        <v>0</v>
      </c>
      <c r="AD43">
        <v>288.49</v>
      </c>
      <c r="AE43">
        <v>0</v>
      </c>
      <c r="AF43">
        <v>0</v>
      </c>
      <c r="AG43">
        <v>0</v>
      </c>
      <c r="AH43">
        <v>8.4600000000000009</v>
      </c>
      <c r="AI43">
        <v>1</v>
      </c>
      <c r="AJ43">
        <v>1</v>
      </c>
      <c r="AK43">
        <v>1</v>
      </c>
      <c r="AL43">
        <v>34.1</v>
      </c>
      <c r="AM43">
        <v>4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3</v>
      </c>
      <c r="AT43">
        <v>302</v>
      </c>
      <c r="AU43" t="s">
        <v>80</v>
      </c>
      <c r="AV43">
        <v>1</v>
      </c>
      <c r="AW43">
        <v>2</v>
      </c>
      <c r="AX43">
        <v>146930092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ROUND(Y43*Source!I40,9)</f>
        <v>381.42222500000003</v>
      </c>
      <c r="CY43">
        <f>AD43</f>
        <v>288.49</v>
      </c>
      <c r="CZ43">
        <f>AH43</f>
        <v>8.4600000000000009</v>
      </c>
      <c r="DA43">
        <f>AL43</f>
        <v>34.1</v>
      </c>
      <c r="DB43">
        <f>ROUND(((ROUND(AT43*CZ43,2)*1.15)*1.15),2)</f>
        <v>3378.88</v>
      </c>
      <c r="DC43">
        <f>ROUND(((ROUND(AT43*AG43,2)*1.15)*1.15),2)</f>
        <v>0</v>
      </c>
      <c r="DD43" t="s">
        <v>3</v>
      </c>
      <c r="DE43" t="s">
        <v>3</v>
      </c>
      <c r="DF43">
        <f t="shared" ref="DF43:DF51" si="13">ROUND(ROUND(AE43,2)*CX43,2)</f>
        <v>0</v>
      </c>
      <c r="DG43">
        <f>ROUND(ROUND(AF43,2)*CX43,2)</f>
        <v>0</v>
      </c>
      <c r="DH43">
        <f>ROUND(ROUND(AG43,2)*CX43,2)</f>
        <v>0</v>
      </c>
      <c r="DI43">
        <f>ROUND(ROUND(AH43*AL43,2)*CX43,2)</f>
        <v>110036.5</v>
      </c>
      <c r="DJ43">
        <f>DI43</f>
        <v>110036.5</v>
      </c>
      <c r="DK43">
        <v>0</v>
      </c>
      <c r="DL43" t="s">
        <v>3</v>
      </c>
      <c r="DM43">
        <v>0</v>
      </c>
      <c r="DN43" t="s">
        <v>3</v>
      </c>
      <c r="DO43">
        <v>0</v>
      </c>
    </row>
    <row r="44" spans="1:119" x14ac:dyDescent="0.2">
      <c r="A44">
        <f>ROW(Source!A40)</f>
        <v>40</v>
      </c>
      <c r="B44">
        <v>146929938</v>
      </c>
      <c r="C44">
        <v>146930071</v>
      </c>
      <c r="D44">
        <v>140760225</v>
      </c>
      <c r="E44">
        <v>70</v>
      </c>
      <c r="F44">
        <v>1</v>
      </c>
      <c r="G44">
        <v>1</v>
      </c>
      <c r="H44">
        <v>1</v>
      </c>
      <c r="I44" t="s">
        <v>254</v>
      </c>
      <c r="J44" t="s">
        <v>3</v>
      </c>
      <c r="K44" t="s">
        <v>255</v>
      </c>
      <c r="L44">
        <v>1191</v>
      </c>
      <c r="N44">
        <v>1013</v>
      </c>
      <c r="O44" t="s">
        <v>253</v>
      </c>
      <c r="P44" t="s">
        <v>253</v>
      </c>
      <c r="Q44">
        <v>1</v>
      </c>
      <c r="W44">
        <v>0</v>
      </c>
      <c r="X44">
        <v>-1417349443</v>
      </c>
      <c r="Y44">
        <f t="shared" ref="Y44:Y51" si="14">((AT44*1.25)*1.15)</f>
        <v>69.330624999999984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34.1</v>
      </c>
      <c r="AL44">
        <v>1</v>
      </c>
      <c r="AM44">
        <v>4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3</v>
      </c>
      <c r="AT44">
        <v>48.23</v>
      </c>
      <c r="AU44" t="s">
        <v>79</v>
      </c>
      <c r="AV44">
        <v>2</v>
      </c>
      <c r="AW44">
        <v>2</v>
      </c>
      <c r="AX44">
        <v>146930093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ROUND(Y44*Source!I40,9)</f>
        <v>66.210746874999998</v>
      </c>
      <c r="CY44">
        <f>AD44</f>
        <v>0</v>
      </c>
      <c r="CZ44">
        <f>AH44</f>
        <v>0</v>
      </c>
      <c r="DA44">
        <f>AL44</f>
        <v>1</v>
      </c>
      <c r="DB44">
        <f t="shared" ref="DB44:DB51" si="15">ROUND(((ROUND(AT44*CZ44,2)*1.25)*1.15),2)</f>
        <v>0</v>
      </c>
      <c r="DC44">
        <f t="shared" ref="DC44:DC51" si="16">ROUND(((ROUND(AT44*AG44,2)*1.25)*1.15),2)</f>
        <v>0</v>
      </c>
      <c r="DD44" t="s">
        <v>3</v>
      </c>
      <c r="DE44" t="s">
        <v>3</v>
      </c>
      <c r="DF44">
        <f t="shared" si="13"/>
        <v>0</v>
      </c>
      <c r="DG44">
        <f>ROUND(ROUND(AF44,2)*CX44,2)</f>
        <v>0</v>
      </c>
      <c r="DH44">
        <f t="shared" ref="DH44:DH51" si="17">ROUND(ROUND(AG44*AK44,2)*CX44,2)</f>
        <v>0</v>
      </c>
      <c r="DI44">
        <f t="shared" ref="DI44:DI62" si="18">ROUND(ROUND(AH44,2)*CX44,2)</f>
        <v>0</v>
      </c>
      <c r="DJ44">
        <f>DI44</f>
        <v>0</v>
      </c>
      <c r="DK44">
        <v>0</v>
      </c>
      <c r="DL44" t="s">
        <v>3</v>
      </c>
      <c r="DM44">
        <v>0</v>
      </c>
      <c r="DN44" t="s">
        <v>3</v>
      </c>
      <c r="DO44">
        <v>0</v>
      </c>
    </row>
    <row r="45" spans="1:119" x14ac:dyDescent="0.2">
      <c r="A45">
        <f>ROW(Source!A40)</f>
        <v>40</v>
      </c>
      <c r="B45">
        <v>146929938</v>
      </c>
      <c r="C45">
        <v>146930071</v>
      </c>
      <c r="D45">
        <v>140922951</v>
      </c>
      <c r="E45">
        <v>1</v>
      </c>
      <c r="F45">
        <v>1</v>
      </c>
      <c r="G45">
        <v>1</v>
      </c>
      <c r="H45">
        <v>2</v>
      </c>
      <c r="I45" t="s">
        <v>308</v>
      </c>
      <c r="J45" t="s">
        <v>309</v>
      </c>
      <c r="K45" t="s">
        <v>310</v>
      </c>
      <c r="L45">
        <v>1367</v>
      </c>
      <c r="N45">
        <v>1011</v>
      </c>
      <c r="O45" t="s">
        <v>277</v>
      </c>
      <c r="P45" t="s">
        <v>277</v>
      </c>
      <c r="Q45">
        <v>1</v>
      </c>
      <c r="W45">
        <v>0</v>
      </c>
      <c r="X45">
        <v>-430484415</v>
      </c>
      <c r="Y45">
        <f t="shared" si="14"/>
        <v>1.6387499999999997</v>
      </c>
      <c r="AA45">
        <v>0</v>
      </c>
      <c r="AB45">
        <v>1459.81</v>
      </c>
      <c r="AC45">
        <v>460.35</v>
      </c>
      <c r="AD45">
        <v>0</v>
      </c>
      <c r="AE45">
        <v>0</v>
      </c>
      <c r="AF45">
        <v>115.4</v>
      </c>
      <c r="AG45">
        <v>13.5</v>
      </c>
      <c r="AH45">
        <v>0</v>
      </c>
      <c r="AI45">
        <v>1</v>
      </c>
      <c r="AJ45">
        <v>12.65</v>
      </c>
      <c r="AK45">
        <v>34.1</v>
      </c>
      <c r="AL45">
        <v>1</v>
      </c>
      <c r="AM45">
        <v>4</v>
      </c>
      <c r="AN45">
        <v>0</v>
      </c>
      <c r="AO45">
        <v>1</v>
      </c>
      <c r="AP45">
        <v>1</v>
      </c>
      <c r="AQ45">
        <v>0</v>
      </c>
      <c r="AR45">
        <v>0</v>
      </c>
      <c r="AS45" t="s">
        <v>3</v>
      </c>
      <c r="AT45">
        <v>1.1399999999999999</v>
      </c>
      <c r="AU45" t="s">
        <v>79</v>
      </c>
      <c r="AV45">
        <v>0</v>
      </c>
      <c r="AW45">
        <v>2</v>
      </c>
      <c r="AX45">
        <v>146930094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ROUND(Y45*Source!I40,9)</f>
        <v>1.5650062499999999</v>
      </c>
      <c r="CY45">
        <f t="shared" ref="CY45:CY51" si="19">AB45</f>
        <v>1459.81</v>
      </c>
      <c r="CZ45">
        <f t="shared" ref="CZ45:CZ51" si="20">AF45</f>
        <v>115.4</v>
      </c>
      <c r="DA45">
        <f t="shared" ref="DA45:DA51" si="21">AJ45</f>
        <v>12.65</v>
      </c>
      <c r="DB45">
        <f t="shared" si="15"/>
        <v>189.12</v>
      </c>
      <c r="DC45">
        <f t="shared" si="16"/>
        <v>22.12</v>
      </c>
      <c r="DD45" t="s">
        <v>3</v>
      </c>
      <c r="DE45" t="s">
        <v>3</v>
      </c>
      <c r="DF45">
        <f t="shared" si="13"/>
        <v>0</v>
      </c>
      <c r="DG45">
        <f t="shared" ref="DG45:DG51" si="22">ROUND(ROUND(AF45*AJ45,2)*CX45,2)</f>
        <v>2284.61</v>
      </c>
      <c r="DH45">
        <f t="shared" si="17"/>
        <v>720.45</v>
      </c>
      <c r="DI45">
        <f t="shared" si="18"/>
        <v>0</v>
      </c>
      <c r="DJ45">
        <f t="shared" ref="DJ45:DJ51" si="23">DG45</f>
        <v>2284.61</v>
      </c>
      <c r="DK45">
        <v>0</v>
      </c>
      <c r="DL45" t="s">
        <v>3</v>
      </c>
      <c r="DM45">
        <v>0</v>
      </c>
      <c r="DN45" t="s">
        <v>3</v>
      </c>
      <c r="DO45">
        <v>0</v>
      </c>
    </row>
    <row r="46" spans="1:119" x14ac:dyDescent="0.2">
      <c r="A46">
        <f>ROW(Source!A40)</f>
        <v>40</v>
      </c>
      <c r="B46">
        <v>146929938</v>
      </c>
      <c r="C46">
        <v>146930071</v>
      </c>
      <c r="D46">
        <v>140923105</v>
      </c>
      <c r="E46">
        <v>1</v>
      </c>
      <c r="F46">
        <v>1</v>
      </c>
      <c r="G46">
        <v>1</v>
      </c>
      <c r="H46">
        <v>2</v>
      </c>
      <c r="I46" t="s">
        <v>296</v>
      </c>
      <c r="J46" t="s">
        <v>297</v>
      </c>
      <c r="K46" t="s">
        <v>298</v>
      </c>
      <c r="L46">
        <v>1367</v>
      </c>
      <c r="N46">
        <v>1011</v>
      </c>
      <c r="O46" t="s">
        <v>277</v>
      </c>
      <c r="P46" t="s">
        <v>277</v>
      </c>
      <c r="Q46">
        <v>1</v>
      </c>
      <c r="W46">
        <v>0</v>
      </c>
      <c r="X46">
        <v>-896236776</v>
      </c>
      <c r="Y46">
        <f t="shared" si="14"/>
        <v>4.1399999999999997</v>
      </c>
      <c r="AA46">
        <v>0</v>
      </c>
      <c r="AB46">
        <v>1138.3699999999999</v>
      </c>
      <c r="AC46">
        <v>343.05</v>
      </c>
      <c r="AD46">
        <v>0</v>
      </c>
      <c r="AE46">
        <v>0</v>
      </c>
      <c r="AF46">
        <v>89.99</v>
      </c>
      <c r="AG46">
        <v>10.06</v>
      </c>
      <c r="AH46">
        <v>0</v>
      </c>
      <c r="AI46">
        <v>1</v>
      </c>
      <c r="AJ46">
        <v>12.65</v>
      </c>
      <c r="AK46">
        <v>34.1</v>
      </c>
      <c r="AL46">
        <v>1</v>
      </c>
      <c r="AM46">
        <v>4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</v>
      </c>
      <c r="AT46">
        <v>2.88</v>
      </c>
      <c r="AU46" t="s">
        <v>79</v>
      </c>
      <c r="AV46">
        <v>0</v>
      </c>
      <c r="AW46">
        <v>2</v>
      </c>
      <c r="AX46">
        <v>146930095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ROUND(Y46*Source!I40,9)</f>
        <v>3.9537</v>
      </c>
      <c r="CY46">
        <f t="shared" si="19"/>
        <v>1138.3699999999999</v>
      </c>
      <c r="CZ46">
        <f t="shared" si="20"/>
        <v>89.99</v>
      </c>
      <c r="DA46">
        <f t="shared" si="21"/>
        <v>12.65</v>
      </c>
      <c r="DB46">
        <f t="shared" si="15"/>
        <v>372.56</v>
      </c>
      <c r="DC46">
        <f t="shared" si="16"/>
        <v>41.64</v>
      </c>
      <c r="DD46" t="s">
        <v>3</v>
      </c>
      <c r="DE46" t="s">
        <v>3</v>
      </c>
      <c r="DF46">
        <f t="shared" si="13"/>
        <v>0</v>
      </c>
      <c r="DG46">
        <f t="shared" si="22"/>
        <v>4500.7700000000004</v>
      </c>
      <c r="DH46">
        <f t="shared" si="17"/>
        <v>1356.32</v>
      </c>
      <c r="DI46">
        <f t="shared" si="18"/>
        <v>0</v>
      </c>
      <c r="DJ46">
        <f t="shared" si="23"/>
        <v>4500.7700000000004</v>
      </c>
      <c r="DK46">
        <v>0</v>
      </c>
      <c r="DL46" t="s">
        <v>3</v>
      </c>
      <c r="DM46">
        <v>0</v>
      </c>
      <c r="DN46" t="s">
        <v>3</v>
      </c>
      <c r="DO46">
        <v>0</v>
      </c>
    </row>
    <row r="47" spans="1:119" x14ac:dyDescent="0.2">
      <c r="A47">
        <f>ROW(Source!A40)</f>
        <v>40</v>
      </c>
      <c r="B47">
        <v>146929938</v>
      </c>
      <c r="C47">
        <v>146930071</v>
      </c>
      <c r="D47">
        <v>140923229</v>
      </c>
      <c r="E47">
        <v>1</v>
      </c>
      <c r="F47">
        <v>1</v>
      </c>
      <c r="G47">
        <v>1</v>
      </c>
      <c r="H47">
        <v>2</v>
      </c>
      <c r="I47" t="s">
        <v>318</v>
      </c>
      <c r="J47" t="s">
        <v>319</v>
      </c>
      <c r="K47" t="s">
        <v>320</v>
      </c>
      <c r="L47">
        <v>1367</v>
      </c>
      <c r="N47">
        <v>1011</v>
      </c>
      <c r="O47" t="s">
        <v>277</v>
      </c>
      <c r="P47" t="s">
        <v>277</v>
      </c>
      <c r="Q47">
        <v>1</v>
      </c>
      <c r="W47">
        <v>0</v>
      </c>
      <c r="X47">
        <v>-1322498708</v>
      </c>
      <c r="Y47">
        <f t="shared" si="14"/>
        <v>26.895625000000003</v>
      </c>
      <c r="AA47">
        <v>0</v>
      </c>
      <c r="AB47">
        <v>6.33</v>
      </c>
      <c r="AC47">
        <v>0</v>
      </c>
      <c r="AD47">
        <v>0</v>
      </c>
      <c r="AE47">
        <v>0</v>
      </c>
      <c r="AF47">
        <v>0.5</v>
      </c>
      <c r="AG47">
        <v>0</v>
      </c>
      <c r="AH47">
        <v>0</v>
      </c>
      <c r="AI47">
        <v>1</v>
      </c>
      <c r="AJ47">
        <v>12.65</v>
      </c>
      <c r="AK47">
        <v>34.1</v>
      </c>
      <c r="AL47">
        <v>1</v>
      </c>
      <c r="AM47">
        <v>4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18.71</v>
      </c>
      <c r="AU47" t="s">
        <v>79</v>
      </c>
      <c r="AV47">
        <v>0</v>
      </c>
      <c r="AW47">
        <v>2</v>
      </c>
      <c r="AX47">
        <v>146930096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ROUND(Y47*Source!I40,9)</f>
        <v>25.685321875</v>
      </c>
      <c r="CY47">
        <f t="shared" si="19"/>
        <v>6.33</v>
      </c>
      <c r="CZ47">
        <f t="shared" si="20"/>
        <v>0.5</v>
      </c>
      <c r="DA47">
        <f t="shared" si="21"/>
        <v>12.65</v>
      </c>
      <c r="DB47">
        <f t="shared" si="15"/>
        <v>13.46</v>
      </c>
      <c r="DC47">
        <f t="shared" si="16"/>
        <v>0</v>
      </c>
      <c r="DD47" t="s">
        <v>3</v>
      </c>
      <c r="DE47" t="s">
        <v>3</v>
      </c>
      <c r="DF47">
        <f t="shared" si="13"/>
        <v>0</v>
      </c>
      <c r="DG47">
        <f t="shared" si="22"/>
        <v>162.59</v>
      </c>
      <c r="DH47">
        <f t="shared" si="17"/>
        <v>0</v>
      </c>
      <c r="DI47">
        <f t="shared" si="18"/>
        <v>0</v>
      </c>
      <c r="DJ47">
        <f t="shared" si="23"/>
        <v>162.59</v>
      </c>
      <c r="DK47">
        <v>0</v>
      </c>
      <c r="DL47" t="s">
        <v>3</v>
      </c>
      <c r="DM47">
        <v>0</v>
      </c>
      <c r="DN47" t="s">
        <v>3</v>
      </c>
      <c r="DO47">
        <v>0</v>
      </c>
    </row>
    <row r="48" spans="1:119" x14ac:dyDescent="0.2">
      <c r="A48">
        <f>ROW(Source!A40)</f>
        <v>40</v>
      </c>
      <c r="B48">
        <v>146929938</v>
      </c>
      <c r="C48">
        <v>146930071</v>
      </c>
      <c r="D48">
        <v>140923353</v>
      </c>
      <c r="E48">
        <v>1</v>
      </c>
      <c r="F48">
        <v>1</v>
      </c>
      <c r="G48">
        <v>1</v>
      </c>
      <c r="H48">
        <v>2</v>
      </c>
      <c r="I48" t="s">
        <v>321</v>
      </c>
      <c r="J48" t="s">
        <v>322</v>
      </c>
      <c r="K48" t="s">
        <v>323</v>
      </c>
      <c r="L48">
        <v>1367</v>
      </c>
      <c r="N48">
        <v>1011</v>
      </c>
      <c r="O48" t="s">
        <v>277</v>
      </c>
      <c r="P48" t="s">
        <v>277</v>
      </c>
      <c r="Q48">
        <v>1</v>
      </c>
      <c r="W48">
        <v>0</v>
      </c>
      <c r="X48">
        <v>-1193409272</v>
      </c>
      <c r="Y48">
        <f t="shared" si="14"/>
        <v>8.984375</v>
      </c>
      <c r="AA48">
        <v>0</v>
      </c>
      <c r="AB48">
        <v>379.5</v>
      </c>
      <c r="AC48">
        <v>0</v>
      </c>
      <c r="AD48">
        <v>0</v>
      </c>
      <c r="AE48">
        <v>0</v>
      </c>
      <c r="AF48">
        <v>30</v>
      </c>
      <c r="AG48">
        <v>0</v>
      </c>
      <c r="AH48">
        <v>0</v>
      </c>
      <c r="AI48">
        <v>1</v>
      </c>
      <c r="AJ48">
        <v>12.65</v>
      </c>
      <c r="AK48">
        <v>34.1</v>
      </c>
      <c r="AL48">
        <v>1</v>
      </c>
      <c r="AM48">
        <v>4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6.25</v>
      </c>
      <c r="AU48" t="s">
        <v>79</v>
      </c>
      <c r="AV48">
        <v>0</v>
      </c>
      <c r="AW48">
        <v>2</v>
      </c>
      <c r="AX48">
        <v>146930097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ROUND(Y48*Source!I40,9)</f>
        <v>8.580078125</v>
      </c>
      <c r="CY48">
        <f t="shared" si="19"/>
        <v>379.5</v>
      </c>
      <c r="CZ48">
        <f t="shared" si="20"/>
        <v>30</v>
      </c>
      <c r="DA48">
        <f t="shared" si="21"/>
        <v>12.65</v>
      </c>
      <c r="DB48">
        <f t="shared" si="15"/>
        <v>269.52999999999997</v>
      </c>
      <c r="DC48">
        <f t="shared" si="16"/>
        <v>0</v>
      </c>
      <c r="DD48" t="s">
        <v>3</v>
      </c>
      <c r="DE48" t="s">
        <v>3</v>
      </c>
      <c r="DF48">
        <f t="shared" si="13"/>
        <v>0</v>
      </c>
      <c r="DG48">
        <f t="shared" si="22"/>
        <v>3256.14</v>
      </c>
      <c r="DH48">
        <f t="shared" si="17"/>
        <v>0</v>
      </c>
      <c r="DI48">
        <f t="shared" si="18"/>
        <v>0</v>
      </c>
      <c r="DJ48">
        <f t="shared" si="23"/>
        <v>3256.14</v>
      </c>
      <c r="DK48">
        <v>0</v>
      </c>
      <c r="DL48" t="s">
        <v>3</v>
      </c>
      <c r="DM48">
        <v>0</v>
      </c>
      <c r="DN48" t="s">
        <v>3</v>
      </c>
      <c r="DO48">
        <v>0</v>
      </c>
    </row>
    <row r="49" spans="1:119" x14ac:dyDescent="0.2">
      <c r="A49">
        <f>ROW(Source!A40)</f>
        <v>40</v>
      </c>
      <c r="B49">
        <v>146929938</v>
      </c>
      <c r="C49">
        <v>146930071</v>
      </c>
      <c r="D49">
        <v>140923832</v>
      </c>
      <c r="E49">
        <v>1</v>
      </c>
      <c r="F49">
        <v>1</v>
      </c>
      <c r="G49">
        <v>1</v>
      </c>
      <c r="H49">
        <v>2</v>
      </c>
      <c r="I49" t="s">
        <v>263</v>
      </c>
      <c r="J49" t="s">
        <v>264</v>
      </c>
      <c r="K49" t="s">
        <v>265</v>
      </c>
      <c r="L49">
        <v>1367</v>
      </c>
      <c r="N49">
        <v>1011</v>
      </c>
      <c r="O49" t="s">
        <v>277</v>
      </c>
      <c r="P49" t="s">
        <v>277</v>
      </c>
      <c r="Q49">
        <v>1</v>
      </c>
      <c r="W49">
        <v>0</v>
      </c>
      <c r="X49">
        <v>-859805338</v>
      </c>
      <c r="Y49">
        <f t="shared" si="14"/>
        <v>32.056249999999999</v>
      </c>
      <c r="AA49">
        <v>0</v>
      </c>
      <c r="AB49">
        <v>1391.5</v>
      </c>
      <c r="AC49">
        <v>395.56</v>
      </c>
      <c r="AD49">
        <v>0</v>
      </c>
      <c r="AE49">
        <v>0</v>
      </c>
      <c r="AF49">
        <v>110</v>
      </c>
      <c r="AG49">
        <v>11.6</v>
      </c>
      <c r="AH49">
        <v>0</v>
      </c>
      <c r="AI49">
        <v>1</v>
      </c>
      <c r="AJ49">
        <v>12.65</v>
      </c>
      <c r="AK49">
        <v>34.1</v>
      </c>
      <c r="AL49">
        <v>1</v>
      </c>
      <c r="AM49">
        <v>4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22.3</v>
      </c>
      <c r="AU49" t="s">
        <v>79</v>
      </c>
      <c r="AV49">
        <v>0</v>
      </c>
      <c r="AW49">
        <v>2</v>
      </c>
      <c r="AX49">
        <v>146930098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ROUND(Y49*Source!I40,9)</f>
        <v>30.61371875</v>
      </c>
      <c r="CY49">
        <f t="shared" si="19"/>
        <v>1391.5</v>
      </c>
      <c r="CZ49">
        <f t="shared" si="20"/>
        <v>110</v>
      </c>
      <c r="DA49">
        <f t="shared" si="21"/>
        <v>12.65</v>
      </c>
      <c r="DB49">
        <f t="shared" si="15"/>
        <v>3526.19</v>
      </c>
      <c r="DC49">
        <f t="shared" si="16"/>
        <v>371.85</v>
      </c>
      <c r="DD49" t="s">
        <v>3</v>
      </c>
      <c r="DE49" t="s">
        <v>3</v>
      </c>
      <c r="DF49">
        <f t="shared" si="13"/>
        <v>0</v>
      </c>
      <c r="DG49">
        <f t="shared" si="22"/>
        <v>42598.99</v>
      </c>
      <c r="DH49">
        <f t="shared" si="17"/>
        <v>12109.56</v>
      </c>
      <c r="DI49">
        <f t="shared" si="18"/>
        <v>0</v>
      </c>
      <c r="DJ49">
        <f t="shared" si="23"/>
        <v>42598.99</v>
      </c>
      <c r="DK49">
        <v>0</v>
      </c>
      <c r="DL49" t="s">
        <v>3</v>
      </c>
      <c r="DM49">
        <v>0</v>
      </c>
      <c r="DN49" t="s">
        <v>3</v>
      </c>
      <c r="DO49">
        <v>0</v>
      </c>
    </row>
    <row r="50" spans="1:119" x14ac:dyDescent="0.2">
      <c r="A50">
        <f>ROW(Source!A40)</f>
        <v>40</v>
      </c>
      <c r="B50">
        <v>146929938</v>
      </c>
      <c r="C50">
        <v>146930071</v>
      </c>
      <c r="D50">
        <v>140923885</v>
      </c>
      <c r="E50">
        <v>1</v>
      </c>
      <c r="F50">
        <v>1</v>
      </c>
      <c r="G50">
        <v>1</v>
      </c>
      <c r="H50">
        <v>2</v>
      </c>
      <c r="I50" t="s">
        <v>311</v>
      </c>
      <c r="J50" t="s">
        <v>312</v>
      </c>
      <c r="K50" t="s">
        <v>313</v>
      </c>
      <c r="L50">
        <v>1367</v>
      </c>
      <c r="N50">
        <v>1011</v>
      </c>
      <c r="O50" t="s">
        <v>277</v>
      </c>
      <c r="P50" t="s">
        <v>277</v>
      </c>
      <c r="Q50">
        <v>1</v>
      </c>
      <c r="W50">
        <v>0</v>
      </c>
      <c r="X50">
        <v>509054691</v>
      </c>
      <c r="Y50">
        <f t="shared" si="14"/>
        <v>4.5999999999999996</v>
      </c>
      <c r="AA50">
        <v>0</v>
      </c>
      <c r="AB50">
        <v>831.23</v>
      </c>
      <c r="AC50">
        <v>395.56</v>
      </c>
      <c r="AD50">
        <v>0</v>
      </c>
      <c r="AE50">
        <v>0</v>
      </c>
      <c r="AF50">
        <v>65.709999999999994</v>
      </c>
      <c r="AG50">
        <v>11.6</v>
      </c>
      <c r="AH50">
        <v>0</v>
      </c>
      <c r="AI50">
        <v>1</v>
      </c>
      <c r="AJ50">
        <v>12.65</v>
      </c>
      <c r="AK50">
        <v>34.1</v>
      </c>
      <c r="AL50">
        <v>1</v>
      </c>
      <c r="AM50">
        <v>4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3.2</v>
      </c>
      <c r="AU50" t="s">
        <v>79</v>
      </c>
      <c r="AV50">
        <v>0</v>
      </c>
      <c r="AW50">
        <v>2</v>
      </c>
      <c r="AX50">
        <v>146930099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ROUND(Y50*Source!I40,9)</f>
        <v>4.3929999999999998</v>
      </c>
      <c r="CY50">
        <f t="shared" si="19"/>
        <v>831.23</v>
      </c>
      <c r="CZ50">
        <f t="shared" si="20"/>
        <v>65.709999999999994</v>
      </c>
      <c r="DA50">
        <f t="shared" si="21"/>
        <v>12.65</v>
      </c>
      <c r="DB50">
        <f t="shared" si="15"/>
        <v>302.26</v>
      </c>
      <c r="DC50">
        <f t="shared" si="16"/>
        <v>53.36</v>
      </c>
      <c r="DD50" t="s">
        <v>3</v>
      </c>
      <c r="DE50" t="s">
        <v>3</v>
      </c>
      <c r="DF50">
        <f t="shared" si="13"/>
        <v>0</v>
      </c>
      <c r="DG50">
        <f t="shared" si="22"/>
        <v>3651.59</v>
      </c>
      <c r="DH50">
        <f t="shared" si="17"/>
        <v>1737.7</v>
      </c>
      <c r="DI50">
        <f t="shared" si="18"/>
        <v>0</v>
      </c>
      <c r="DJ50">
        <f t="shared" si="23"/>
        <v>3651.59</v>
      </c>
      <c r="DK50">
        <v>0</v>
      </c>
      <c r="DL50" t="s">
        <v>3</v>
      </c>
      <c r="DM50">
        <v>0</v>
      </c>
      <c r="DN50" t="s">
        <v>3</v>
      </c>
      <c r="DO50">
        <v>0</v>
      </c>
    </row>
    <row r="51" spans="1:119" x14ac:dyDescent="0.2">
      <c r="A51">
        <f>ROW(Source!A40)</f>
        <v>40</v>
      </c>
      <c r="B51">
        <v>146929938</v>
      </c>
      <c r="C51">
        <v>146930071</v>
      </c>
      <c r="D51">
        <v>140923974</v>
      </c>
      <c r="E51">
        <v>1</v>
      </c>
      <c r="F51">
        <v>1</v>
      </c>
      <c r="G51">
        <v>1</v>
      </c>
      <c r="H51">
        <v>2</v>
      </c>
      <c r="I51" t="s">
        <v>324</v>
      </c>
      <c r="J51" t="s">
        <v>325</v>
      </c>
      <c r="K51" t="s">
        <v>326</v>
      </c>
      <c r="L51">
        <v>1367</v>
      </c>
      <c r="N51">
        <v>1011</v>
      </c>
      <c r="O51" t="s">
        <v>277</v>
      </c>
      <c r="P51" t="s">
        <v>277</v>
      </c>
      <c r="Q51">
        <v>1</v>
      </c>
      <c r="W51">
        <v>0</v>
      </c>
      <c r="X51">
        <v>893289166</v>
      </c>
      <c r="Y51">
        <f t="shared" si="14"/>
        <v>26.895625000000003</v>
      </c>
      <c r="AA51">
        <v>0</v>
      </c>
      <c r="AB51">
        <v>281.97000000000003</v>
      </c>
      <c r="AC51">
        <v>395.56</v>
      </c>
      <c r="AD51">
        <v>0</v>
      </c>
      <c r="AE51">
        <v>0</v>
      </c>
      <c r="AF51">
        <v>22.29</v>
      </c>
      <c r="AG51">
        <v>11.6</v>
      </c>
      <c r="AH51">
        <v>0</v>
      </c>
      <c r="AI51">
        <v>1</v>
      </c>
      <c r="AJ51">
        <v>12.65</v>
      </c>
      <c r="AK51">
        <v>34.1</v>
      </c>
      <c r="AL51">
        <v>1</v>
      </c>
      <c r="AM51">
        <v>4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18.71</v>
      </c>
      <c r="AU51" t="s">
        <v>79</v>
      </c>
      <c r="AV51">
        <v>0</v>
      </c>
      <c r="AW51">
        <v>2</v>
      </c>
      <c r="AX51">
        <v>146930100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ROUND(Y51*Source!I40,9)</f>
        <v>25.685321875</v>
      </c>
      <c r="CY51">
        <f t="shared" si="19"/>
        <v>281.97000000000003</v>
      </c>
      <c r="CZ51">
        <f t="shared" si="20"/>
        <v>22.29</v>
      </c>
      <c r="DA51">
        <f t="shared" si="21"/>
        <v>12.65</v>
      </c>
      <c r="DB51">
        <f t="shared" si="15"/>
        <v>599.51</v>
      </c>
      <c r="DC51">
        <f t="shared" si="16"/>
        <v>312</v>
      </c>
      <c r="DD51" t="s">
        <v>3</v>
      </c>
      <c r="DE51" t="s">
        <v>3</v>
      </c>
      <c r="DF51">
        <f t="shared" si="13"/>
        <v>0</v>
      </c>
      <c r="DG51">
        <f t="shared" si="22"/>
        <v>7242.49</v>
      </c>
      <c r="DH51">
        <f t="shared" si="17"/>
        <v>10160.09</v>
      </c>
      <c r="DI51">
        <f t="shared" si="18"/>
        <v>0</v>
      </c>
      <c r="DJ51">
        <f t="shared" si="23"/>
        <v>7242.49</v>
      </c>
      <c r="DK51">
        <v>0</v>
      </c>
      <c r="DL51" t="s">
        <v>3</v>
      </c>
      <c r="DM51">
        <v>0</v>
      </c>
      <c r="DN51" t="s">
        <v>3</v>
      </c>
      <c r="DO51">
        <v>0</v>
      </c>
    </row>
    <row r="52" spans="1:119" x14ac:dyDescent="0.2">
      <c r="A52">
        <f>ROW(Source!A40)</f>
        <v>40</v>
      </c>
      <c r="B52">
        <v>146929938</v>
      </c>
      <c r="C52">
        <v>146930071</v>
      </c>
      <c r="D52">
        <v>140770690</v>
      </c>
      <c r="E52">
        <v>1</v>
      </c>
      <c r="F52">
        <v>1</v>
      </c>
      <c r="G52">
        <v>1</v>
      </c>
      <c r="H52">
        <v>3</v>
      </c>
      <c r="I52" t="s">
        <v>327</v>
      </c>
      <c r="J52" t="s">
        <v>328</v>
      </c>
      <c r="K52" t="s">
        <v>329</v>
      </c>
      <c r="L52">
        <v>1348</v>
      </c>
      <c r="N52">
        <v>1009</v>
      </c>
      <c r="O52" t="s">
        <v>95</v>
      </c>
      <c r="P52" t="s">
        <v>95</v>
      </c>
      <c r="Q52">
        <v>1000</v>
      </c>
      <c r="W52">
        <v>0</v>
      </c>
      <c r="X52">
        <v>-44402568</v>
      </c>
      <c r="Y52">
        <f t="shared" ref="Y52:Y62" si="24">AT52</f>
        <v>7.0000000000000001E-3</v>
      </c>
      <c r="AA52">
        <v>15294.5</v>
      </c>
      <c r="AB52">
        <v>0</v>
      </c>
      <c r="AC52">
        <v>0</v>
      </c>
      <c r="AD52">
        <v>0</v>
      </c>
      <c r="AE52">
        <v>1690</v>
      </c>
      <c r="AF52">
        <v>0</v>
      </c>
      <c r="AG52">
        <v>0</v>
      </c>
      <c r="AH52">
        <v>0</v>
      </c>
      <c r="AI52">
        <v>9.0500000000000007</v>
      </c>
      <c r="AJ52">
        <v>1</v>
      </c>
      <c r="AK52">
        <v>1</v>
      </c>
      <c r="AL52">
        <v>1</v>
      </c>
      <c r="AM52">
        <v>4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7.0000000000000001E-3</v>
      </c>
      <c r="AU52" t="s">
        <v>3</v>
      </c>
      <c r="AV52">
        <v>0</v>
      </c>
      <c r="AW52">
        <v>2</v>
      </c>
      <c r="AX52">
        <v>146930101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ROUND(Y52*Source!I40,9)</f>
        <v>6.685E-3</v>
      </c>
      <c r="CY52">
        <f t="shared" ref="CY52:CY62" si="25">AA52</f>
        <v>15294.5</v>
      </c>
      <c r="CZ52">
        <f t="shared" ref="CZ52:CZ62" si="26">AE52</f>
        <v>1690</v>
      </c>
      <c r="DA52">
        <f t="shared" ref="DA52:DA62" si="27">AI52</f>
        <v>9.0500000000000007</v>
      </c>
      <c r="DB52">
        <f t="shared" ref="DB52:DB62" si="28">ROUND(ROUND(AT52*CZ52,2),2)</f>
        <v>11.83</v>
      </c>
      <c r="DC52">
        <f t="shared" ref="DC52:DC62" si="29">ROUND(ROUND(AT52*AG52,2),2)</f>
        <v>0</v>
      </c>
      <c r="DD52" t="s">
        <v>3</v>
      </c>
      <c r="DE52" t="s">
        <v>3</v>
      </c>
      <c r="DF52">
        <f t="shared" ref="DF52:DF62" si="30">ROUND(ROUND(AE52*AI52,2)*CX52,2)</f>
        <v>102.24</v>
      </c>
      <c r="DG52">
        <f t="shared" ref="DG52:DG62" si="31">ROUND(ROUND(AF52,2)*CX52,2)</f>
        <v>0</v>
      </c>
      <c r="DH52">
        <f t="shared" ref="DH52:DH62" si="32">ROUND(ROUND(AG52,2)*CX52,2)</f>
        <v>0</v>
      </c>
      <c r="DI52">
        <f t="shared" si="18"/>
        <v>0</v>
      </c>
      <c r="DJ52">
        <f t="shared" ref="DJ52:DJ62" si="33">DF52</f>
        <v>102.24</v>
      </c>
      <c r="DK52">
        <v>0</v>
      </c>
      <c r="DL52" t="s">
        <v>3</v>
      </c>
      <c r="DM52">
        <v>0</v>
      </c>
      <c r="DN52" t="s">
        <v>3</v>
      </c>
      <c r="DO52">
        <v>0</v>
      </c>
    </row>
    <row r="53" spans="1:119" x14ac:dyDescent="0.2">
      <c r="A53">
        <f>ROW(Source!A40)</f>
        <v>40</v>
      </c>
      <c r="B53">
        <v>146929938</v>
      </c>
      <c r="C53">
        <v>146930071</v>
      </c>
      <c r="D53">
        <v>140772680</v>
      </c>
      <c r="E53">
        <v>1</v>
      </c>
      <c r="F53">
        <v>1</v>
      </c>
      <c r="G53">
        <v>1</v>
      </c>
      <c r="H53">
        <v>3</v>
      </c>
      <c r="I53" t="s">
        <v>269</v>
      </c>
      <c r="J53" t="s">
        <v>270</v>
      </c>
      <c r="K53" t="s">
        <v>271</v>
      </c>
      <c r="L53">
        <v>1339</v>
      </c>
      <c r="N53">
        <v>1007</v>
      </c>
      <c r="O53" t="s">
        <v>68</v>
      </c>
      <c r="P53" t="s">
        <v>68</v>
      </c>
      <c r="Q53">
        <v>1</v>
      </c>
      <c r="W53">
        <v>0</v>
      </c>
      <c r="X53">
        <v>-143474561</v>
      </c>
      <c r="Y53">
        <f t="shared" si="24"/>
        <v>178</v>
      </c>
      <c r="AA53">
        <v>22.08</v>
      </c>
      <c r="AB53">
        <v>0</v>
      </c>
      <c r="AC53">
        <v>0</v>
      </c>
      <c r="AD53">
        <v>0</v>
      </c>
      <c r="AE53">
        <v>2.44</v>
      </c>
      <c r="AF53">
        <v>0</v>
      </c>
      <c r="AG53">
        <v>0</v>
      </c>
      <c r="AH53">
        <v>0</v>
      </c>
      <c r="AI53">
        <v>9.0500000000000007</v>
      </c>
      <c r="AJ53">
        <v>1</v>
      </c>
      <c r="AK53">
        <v>1</v>
      </c>
      <c r="AL53">
        <v>1</v>
      </c>
      <c r="AM53">
        <v>4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178</v>
      </c>
      <c r="AU53" t="s">
        <v>3</v>
      </c>
      <c r="AV53">
        <v>0</v>
      </c>
      <c r="AW53">
        <v>2</v>
      </c>
      <c r="AX53">
        <v>146930102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ROUND(Y53*Source!I40,9)</f>
        <v>169.99</v>
      </c>
      <c r="CY53">
        <f t="shared" si="25"/>
        <v>22.08</v>
      </c>
      <c r="CZ53">
        <f t="shared" si="26"/>
        <v>2.44</v>
      </c>
      <c r="DA53">
        <f t="shared" si="27"/>
        <v>9.0500000000000007</v>
      </c>
      <c r="DB53">
        <f t="shared" si="28"/>
        <v>434.32</v>
      </c>
      <c r="DC53">
        <f t="shared" si="29"/>
        <v>0</v>
      </c>
      <c r="DD53" t="s">
        <v>3</v>
      </c>
      <c r="DE53" t="s">
        <v>3</v>
      </c>
      <c r="DF53">
        <f t="shared" si="30"/>
        <v>3753.38</v>
      </c>
      <c r="DG53">
        <f t="shared" si="31"/>
        <v>0</v>
      </c>
      <c r="DH53">
        <f t="shared" si="32"/>
        <v>0</v>
      </c>
      <c r="DI53">
        <f t="shared" si="18"/>
        <v>0</v>
      </c>
      <c r="DJ53">
        <f t="shared" si="33"/>
        <v>3753.38</v>
      </c>
      <c r="DK53">
        <v>0</v>
      </c>
      <c r="DL53" t="s">
        <v>3</v>
      </c>
      <c r="DM53">
        <v>0</v>
      </c>
      <c r="DN53" t="s">
        <v>3</v>
      </c>
      <c r="DO53">
        <v>0</v>
      </c>
    </row>
    <row r="54" spans="1:119" x14ac:dyDescent="0.2">
      <c r="A54">
        <f>ROW(Source!A40)</f>
        <v>40</v>
      </c>
      <c r="B54">
        <v>146929938</v>
      </c>
      <c r="C54">
        <v>146930071</v>
      </c>
      <c r="D54">
        <v>140776245</v>
      </c>
      <c r="E54">
        <v>1</v>
      </c>
      <c r="F54">
        <v>1</v>
      </c>
      <c r="G54">
        <v>1</v>
      </c>
      <c r="H54">
        <v>3</v>
      </c>
      <c r="I54" t="s">
        <v>330</v>
      </c>
      <c r="J54" t="s">
        <v>331</v>
      </c>
      <c r="K54" t="s">
        <v>332</v>
      </c>
      <c r="L54">
        <v>1330</v>
      </c>
      <c r="N54">
        <v>1005</v>
      </c>
      <c r="O54" t="s">
        <v>333</v>
      </c>
      <c r="P54" t="s">
        <v>333</v>
      </c>
      <c r="Q54">
        <v>10</v>
      </c>
      <c r="W54">
        <v>0</v>
      </c>
      <c r="X54">
        <v>167210676</v>
      </c>
      <c r="Y54">
        <f t="shared" si="24"/>
        <v>11</v>
      </c>
      <c r="AA54">
        <v>766.99</v>
      </c>
      <c r="AB54">
        <v>0</v>
      </c>
      <c r="AC54">
        <v>0</v>
      </c>
      <c r="AD54">
        <v>0</v>
      </c>
      <c r="AE54">
        <v>84.75</v>
      </c>
      <c r="AF54">
        <v>0</v>
      </c>
      <c r="AG54">
        <v>0</v>
      </c>
      <c r="AH54">
        <v>0</v>
      </c>
      <c r="AI54">
        <v>9.0500000000000007</v>
      </c>
      <c r="AJ54">
        <v>1</v>
      </c>
      <c r="AK54">
        <v>1</v>
      </c>
      <c r="AL54">
        <v>1</v>
      </c>
      <c r="AM54">
        <v>4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11</v>
      </c>
      <c r="AU54" t="s">
        <v>3</v>
      </c>
      <c r="AV54">
        <v>0</v>
      </c>
      <c r="AW54">
        <v>2</v>
      </c>
      <c r="AX54">
        <v>146930103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ROUND(Y54*Source!I40,9)</f>
        <v>10.505000000000001</v>
      </c>
      <c r="CY54">
        <f t="shared" si="25"/>
        <v>766.99</v>
      </c>
      <c r="CZ54">
        <f t="shared" si="26"/>
        <v>84.75</v>
      </c>
      <c r="DA54">
        <f t="shared" si="27"/>
        <v>9.0500000000000007</v>
      </c>
      <c r="DB54">
        <f t="shared" si="28"/>
        <v>932.25</v>
      </c>
      <c r="DC54">
        <f t="shared" si="29"/>
        <v>0</v>
      </c>
      <c r="DD54" t="s">
        <v>3</v>
      </c>
      <c r="DE54" t="s">
        <v>3</v>
      </c>
      <c r="DF54">
        <f t="shared" si="30"/>
        <v>8057.23</v>
      </c>
      <c r="DG54">
        <f t="shared" si="31"/>
        <v>0</v>
      </c>
      <c r="DH54">
        <f t="shared" si="32"/>
        <v>0</v>
      </c>
      <c r="DI54">
        <f t="shared" si="18"/>
        <v>0</v>
      </c>
      <c r="DJ54">
        <f t="shared" si="33"/>
        <v>8057.23</v>
      </c>
      <c r="DK54">
        <v>0</v>
      </c>
      <c r="DL54" t="s">
        <v>3</v>
      </c>
      <c r="DM54">
        <v>0</v>
      </c>
      <c r="DN54" t="s">
        <v>3</v>
      </c>
      <c r="DO54">
        <v>0</v>
      </c>
    </row>
    <row r="55" spans="1:119" x14ac:dyDescent="0.2">
      <c r="A55">
        <f>ROW(Source!A40)</f>
        <v>40</v>
      </c>
      <c r="B55">
        <v>146929938</v>
      </c>
      <c r="C55">
        <v>146930071</v>
      </c>
      <c r="D55">
        <v>140777059</v>
      </c>
      <c r="E55">
        <v>1</v>
      </c>
      <c r="F55">
        <v>1</v>
      </c>
      <c r="G55">
        <v>1</v>
      </c>
      <c r="H55">
        <v>3</v>
      </c>
      <c r="I55" t="s">
        <v>334</v>
      </c>
      <c r="J55" t="s">
        <v>335</v>
      </c>
      <c r="K55" t="s">
        <v>336</v>
      </c>
      <c r="L55">
        <v>1339</v>
      </c>
      <c r="N55">
        <v>1007</v>
      </c>
      <c r="O55" t="s">
        <v>68</v>
      </c>
      <c r="P55" t="s">
        <v>68</v>
      </c>
      <c r="Q55">
        <v>1</v>
      </c>
      <c r="W55">
        <v>0</v>
      </c>
      <c r="X55">
        <v>458429195</v>
      </c>
      <c r="Y55">
        <f t="shared" si="24"/>
        <v>40</v>
      </c>
      <c r="AA55">
        <v>542.91</v>
      </c>
      <c r="AB55">
        <v>0</v>
      </c>
      <c r="AC55">
        <v>0</v>
      </c>
      <c r="AD55">
        <v>0</v>
      </c>
      <c r="AE55">
        <v>59.99</v>
      </c>
      <c r="AF55">
        <v>0</v>
      </c>
      <c r="AG55">
        <v>0</v>
      </c>
      <c r="AH55">
        <v>0</v>
      </c>
      <c r="AI55">
        <v>9.0500000000000007</v>
      </c>
      <c r="AJ55">
        <v>1</v>
      </c>
      <c r="AK55">
        <v>1</v>
      </c>
      <c r="AL55">
        <v>1</v>
      </c>
      <c r="AM55">
        <v>4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40</v>
      </c>
      <c r="AU55" t="s">
        <v>3</v>
      </c>
      <c r="AV55">
        <v>0</v>
      </c>
      <c r="AW55">
        <v>2</v>
      </c>
      <c r="AX55">
        <v>146930104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ROUND(Y55*Source!I40,9)</f>
        <v>38.200000000000003</v>
      </c>
      <c r="CY55">
        <f t="shared" si="25"/>
        <v>542.91</v>
      </c>
      <c r="CZ55">
        <f t="shared" si="26"/>
        <v>59.99</v>
      </c>
      <c r="DA55">
        <f t="shared" si="27"/>
        <v>9.0500000000000007</v>
      </c>
      <c r="DB55">
        <f t="shared" si="28"/>
        <v>2399.6</v>
      </c>
      <c r="DC55">
        <f t="shared" si="29"/>
        <v>0</v>
      </c>
      <c r="DD55" t="s">
        <v>3</v>
      </c>
      <c r="DE55" t="s">
        <v>3</v>
      </c>
      <c r="DF55">
        <f t="shared" si="30"/>
        <v>20739.16</v>
      </c>
      <c r="DG55">
        <f t="shared" si="31"/>
        <v>0</v>
      </c>
      <c r="DH55">
        <f t="shared" si="32"/>
        <v>0</v>
      </c>
      <c r="DI55">
        <f t="shared" si="18"/>
        <v>0</v>
      </c>
      <c r="DJ55">
        <f t="shared" si="33"/>
        <v>20739.16</v>
      </c>
      <c r="DK55">
        <v>0</v>
      </c>
      <c r="DL55" t="s">
        <v>3</v>
      </c>
      <c r="DM55">
        <v>0</v>
      </c>
      <c r="DN55" t="s">
        <v>3</v>
      </c>
      <c r="DO55">
        <v>0</v>
      </c>
    </row>
    <row r="56" spans="1:119" x14ac:dyDescent="0.2">
      <c r="A56">
        <f>ROW(Source!A40)</f>
        <v>40</v>
      </c>
      <c r="B56">
        <v>146929938</v>
      </c>
      <c r="C56">
        <v>146930071</v>
      </c>
      <c r="D56">
        <v>140761041</v>
      </c>
      <c r="E56">
        <v>70</v>
      </c>
      <c r="F56">
        <v>1</v>
      </c>
      <c r="G56">
        <v>1</v>
      </c>
      <c r="H56">
        <v>3</v>
      </c>
      <c r="I56" t="s">
        <v>337</v>
      </c>
      <c r="J56" t="s">
        <v>3</v>
      </c>
      <c r="K56" t="s">
        <v>338</v>
      </c>
      <c r="L56">
        <v>1339</v>
      </c>
      <c r="N56">
        <v>1007</v>
      </c>
      <c r="O56" t="s">
        <v>68</v>
      </c>
      <c r="P56" t="s">
        <v>68</v>
      </c>
      <c r="Q56">
        <v>1</v>
      </c>
      <c r="W56">
        <v>0</v>
      </c>
      <c r="X56">
        <v>956572894</v>
      </c>
      <c r="Y56">
        <f t="shared" si="24"/>
        <v>204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9.0500000000000007</v>
      </c>
      <c r="AJ56">
        <v>1</v>
      </c>
      <c r="AK56">
        <v>1</v>
      </c>
      <c r="AL56">
        <v>1</v>
      </c>
      <c r="AM56">
        <v>4</v>
      </c>
      <c r="AN56">
        <v>0</v>
      </c>
      <c r="AO56">
        <v>0</v>
      </c>
      <c r="AP56">
        <v>0</v>
      </c>
      <c r="AQ56">
        <v>0</v>
      </c>
      <c r="AR56">
        <v>0</v>
      </c>
      <c r="AS56" t="s">
        <v>3</v>
      </c>
      <c r="AT56">
        <v>204</v>
      </c>
      <c r="AU56" t="s">
        <v>3</v>
      </c>
      <c r="AV56">
        <v>0</v>
      </c>
      <c r="AW56">
        <v>2</v>
      </c>
      <c r="AX56">
        <v>146930105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ROUND(Y56*Source!I40,9)</f>
        <v>194.82</v>
      </c>
      <c r="CY56">
        <f t="shared" si="25"/>
        <v>0</v>
      </c>
      <c r="CZ56">
        <f t="shared" si="26"/>
        <v>0</v>
      </c>
      <c r="DA56">
        <f t="shared" si="27"/>
        <v>9.0500000000000007</v>
      </c>
      <c r="DB56">
        <f t="shared" si="28"/>
        <v>0</v>
      </c>
      <c r="DC56">
        <f t="shared" si="29"/>
        <v>0</v>
      </c>
      <c r="DD56" t="s">
        <v>3</v>
      </c>
      <c r="DE56" t="s">
        <v>3</v>
      </c>
      <c r="DF56">
        <f t="shared" si="30"/>
        <v>0</v>
      </c>
      <c r="DG56">
        <f t="shared" si="31"/>
        <v>0</v>
      </c>
      <c r="DH56">
        <f t="shared" si="32"/>
        <v>0</v>
      </c>
      <c r="DI56">
        <f t="shared" si="18"/>
        <v>0</v>
      </c>
      <c r="DJ56">
        <f t="shared" si="33"/>
        <v>0</v>
      </c>
      <c r="DK56">
        <v>0</v>
      </c>
      <c r="DL56" t="s">
        <v>3</v>
      </c>
      <c r="DM56">
        <v>0</v>
      </c>
      <c r="DN56" t="s">
        <v>3</v>
      </c>
      <c r="DO56">
        <v>0</v>
      </c>
    </row>
    <row r="57" spans="1:119" x14ac:dyDescent="0.2">
      <c r="A57">
        <f>ROW(Source!A40)</f>
        <v>40</v>
      </c>
      <c r="B57">
        <v>146929938</v>
      </c>
      <c r="C57">
        <v>146930071</v>
      </c>
      <c r="D57">
        <v>140762426</v>
      </c>
      <c r="E57">
        <v>70</v>
      </c>
      <c r="F57">
        <v>1</v>
      </c>
      <c r="G57">
        <v>1</v>
      </c>
      <c r="H57">
        <v>3</v>
      </c>
      <c r="I57" t="s">
        <v>339</v>
      </c>
      <c r="J57" t="s">
        <v>3</v>
      </c>
      <c r="K57" t="s">
        <v>340</v>
      </c>
      <c r="L57">
        <v>1348</v>
      </c>
      <c r="N57">
        <v>1009</v>
      </c>
      <c r="O57" t="s">
        <v>95</v>
      </c>
      <c r="P57" t="s">
        <v>95</v>
      </c>
      <c r="Q57">
        <v>1000</v>
      </c>
      <c r="W57">
        <v>0</v>
      </c>
      <c r="X57">
        <v>1471899773</v>
      </c>
      <c r="Y57">
        <f t="shared" si="24"/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9.0500000000000007</v>
      </c>
      <c r="AJ57">
        <v>1</v>
      </c>
      <c r="AK57">
        <v>1</v>
      </c>
      <c r="AL57">
        <v>1</v>
      </c>
      <c r="AM57">
        <v>4</v>
      </c>
      <c r="AN57">
        <v>1</v>
      </c>
      <c r="AO57">
        <v>0</v>
      </c>
      <c r="AP57">
        <v>0</v>
      </c>
      <c r="AQ57">
        <v>0</v>
      </c>
      <c r="AR57">
        <v>0</v>
      </c>
      <c r="AS57" t="s">
        <v>3</v>
      </c>
      <c r="AT57">
        <v>0</v>
      </c>
      <c r="AU57" t="s">
        <v>3</v>
      </c>
      <c r="AV57">
        <v>0</v>
      </c>
      <c r="AW57">
        <v>2</v>
      </c>
      <c r="AX57">
        <v>146930106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ROUND(Y57*Source!I40,9)</f>
        <v>0</v>
      </c>
      <c r="CY57">
        <f t="shared" si="25"/>
        <v>0</v>
      </c>
      <c r="CZ57">
        <f t="shared" si="26"/>
        <v>0</v>
      </c>
      <c r="DA57">
        <f t="shared" si="27"/>
        <v>9.0500000000000007</v>
      </c>
      <c r="DB57">
        <f t="shared" si="28"/>
        <v>0</v>
      </c>
      <c r="DC57">
        <f t="shared" si="29"/>
        <v>0</v>
      </c>
      <c r="DD57" t="s">
        <v>3</v>
      </c>
      <c r="DE57" t="s">
        <v>3</v>
      </c>
      <c r="DF57">
        <f t="shared" si="30"/>
        <v>0</v>
      </c>
      <c r="DG57">
        <f t="shared" si="31"/>
        <v>0</v>
      </c>
      <c r="DH57">
        <f t="shared" si="32"/>
        <v>0</v>
      </c>
      <c r="DI57">
        <f t="shared" si="18"/>
        <v>0</v>
      </c>
      <c r="DJ57">
        <f t="shared" si="33"/>
        <v>0</v>
      </c>
      <c r="DK57">
        <v>0</v>
      </c>
      <c r="DL57" t="s">
        <v>3</v>
      </c>
      <c r="DM57">
        <v>0</v>
      </c>
      <c r="DN57" t="s">
        <v>3</v>
      </c>
      <c r="DO57">
        <v>0</v>
      </c>
    </row>
    <row r="58" spans="1:119" x14ac:dyDescent="0.2">
      <c r="A58">
        <f>ROW(Source!A40)</f>
        <v>40</v>
      </c>
      <c r="B58">
        <v>146929938</v>
      </c>
      <c r="C58">
        <v>146930071</v>
      </c>
      <c r="D58">
        <v>140796472</v>
      </c>
      <c r="E58">
        <v>1</v>
      </c>
      <c r="F58">
        <v>1</v>
      </c>
      <c r="G58">
        <v>1</v>
      </c>
      <c r="H58">
        <v>3</v>
      </c>
      <c r="I58" t="s">
        <v>341</v>
      </c>
      <c r="J58" t="s">
        <v>342</v>
      </c>
      <c r="K58" t="s">
        <v>343</v>
      </c>
      <c r="L58">
        <v>1339</v>
      </c>
      <c r="N58">
        <v>1007</v>
      </c>
      <c r="O58" t="s">
        <v>68</v>
      </c>
      <c r="P58" t="s">
        <v>68</v>
      </c>
      <c r="Q58">
        <v>1</v>
      </c>
      <c r="W58">
        <v>0</v>
      </c>
      <c r="X58">
        <v>-2109341268</v>
      </c>
      <c r="Y58">
        <f t="shared" si="24"/>
        <v>0.24</v>
      </c>
      <c r="AA58">
        <v>11946</v>
      </c>
      <c r="AB58">
        <v>0</v>
      </c>
      <c r="AC58">
        <v>0</v>
      </c>
      <c r="AD58">
        <v>0</v>
      </c>
      <c r="AE58">
        <v>1320</v>
      </c>
      <c r="AF58">
        <v>0</v>
      </c>
      <c r="AG58">
        <v>0</v>
      </c>
      <c r="AH58">
        <v>0</v>
      </c>
      <c r="AI58">
        <v>9.0500000000000007</v>
      </c>
      <c r="AJ58">
        <v>1</v>
      </c>
      <c r="AK58">
        <v>1</v>
      </c>
      <c r="AL58">
        <v>1</v>
      </c>
      <c r="AM58">
        <v>4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0.24</v>
      </c>
      <c r="AU58" t="s">
        <v>3</v>
      </c>
      <c r="AV58">
        <v>0</v>
      </c>
      <c r="AW58">
        <v>2</v>
      </c>
      <c r="AX58">
        <v>146930107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ROUND(Y58*Source!I40,9)</f>
        <v>0.22919999999999999</v>
      </c>
      <c r="CY58">
        <f t="shared" si="25"/>
        <v>11946</v>
      </c>
      <c r="CZ58">
        <f t="shared" si="26"/>
        <v>1320</v>
      </c>
      <c r="DA58">
        <f t="shared" si="27"/>
        <v>9.0500000000000007</v>
      </c>
      <c r="DB58">
        <f t="shared" si="28"/>
        <v>316.8</v>
      </c>
      <c r="DC58">
        <f t="shared" si="29"/>
        <v>0</v>
      </c>
      <c r="DD58" t="s">
        <v>3</v>
      </c>
      <c r="DE58" t="s">
        <v>3</v>
      </c>
      <c r="DF58">
        <f t="shared" si="30"/>
        <v>2738.02</v>
      </c>
      <c r="DG58">
        <f t="shared" si="31"/>
        <v>0</v>
      </c>
      <c r="DH58">
        <f t="shared" si="32"/>
        <v>0</v>
      </c>
      <c r="DI58">
        <f t="shared" si="18"/>
        <v>0</v>
      </c>
      <c r="DJ58">
        <f t="shared" si="33"/>
        <v>2738.02</v>
      </c>
      <c r="DK58">
        <v>0</v>
      </c>
      <c r="DL58" t="s">
        <v>3</v>
      </c>
      <c r="DM58">
        <v>0</v>
      </c>
      <c r="DN58" t="s">
        <v>3</v>
      </c>
      <c r="DO58">
        <v>0</v>
      </c>
    </row>
    <row r="59" spans="1:119" x14ac:dyDescent="0.2">
      <c r="A59">
        <f>ROW(Source!A40)</f>
        <v>40</v>
      </c>
      <c r="B59">
        <v>146929938</v>
      </c>
      <c r="C59">
        <v>146930071</v>
      </c>
      <c r="D59">
        <v>140796533</v>
      </c>
      <c r="E59">
        <v>1</v>
      </c>
      <c r="F59">
        <v>1</v>
      </c>
      <c r="G59">
        <v>1</v>
      </c>
      <c r="H59">
        <v>3</v>
      </c>
      <c r="I59" t="s">
        <v>344</v>
      </c>
      <c r="J59" t="s">
        <v>345</v>
      </c>
      <c r="K59" t="s">
        <v>346</v>
      </c>
      <c r="L59">
        <v>1339</v>
      </c>
      <c r="N59">
        <v>1007</v>
      </c>
      <c r="O59" t="s">
        <v>68</v>
      </c>
      <c r="P59" t="s">
        <v>68</v>
      </c>
      <c r="Q59">
        <v>1</v>
      </c>
      <c r="W59">
        <v>0</v>
      </c>
      <c r="X59">
        <v>-896765309</v>
      </c>
      <c r="Y59">
        <f t="shared" si="24"/>
        <v>0.19</v>
      </c>
      <c r="AA59">
        <v>9955</v>
      </c>
      <c r="AB59">
        <v>0</v>
      </c>
      <c r="AC59">
        <v>0</v>
      </c>
      <c r="AD59">
        <v>0</v>
      </c>
      <c r="AE59">
        <v>1100</v>
      </c>
      <c r="AF59">
        <v>0</v>
      </c>
      <c r="AG59">
        <v>0</v>
      </c>
      <c r="AH59">
        <v>0</v>
      </c>
      <c r="AI59">
        <v>9.0500000000000007</v>
      </c>
      <c r="AJ59">
        <v>1</v>
      </c>
      <c r="AK59">
        <v>1</v>
      </c>
      <c r="AL59">
        <v>1</v>
      </c>
      <c r="AM59">
        <v>4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0.19</v>
      </c>
      <c r="AU59" t="s">
        <v>3</v>
      </c>
      <c r="AV59">
        <v>0</v>
      </c>
      <c r="AW59">
        <v>2</v>
      </c>
      <c r="AX59">
        <v>146930108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ROUND(Y59*Source!I40,9)</f>
        <v>0.18145</v>
      </c>
      <c r="CY59">
        <f t="shared" si="25"/>
        <v>9955</v>
      </c>
      <c r="CZ59">
        <f t="shared" si="26"/>
        <v>1100</v>
      </c>
      <c r="DA59">
        <f t="shared" si="27"/>
        <v>9.0500000000000007</v>
      </c>
      <c r="DB59">
        <f t="shared" si="28"/>
        <v>209</v>
      </c>
      <c r="DC59">
        <f t="shared" si="29"/>
        <v>0</v>
      </c>
      <c r="DD59" t="s">
        <v>3</v>
      </c>
      <c r="DE59" t="s">
        <v>3</v>
      </c>
      <c r="DF59">
        <f t="shared" si="30"/>
        <v>1806.33</v>
      </c>
      <c r="DG59">
        <f t="shared" si="31"/>
        <v>0</v>
      </c>
      <c r="DH59">
        <f t="shared" si="32"/>
        <v>0</v>
      </c>
      <c r="DI59">
        <f t="shared" si="18"/>
        <v>0</v>
      </c>
      <c r="DJ59">
        <f t="shared" si="33"/>
        <v>1806.33</v>
      </c>
      <c r="DK59">
        <v>0</v>
      </c>
      <c r="DL59" t="s">
        <v>3</v>
      </c>
      <c r="DM59">
        <v>0</v>
      </c>
      <c r="DN59" t="s">
        <v>3</v>
      </c>
      <c r="DO59">
        <v>0</v>
      </c>
    </row>
    <row r="60" spans="1:119" x14ac:dyDescent="0.2">
      <c r="A60">
        <f>ROW(Source!A40)</f>
        <v>40</v>
      </c>
      <c r="B60">
        <v>146929938</v>
      </c>
      <c r="C60">
        <v>146930071</v>
      </c>
      <c r="D60">
        <v>140797731</v>
      </c>
      <c r="E60">
        <v>1</v>
      </c>
      <c r="F60">
        <v>1</v>
      </c>
      <c r="G60">
        <v>1</v>
      </c>
      <c r="H60">
        <v>3</v>
      </c>
      <c r="I60" t="s">
        <v>347</v>
      </c>
      <c r="J60" t="s">
        <v>348</v>
      </c>
      <c r="K60" t="s">
        <v>349</v>
      </c>
      <c r="L60">
        <v>1327</v>
      </c>
      <c r="N60">
        <v>1005</v>
      </c>
      <c r="O60" t="s">
        <v>111</v>
      </c>
      <c r="P60" t="s">
        <v>111</v>
      </c>
      <c r="Q60">
        <v>1</v>
      </c>
      <c r="W60">
        <v>0</v>
      </c>
      <c r="X60">
        <v>257670470</v>
      </c>
      <c r="Y60">
        <f t="shared" si="24"/>
        <v>12.2</v>
      </c>
      <c r="AA60">
        <v>521.54999999999995</v>
      </c>
      <c r="AB60">
        <v>0</v>
      </c>
      <c r="AC60">
        <v>0</v>
      </c>
      <c r="AD60">
        <v>0</v>
      </c>
      <c r="AE60">
        <v>57.63</v>
      </c>
      <c r="AF60">
        <v>0</v>
      </c>
      <c r="AG60">
        <v>0</v>
      </c>
      <c r="AH60">
        <v>0</v>
      </c>
      <c r="AI60">
        <v>9.0500000000000007</v>
      </c>
      <c r="AJ60">
        <v>1</v>
      </c>
      <c r="AK60">
        <v>1</v>
      </c>
      <c r="AL60">
        <v>1</v>
      </c>
      <c r="AM60">
        <v>4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12.2</v>
      </c>
      <c r="AU60" t="s">
        <v>3</v>
      </c>
      <c r="AV60">
        <v>0</v>
      </c>
      <c r="AW60">
        <v>2</v>
      </c>
      <c r="AX60">
        <v>146930109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ROUND(Y60*Source!I40,9)</f>
        <v>11.651</v>
      </c>
      <c r="CY60">
        <f t="shared" si="25"/>
        <v>521.54999999999995</v>
      </c>
      <c r="CZ60">
        <f t="shared" si="26"/>
        <v>57.63</v>
      </c>
      <c r="DA60">
        <f t="shared" si="27"/>
        <v>9.0500000000000007</v>
      </c>
      <c r="DB60">
        <f t="shared" si="28"/>
        <v>703.09</v>
      </c>
      <c r="DC60">
        <f t="shared" si="29"/>
        <v>0</v>
      </c>
      <c r="DD60" t="s">
        <v>3</v>
      </c>
      <c r="DE60" t="s">
        <v>3</v>
      </c>
      <c r="DF60">
        <f t="shared" si="30"/>
        <v>6076.58</v>
      </c>
      <c r="DG60">
        <f t="shared" si="31"/>
        <v>0</v>
      </c>
      <c r="DH60">
        <f t="shared" si="32"/>
        <v>0</v>
      </c>
      <c r="DI60">
        <f t="shared" si="18"/>
        <v>0</v>
      </c>
      <c r="DJ60">
        <f t="shared" si="33"/>
        <v>6076.58</v>
      </c>
      <c r="DK60">
        <v>0</v>
      </c>
      <c r="DL60" t="s">
        <v>3</v>
      </c>
      <c r="DM60">
        <v>0</v>
      </c>
      <c r="DN60" t="s">
        <v>3</v>
      </c>
      <c r="DO60">
        <v>0</v>
      </c>
    </row>
    <row r="61" spans="1:119" x14ac:dyDescent="0.2">
      <c r="A61">
        <f>ROW(Source!A40)</f>
        <v>40</v>
      </c>
      <c r="B61">
        <v>146929938</v>
      </c>
      <c r="C61">
        <v>146930071</v>
      </c>
      <c r="D61">
        <v>140798954</v>
      </c>
      <c r="E61">
        <v>1</v>
      </c>
      <c r="F61">
        <v>1</v>
      </c>
      <c r="G61">
        <v>1</v>
      </c>
      <c r="H61">
        <v>3</v>
      </c>
      <c r="I61" t="s">
        <v>350</v>
      </c>
      <c r="J61" t="s">
        <v>351</v>
      </c>
      <c r="K61" t="s">
        <v>352</v>
      </c>
      <c r="L61">
        <v>1327</v>
      </c>
      <c r="N61">
        <v>1005</v>
      </c>
      <c r="O61" t="s">
        <v>111</v>
      </c>
      <c r="P61" t="s">
        <v>111</v>
      </c>
      <c r="Q61">
        <v>1</v>
      </c>
      <c r="W61">
        <v>0</v>
      </c>
      <c r="X61">
        <v>1262617901</v>
      </c>
      <c r="Y61">
        <f t="shared" si="24"/>
        <v>7.58</v>
      </c>
      <c r="AA61">
        <v>67.510000000000005</v>
      </c>
      <c r="AB61">
        <v>0</v>
      </c>
      <c r="AC61">
        <v>0</v>
      </c>
      <c r="AD61">
        <v>0</v>
      </c>
      <c r="AE61">
        <v>7.46</v>
      </c>
      <c r="AF61">
        <v>0</v>
      </c>
      <c r="AG61">
        <v>0</v>
      </c>
      <c r="AH61">
        <v>0</v>
      </c>
      <c r="AI61">
        <v>9.0500000000000007</v>
      </c>
      <c r="AJ61">
        <v>1</v>
      </c>
      <c r="AK61">
        <v>1</v>
      </c>
      <c r="AL61">
        <v>1</v>
      </c>
      <c r="AM61">
        <v>4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7.58</v>
      </c>
      <c r="AU61" t="s">
        <v>3</v>
      </c>
      <c r="AV61">
        <v>0</v>
      </c>
      <c r="AW61">
        <v>2</v>
      </c>
      <c r="AX61">
        <v>146930110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ROUND(Y61*Source!I40,9)</f>
        <v>7.2389000000000001</v>
      </c>
      <c r="CY61">
        <f t="shared" si="25"/>
        <v>67.510000000000005</v>
      </c>
      <c r="CZ61">
        <f t="shared" si="26"/>
        <v>7.46</v>
      </c>
      <c r="DA61">
        <f t="shared" si="27"/>
        <v>9.0500000000000007</v>
      </c>
      <c r="DB61">
        <f t="shared" si="28"/>
        <v>56.55</v>
      </c>
      <c r="DC61">
        <f t="shared" si="29"/>
        <v>0</v>
      </c>
      <c r="DD61" t="s">
        <v>3</v>
      </c>
      <c r="DE61" t="s">
        <v>3</v>
      </c>
      <c r="DF61">
        <f t="shared" si="30"/>
        <v>488.7</v>
      </c>
      <c r="DG61">
        <f t="shared" si="31"/>
        <v>0</v>
      </c>
      <c r="DH61">
        <f t="shared" si="32"/>
        <v>0</v>
      </c>
      <c r="DI61">
        <f t="shared" si="18"/>
        <v>0</v>
      </c>
      <c r="DJ61">
        <f t="shared" si="33"/>
        <v>488.7</v>
      </c>
      <c r="DK61">
        <v>0</v>
      </c>
      <c r="DL61" t="s">
        <v>3</v>
      </c>
      <c r="DM61">
        <v>0</v>
      </c>
      <c r="DN61" t="s">
        <v>3</v>
      </c>
      <c r="DO61">
        <v>0</v>
      </c>
    </row>
    <row r="62" spans="1:119" x14ac:dyDescent="0.2">
      <c r="A62">
        <f>ROW(Source!A40)</f>
        <v>40</v>
      </c>
      <c r="B62">
        <v>146929938</v>
      </c>
      <c r="C62">
        <v>146930071</v>
      </c>
      <c r="D62">
        <v>140804938</v>
      </c>
      <c r="E62">
        <v>1</v>
      </c>
      <c r="F62">
        <v>1</v>
      </c>
      <c r="G62">
        <v>1</v>
      </c>
      <c r="H62">
        <v>3</v>
      </c>
      <c r="I62" t="s">
        <v>353</v>
      </c>
      <c r="J62" t="s">
        <v>354</v>
      </c>
      <c r="K62" t="s">
        <v>355</v>
      </c>
      <c r="L62">
        <v>1346</v>
      </c>
      <c r="N62">
        <v>1009</v>
      </c>
      <c r="O62" t="s">
        <v>356</v>
      </c>
      <c r="P62" t="s">
        <v>356</v>
      </c>
      <c r="Q62">
        <v>1</v>
      </c>
      <c r="W62">
        <v>0</v>
      </c>
      <c r="X62">
        <v>-834770080</v>
      </c>
      <c r="Y62">
        <f t="shared" si="24"/>
        <v>130</v>
      </c>
      <c r="AA62">
        <v>68.69</v>
      </c>
      <c r="AB62">
        <v>0</v>
      </c>
      <c r="AC62">
        <v>0</v>
      </c>
      <c r="AD62">
        <v>0</v>
      </c>
      <c r="AE62">
        <v>7.59</v>
      </c>
      <c r="AF62">
        <v>0</v>
      </c>
      <c r="AG62">
        <v>0</v>
      </c>
      <c r="AH62">
        <v>0</v>
      </c>
      <c r="AI62">
        <v>9.0500000000000007</v>
      </c>
      <c r="AJ62">
        <v>1</v>
      </c>
      <c r="AK62">
        <v>1</v>
      </c>
      <c r="AL62">
        <v>1</v>
      </c>
      <c r="AM62">
        <v>4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130</v>
      </c>
      <c r="AU62" t="s">
        <v>3</v>
      </c>
      <c r="AV62">
        <v>0</v>
      </c>
      <c r="AW62">
        <v>2</v>
      </c>
      <c r="AX62">
        <v>146930111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ROUND(Y62*Source!I40,9)</f>
        <v>124.15</v>
      </c>
      <c r="CY62">
        <f t="shared" si="25"/>
        <v>68.69</v>
      </c>
      <c r="CZ62">
        <f t="shared" si="26"/>
        <v>7.59</v>
      </c>
      <c r="DA62">
        <f t="shared" si="27"/>
        <v>9.0500000000000007</v>
      </c>
      <c r="DB62">
        <f t="shared" si="28"/>
        <v>986.7</v>
      </c>
      <c r="DC62">
        <f t="shared" si="29"/>
        <v>0</v>
      </c>
      <c r="DD62" t="s">
        <v>3</v>
      </c>
      <c r="DE62" t="s">
        <v>3</v>
      </c>
      <c r="DF62">
        <f t="shared" si="30"/>
        <v>8527.86</v>
      </c>
      <c r="DG62">
        <f t="shared" si="31"/>
        <v>0</v>
      </c>
      <c r="DH62">
        <f t="shared" si="32"/>
        <v>0</v>
      </c>
      <c r="DI62">
        <f t="shared" si="18"/>
        <v>0</v>
      </c>
      <c r="DJ62">
        <f t="shared" si="33"/>
        <v>8527.86</v>
      </c>
      <c r="DK62">
        <v>0</v>
      </c>
      <c r="DL62" t="s">
        <v>3</v>
      </c>
      <c r="DM62">
        <v>0</v>
      </c>
      <c r="DN62" t="s">
        <v>3</v>
      </c>
      <c r="DO62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146930010</v>
      </c>
      <c r="C1">
        <v>146930002</v>
      </c>
      <c r="D1">
        <v>134450504</v>
      </c>
      <c r="E1">
        <v>56</v>
      </c>
      <c r="F1">
        <v>1</v>
      </c>
      <c r="G1">
        <v>1</v>
      </c>
      <c r="H1">
        <v>1</v>
      </c>
      <c r="I1" t="s">
        <v>251</v>
      </c>
      <c r="J1" t="s">
        <v>3</v>
      </c>
      <c r="K1" t="s">
        <v>252</v>
      </c>
      <c r="L1">
        <v>1191</v>
      </c>
      <c r="N1">
        <v>1013</v>
      </c>
      <c r="O1" t="s">
        <v>253</v>
      </c>
      <c r="P1" t="s">
        <v>253</v>
      </c>
      <c r="Q1">
        <v>1</v>
      </c>
      <c r="X1">
        <v>0.41</v>
      </c>
      <c r="Y1">
        <v>0</v>
      </c>
      <c r="Z1">
        <v>0</v>
      </c>
      <c r="AA1">
        <v>0</v>
      </c>
      <c r="AB1">
        <v>9.51</v>
      </c>
      <c r="AC1">
        <v>0</v>
      </c>
      <c r="AD1">
        <v>1</v>
      </c>
      <c r="AE1">
        <v>1</v>
      </c>
      <c r="AF1" t="s">
        <v>19</v>
      </c>
      <c r="AG1">
        <v>0.47149999999999992</v>
      </c>
      <c r="AH1">
        <v>2</v>
      </c>
      <c r="AI1">
        <v>146930003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146930011</v>
      </c>
      <c r="C2">
        <v>146930002</v>
      </c>
      <c r="D2">
        <v>134450693</v>
      </c>
      <c r="E2">
        <v>56</v>
      </c>
      <c r="F2">
        <v>1</v>
      </c>
      <c r="G2">
        <v>1</v>
      </c>
      <c r="H2">
        <v>1</v>
      </c>
      <c r="I2" t="s">
        <v>254</v>
      </c>
      <c r="J2" t="s">
        <v>3</v>
      </c>
      <c r="K2" t="s">
        <v>255</v>
      </c>
      <c r="L2">
        <v>1191</v>
      </c>
      <c r="N2">
        <v>1013</v>
      </c>
      <c r="O2" t="s">
        <v>253</v>
      </c>
      <c r="P2" t="s">
        <v>253</v>
      </c>
      <c r="Q2">
        <v>1</v>
      </c>
      <c r="X2">
        <v>0.63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19</v>
      </c>
      <c r="AG2">
        <v>0.72449999999999992</v>
      </c>
      <c r="AH2">
        <v>2</v>
      </c>
      <c r="AI2">
        <v>146930004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146930012</v>
      </c>
      <c r="C3">
        <v>146930002</v>
      </c>
      <c r="D3">
        <v>134664590</v>
      </c>
      <c r="E3">
        <v>1</v>
      </c>
      <c r="F3">
        <v>1</v>
      </c>
      <c r="G3">
        <v>1</v>
      </c>
      <c r="H3">
        <v>2</v>
      </c>
      <c r="I3" t="s">
        <v>256</v>
      </c>
      <c r="J3" t="s">
        <v>257</v>
      </c>
      <c r="K3" t="s">
        <v>258</v>
      </c>
      <c r="L3">
        <v>1368</v>
      </c>
      <c r="N3">
        <v>1011</v>
      </c>
      <c r="O3" t="s">
        <v>259</v>
      </c>
      <c r="P3" t="s">
        <v>259</v>
      </c>
      <c r="Q3">
        <v>1</v>
      </c>
      <c r="X3">
        <v>0.23</v>
      </c>
      <c r="Y3">
        <v>0</v>
      </c>
      <c r="Z3">
        <v>5320.05</v>
      </c>
      <c r="AA3">
        <v>13.5</v>
      </c>
      <c r="AB3">
        <v>0</v>
      </c>
      <c r="AC3">
        <v>0</v>
      </c>
      <c r="AD3">
        <v>1</v>
      </c>
      <c r="AE3">
        <v>0</v>
      </c>
      <c r="AF3" t="s">
        <v>19</v>
      </c>
      <c r="AG3">
        <v>0.26450000000000001</v>
      </c>
      <c r="AH3">
        <v>2</v>
      </c>
      <c r="AI3">
        <v>146930005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ROW(Source!A24)</f>
        <v>24</v>
      </c>
      <c r="B4">
        <v>146930013</v>
      </c>
      <c r="C4">
        <v>146930002</v>
      </c>
      <c r="D4">
        <v>134665083</v>
      </c>
      <c r="E4">
        <v>1</v>
      </c>
      <c r="F4">
        <v>1</v>
      </c>
      <c r="G4">
        <v>1</v>
      </c>
      <c r="H4">
        <v>2</v>
      </c>
      <c r="I4" t="s">
        <v>260</v>
      </c>
      <c r="J4" t="s">
        <v>261</v>
      </c>
      <c r="K4" t="s">
        <v>262</v>
      </c>
      <c r="L4">
        <v>1368</v>
      </c>
      <c r="N4">
        <v>1011</v>
      </c>
      <c r="O4" t="s">
        <v>259</v>
      </c>
      <c r="P4" t="s">
        <v>259</v>
      </c>
      <c r="Q4">
        <v>1</v>
      </c>
      <c r="X4">
        <v>0.23</v>
      </c>
      <c r="Y4">
        <v>0</v>
      </c>
      <c r="Z4">
        <v>86.5</v>
      </c>
      <c r="AA4">
        <v>11.6</v>
      </c>
      <c r="AB4">
        <v>0</v>
      </c>
      <c r="AC4">
        <v>0</v>
      </c>
      <c r="AD4">
        <v>1</v>
      </c>
      <c r="AE4">
        <v>0</v>
      </c>
      <c r="AF4" t="s">
        <v>19</v>
      </c>
      <c r="AG4">
        <v>0.26450000000000001</v>
      </c>
      <c r="AH4">
        <v>2</v>
      </c>
      <c r="AI4">
        <v>146930006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ROW(Source!A24)</f>
        <v>24</v>
      </c>
      <c r="B5">
        <v>146930014</v>
      </c>
      <c r="C5">
        <v>146930002</v>
      </c>
      <c r="D5">
        <v>134665092</v>
      </c>
      <c r="E5">
        <v>1</v>
      </c>
      <c r="F5">
        <v>1</v>
      </c>
      <c r="G5">
        <v>1</v>
      </c>
      <c r="H5">
        <v>2</v>
      </c>
      <c r="I5" t="s">
        <v>263</v>
      </c>
      <c r="J5" t="s">
        <v>264</v>
      </c>
      <c r="K5" t="s">
        <v>265</v>
      </c>
      <c r="L5">
        <v>1368</v>
      </c>
      <c r="N5">
        <v>1011</v>
      </c>
      <c r="O5" t="s">
        <v>259</v>
      </c>
      <c r="P5" t="s">
        <v>259</v>
      </c>
      <c r="Q5">
        <v>1</v>
      </c>
      <c r="X5">
        <v>0.01</v>
      </c>
      <c r="Y5">
        <v>0</v>
      </c>
      <c r="Z5">
        <v>110</v>
      </c>
      <c r="AA5">
        <v>11.6</v>
      </c>
      <c r="AB5">
        <v>0</v>
      </c>
      <c r="AC5">
        <v>0</v>
      </c>
      <c r="AD5">
        <v>1</v>
      </c>
      <c r="AE5">
        <v>0</v>
      </c>
      <c r="AF5" t="s">
        <v>19</v>
      </c>
      <c r="AG5">
        <v>1.15E-2</v>
      </c>
      <c r="AH5">
        <v>2</v>
      </c>
      <c r="AI5">
        <v>146930007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ROW(Source!A24)</f>
        <v>24</v>
      </c>
      <c r="B6">
        <v>146930015</v>
      </c>
      <c r="C6">
        <v>146930002</v>
      </c>
      <c r="D6">
        <v>134665175</v>
      </c>
      <c r="E6">
        <v>1</v>
      </c>
      <c r="F6">
        <v>1</v>
      </c>
      <c r="G6">
        <v>1</v>
      </c>
      <c r="H6">
        <v>2</v>
      </c>
      <c r="I6" t="s">
        <v>266</v>
      </c>
      <c r="J6" t="s">
        <v>267</v>
      </c>
      <c r="K6" t="s">
        <v>268</v>
      </c>
      <c r="L6">
        <v>1368</v>
      </c>
      <c r="N6">
        <v>1011</v>
      </c>
      <c r="O6" t="s">
        <v>259</v>
      </c>
      <c r="P6" t="s">
        <v>259</v>
      </c>
      <c r="Q6">
        <v>1</v>
      </c>
      <c r="X6">
        <v>0.16</v>
      </c>
      <c r="Y6">
        <v>0</v>
      </c>
      <c r="Z6">
        <v>113.44</v>
      </c>
      <c r="AA6">
        <v>13.5</v>
      </c>
      <c r="AB6">
        <v>0</v>
      </c>
      <c r="AC6">
        <v>0</v>
      </c>
      <c r="AD6">
        <v>1</v>
      </c>
      <c r="AE6">
        <v>0</v>
      </c>
      <c r="AF6" t="s">
        <v>19</v>
      </c>
      <c r="AG6">
        <v>0.184</v>
      </c>
      <c r="AH6">
        <v>2</v>
      </c>
      <c r="AI6">
        <v>146930008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ROW(Source!A24)</f>
        <v>24</v>
      </c>
      <c r="B7">
        <v>146930016</v>
      </c>
      <c r="C7">
        <v>146930002</v>
      </c>
      <c r="D7">
        <v>134463836</v>
      </c>
      <c r="E7">
        <v>1</v>
      </c>
      <c r="F7">
        <v>1</v>
      </c>
      <c r="G7">
        <v>1</v>
      </c>
      <c r="H7">
        <v>3</v>
      </c>
      <c r="I7" t="s">
        <v>269</v>
      </c>
      <c r="J7" t="s">
        <v>270</v>
      </c>
      <c r="K7" t="s">
        <v>271</v>
      </c>
      <c r="L7">
        <v>1339</v>
      </c>
      <c r="N7">
        <v>1007</v>
      </c>
      <c r="O7" t="s">
        <v>68</v>
      </c>
      <c r="P7" t="s">
        <v>68</v>
      </c>
      <c r="Q7">
        <v>1</v>
      </c>
      <c r="X7">
        <v>0.104</v>
      </c>
      <c r="Y7">
        <v>2.44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0.104</v>
      </c>
      <c r="AH7">
        <v>2</v>
      </c>
      <c r="AI7">
        <v>146930009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ROW(Source!A25)</f>
        <v>25</v>
      </c>
      <c r="B8">
        <v>146930021</v>
      </c>
      <c r="C8">
        <v>146930017</v>
      </c>
      <c r="D8">
        <v>140760031</v>
      </c>
      <c r="E8">
        <v>70</v>
      </c>
      <c r="F8">
        <v>1</v>
      </c>
      <c r="G8">
        <v>1</v>
      </c>
      <c r="H8">
        <v>1</v>
      </c>
      <c r="I8" t="s">
        <v>272</v>
      </c>
      <c r="J8" t="s">
        <v>3</v>
      </c>
      <c r="K8" t="s">
        <v>273</v>
      </c>
      <c r="L8">
        <v>1191</v>
      </c>
      <c r="N8">
        <v>1013</v>
      </c>
      <c r="O8" t="s">
        <v>253</v>
      </c>
      <c r="P8" t="s">
        <v>253</v>
      </c>
      <c r="Q8">
        <v>1</v>
      </c>
      <c r="X8">
        <v>13.59</v>
      </c>
      <c r="Y8">
        <v>0</v>
      </c>
      <c r="Z8">
        <v>0</v>
      </c>
      <c r="AA8">
        <v>0</v>
      </c>
      <c r="AB8">
        <v>9.6199999999999992</v>
      </c>
      <c r="AC8">
        <v>0</v>
      </c>
      <c r="AD8">
        <v>1</v>
      </c>
      <c r="AE8">
        <v>1</v>
      </c>
      <c r="AF8" t="s">
        <v>19</v>
      </c>
      <c r="AG8">
        <v>15.628499999999999</v>
      </c>
      <c r="AH8">
        <v>2</v>
      </c>
      <c r="AI8">
        <v>146930018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ROW(Source!A25)</f>
        <v>25</v>
      </c>
      <c r="B9">
        <v>146930022</v>
      </c>
      <c r="C9">
        <v>146930017</v>
      </c>
      <c r="D9">
        <v>140923395</v>
      </c>
      <c r="E9">
        <v>1</v>
      </c>
      <c r="F9">
        <v>1</v>
      </c>
      <c r="G9">
        <v>1</v>
      </c>
      <c r="H9">
        <v>2</v>
      </c>
      <c r="I9" t="s">
        <v>274</v>
      </c>
      <c r="J9" t="s">
        <v>275</v>
      </c>
      <c r="K9" t="s">
        <v>276</v>
      </c>
      <c r="L9">
        <v>1367</v>
      </c>
      <c r="N9">
        <v>1011</v>
      </c>
      <c r="O9" t="s">
        <v>277</v>
      </c>
      <c r="P9" t="s">
        <v>277</v>
      </c>
      <c r="Q9">
        <v>1</v>
      </c>
      <c r="X9">
        <v>13.59</v>
      </c>
      <c r="Y9">
        <v>0</v>
      </c>
      <c r="Z9">
        <v>60.89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19</v>
      </c>
      <c r="AG9">
        <v>15.628499999999999</v>
      </c>
      <c r="AH9">
        <v>2</v>
      </c>
      <c r="AI9">
        <v>146930019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ROW(Source!A25)</f>
        <v>25</v>
      </c>
      <c r="B10">
        <v>146930023</v>
      </c>
      <c r="C10">
        <v>146930017</v>
      </c>
      <c r="D10">
        <v>140775640</v>
      </c>
      <c r="E10">
        <v>1</v>
      </c>
      <c r="F10">
        <v>1</v>
      </c>
      <c r="G10">
        <v>1</v>
      </c>
      <c r="H10">
        <v>3</v>
      </c>
      <c r="I10" t="s">
        <v>278</v>
      </c>
      <c r="J10" t="s">
        <v>279</v>
      </c>
      <c r="K10" t="s">
        <v>280</v>
      </c>
      <c r="L10">
        <v>1371</v>
      </c>
      <c r="N10">
        <v>1013</v>
      </c>
      <c r="O10" t="s">
        <v>281</v>
      </c>
      <c r="P10" t="s">
        <v>281</v>
      </c>
      <c r="Q10">
        <v>1</v>
      </c>
      <c r="X10">
        <v>0.73</v>
      </c>
      <c r="Y10">
        <v>737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0.73</v>
      </c>
      <c r="AH10">
        <v>2</v>
      </c>
      <c r="AI10">
        <v>146930020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ROW(Source!A26)</f>
        <v>26</v>
      </c>
      <c r="B11">
        <v>146930028</v>
      </c>
      <c r="C11">
        <v>146930024</v>
      </c>
      <c r="D11">
        <v>140760031</v>
      </c>
      <c r="E11">
        <v>70</v>
      </c>
      <c r="F11">
        <v>1</v>
      </c>
      <c r="G11">
        <v>1</v>
      </c>
      <c r="H11">
        <v>1</v>
      </c>
      <c r="I11" t="s">
        <v>272</v>
      </c>
      <c r="J11" t="s">
        <v>3</v>
      </c>
      <c r="K11" t="s">
        <v>273</v>
      </c>
      <c r="L11">
        <v>1191</v>
      </c>
      <c r="N11">
        <v>1013</v>
      </c>
      <c r="O11" t="s">
        <v>253</v>
      </c>
      <c r="P11" t="s">
        <v>253</v>
      </c>
      <c r="Q11">
        <v>1</v>
      </c>
      <c r="X11">
        <v>2.67</v>
      </c>
      <c r="Y11">
        <v>0</v>
      </c>
      <c r="Z11">
        <v>0</v>
      </c>
      <c r="AA11">
        <v>0</v>
      </c>
      <c r="AB11">
        <v>9.6199999999999992</v>
      </c>
      <c r="AC11">
        <v>0</v>
      </c>
      <c r="AD11">
        <v>1</v>
      </c>
      <c r="AE11">
        <v>1</v>
      </c>
      <c r="AF11" t="s">
        <v>40</v>
      </c>
      <c r="AG11">
        <v>46.05749999999999</v>
      </c>
      <c r="AH11">
        <v>2</v>
      </c>
      <c r="AI11">
        <v>146930025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ROW(Source!A26)</f>
        <v>26</v>
      </c>
      <c r="B12">
        <v>146930029</v>
      </c>
      <c r="C12">
        <v>146930024</v>
      </c>
      <c r="D12">
        <v>140923395</v>
      </c>
      <c r="E12">
        <v>1</v>
      </c>
      <c r="F12">
        <v>1</v>
      </c>
      <c r="G12">
        <v>1</v>
      </c>
      <c r="H12">
        <v>2</v>
      </c>
      <c r="I12" t="s">
        <v>274</v>
      </c>
      <c r="J12" t="s">
        <v>275</v>
      </c>
      <c r="K12" t="s">
        <v>276</v>
      </c>
      <c r="L12">
        <v>1367</v>
      </c>
      <c r="N12">
        <v>1011</v>
      </c>
      <c r="O12" t="s">
        <v>277</v>
      </c>
      <c r="P12" t="s">
        <v>277</v>
      </c>
      <c r="Q12">
        <v>1</v>
      </c>
      <c r="X12">
        <v>2.67</v>
      </c>
      <c r="Y12">
        <v>0</v>
      </c>
      <c r="Z12">
        <v>60.89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40</v>
      </c>
      <c r="AG12">
        <v>46.05749999999999</v>
      </c>
      <c r="AH12">
        <v>2</v>
      </c>
      <c r="AI12">
        <v>146930026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ROW(Source!A26)</f>
        <v>26</v>
      </c>
      <c r="B13">
        <v>146930030</v>
      </c>
      <c r="C13">
        <v>146930024</v>
      </c>
      <c r="D13">
        <v>140775640</v>
      </c>
      <c r="E13">
        <v>1</v>
      </c>
      <c r="F13">
        <v>1</v>
      </c>
      <c r="G13">
        <v>1</v>
      </c>
      <c r="H13">
        <v>3</v>
      </c>
      <c r="I13" t="s">
        <v>278</v>
      </c>
      <c r="J13" t="s">
        <v>279</v>
      </c>
      <c r="K13" t="s">
        <v>280</v>
      </c>
      <c r="L13">
        <v>1371</v>
      </c>
      <c r="N13">
        <v>1013</v>
      </c>
      <c r="O13" t="s">
        <v>281</v>
      </c>
      <c r="P13" t="s">
        <v>281</v>
      </c>
      <c r="Q13">
        <v>1</v>
      </c>
      <c r="X13">
        <v>0.154</v>
      </c>
      <c r="Y13">
        <v>737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39</v>
      </c>
      <c r="AG13">
        <v>2.31</v>
      </c>
      <c r="AH13">
        <v>2</v>
      </c>
      <c r="AI13">
        <v>146930027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ROW(Source!A27)</f>
        <v>27</v>
      </c>
      <c r="B14">
        <v>146930036</v>
      </c>
      <c r="C14">
        <v>146930031</v>
      </c>
      <c r="D14">
        <v>134450423</v>
      </c>
      <c r="E14">
        <v>56</v>
      </c>
      <c r="F14">
        <v>1</v>
      </c>
      <c r="G14">
        <v>1</v>
      </c>
      <c r="H14">
        <v>1</v>
      </c>
      <c r="I14" t="s">
        <v>282</v>
      </c>
      <c r="J14" t="s">
        <v>3</v>
      </c>
      <c r="K14" t="s">
        <v>283</v>
      </c>
      <c r="L14">
        <v>1191</v>
      </c>
      <c r="N14">
        <v>1013</v>
      </c>
      <c r="O14" t="s">
        <v>253</v>
      </c>
      <c r="P14" t="s">
        <v>253</v>
      </c>
      <c r="Q14">
        <v>1</v>
      </c>
      <c r="X14">
        <v>57.42</v>
      </c>
      <c r="Y14">
        <v>0</v>
      </c>
      <c r="Z14">
        <v>0</v>
      </c>
      <c r="AA14">
        <v>0</v>
      </c>
      <c r="AB14">
        <v>7.8</v>
      </c>
      <c r="AC14">
        <v>0</v>
      </c>
      <c r="AD14">
        <v>1</v>
      </c>
      <c r="AE14">
        <v>1</v>
      </c>
      <c r="AF14" t="s">
        <v>19</v>
      </c>
      <c r="AG14">
        <v>66.033000000000001</v>
      </c>
      <c r="AH14">
        <v>2</v>
      </c>
      <c r="AI14">
        <v>146930032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ROW(Source!A27)</f>
        <v>27</v>
      </c>
      <c r="B15">
        <v>146930037</v>
      </c>
      <c r="C15">
        <v>146930031</v>
      </c>
      <c r="D15">
        <v>134450693</v>
      </c>
      <c r="E15">
        <v>56</v>
      </c>
      <c r="F15">
        <v>1</v>
      </c>
      <c r="G15">
        <v>1</v>
      </c>
      <c r="H15">
        <v>1</v>
      </c>
      <c r="I15" t="s">
        <v>254</v>
      </c>
      <c r="J15" t="s">
        <v>3</v>
      </c>
      <c r="K15" t="s">
        <v>255</v>
      </c>
      <c r="L15">
        <v>1191</v>
      </c>
      <c r="N15">
        <v>1013</v>
      </c>
      <c r="O15" t="s">
        <v>253</v>
      </c>
      <c r="P15" t="s">
        <v>253</v>
      </c>
      <c r="Q15">
        <v>1</v>
      </c>
      <c r="X15">
        <v>12.43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19</v>
      </c>
      <c r="AG15">
        <v>14.294499999999999</v>
      </c>
      <c r="AH15">
        <v>2</v>
      </c>
      <c r="AI15">
        <v>146930033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ROW(Source!A27)</f>
        <v>27</v>
      </c>
      <c r="B16">
        <v>146930038</v>
      </c>
      <c r="C16">
        <v>146930031</v>
      </c>
      <c r="D16">
        <v>134663092</v>
      </c>
      <c r="E16">
        <v>1</v>
      </c>
      <c r="F16">
        <v>1</v>
      </c>
      <c r="G16">
        <v>1</v>
      </c>
      <c r="H16">
        <v>2</v>
      </c>
      <c r="I16" t="s">
        <v>284</v>
      </c>
      <c r="J16" t="s">
        <v>285</v>
      </c>
      <c r="K16" t="s">
        <v>286</v>
      </c>
      <c r="L16">
        <v>1368</v>
      </c>
      <c r="N16">
        <v>1011</v>
      </c>
      <c r="O16" t="s">
        <v>259</v>
      </c>
      <c r="P16" t="s">
        <v>259</v>
      </c>
      <c r="Q16">
        <v>1</v>
      </c>
      <c r="X16">
        <v>3.16</v>
      </c>
      <c r="Y16">
        <v>0</v>
      </c>
      <c r="Z16">
        <v>79.069999999999993</v>
      </c>
      <c r="AA16">
        <v>13.5</v>
      </c>
      <c r="AB16">
        <v>0</v>
      </c>
      <c r="AC16">
        <v>0</v>
      </c>
      <c r="AD16">
        <v>1</v>
      </c>
      <c r="AE16">
        <v>0</v>
      </c>
      <c r="AF16" t="s">
        <v>19</v>
      </c>
      <c r="AG16">
        <v>3.6339999999999999</v>
      </c>
      <c r="AH16">
        <v>2</v>
      </c>
      <c r="AI16">
        <v>146930034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ROW(Source!A27)</f>
        <v>27</v>
      </c>
      <c r="B17">
        <v>146930039</v>
      </c>
      <c r="C17">
        <v>146930031</v>
      </c>
      <c r="D17">
        <v>134663204</v>
      </c>
      <c r="E17">
        <v>1</v>
      </c>
      <c r="F17">
        <v>1</v>
      </c>
      <c r="G17">
        <v>1</v>
      </c>
      <c r="H17">
        <v>2</v>
      </c>
      <c r="I17" t="s">
        <v>287</v>
      </c>
      <c r="J17" t="s">
        <v>288</v>
      </c>
      <c r="K17" t="s">
        <v>289</v>
      </c>
      <c r="L17">
        <v>1368</v>
      </c>
      <c r="N17">
        <v>1011</v>
      </c>
      <c r="O17" t="s">
        <v>259</v>
      </c>
      <c r="P17" t="s">
        <v>259</v>
      </c>
      <c r="Q17">
        <v>1</v>
      </c>
      <c r="X17">
        <v>9.27</v>
      </c>
      <c r="Y17">
        <v>0</v>
      </c>
      <c r="Z17">
        <v>115.27</v>
      </c>
      <c r="AA17">
        <v>13.5</v>
      </c>
      <c r="AB17">
        <v>0</v>
      </c>
      <c r="AC17">
        <v>0</v>
      </c>
      <c r="AD17">
        <v>1</v>
      </c>
      <c r="AE17">
        <v>0</v>
      </c>
      <c r="AF17" t="s">
        <v>19</v>
      </c>
      <c r="AG17">
        <v>10.660499999999999</v>
      </c>
      <c r="AH17">
        <v>2</v>
      </c>
      <c r="AI17">
        <v>146930035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ROW(Source!A32)</f>
        <v>32</v>
      </c>
      <c r="B18">
        <v>146930048</v>
      </c>
      <c r="C18">
        <v>146930044</v>
      </c>
      <c r="D18">
        <v>140759935</v>
      </c>
      <c r="E18">
        <v>70</v>
      </c>
      <c r="F18">
        <v>1</v>
      </c>
      <c r="G18">
        <v>1</v>
      </c>
      <c r="H18">
        <v>1</v>
      </c>
      <c r="I18" t="s">
        <v>282</v>
      </c>
      <c r="J18" t="s">
        <v>3</v>
      </c>
      <c r="K18" t="s">
        <v>290</v>
      </c>
      <c r="L18">
        <v>1191</v>
      </c>
      <c r="N18">
        <v>1013</v>
      </c>
      <c r="O18" t="s">
        <v>253</v>
      </c>
      <c r="P18" t="s">
        <v>253</v>
      </c>
      <c r="Q18">
        <v>1</v>
      </c>
      <c r="X18">
        <v>8.8800000000000008</v>
      </c>
      <c r="Y18">
        <v>0</v>
      </c>
      <c r="Z18">
        <v>0</v>
      </c>
      <c r="AA18">
        <v>0</v>
      </c>
      <c r="AB18">
        <v>7.8</v>
      </c>
      <c r="AC18">
        <v>0</v>
      </c>
      <c r="AD18">
        <v>1</v>
      </c>
      <c r="AE18">
        <v>1</v>
      </c>
      <c r="AF18" t="s">
        <v>80</v>
      </c>
      <c r="AG18">
        <v>11.743799999999998</v>
      </c>
      <c r="AH18">
        <v>2</v>
      </c>
      <c r="AI18">
        <v>146930045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ROW(Source!A32)</f>
        <v>32</v>
      </c>
      <c r="B19">
        <v>146930049</v>
      </c>
      <c r="C19">
        <v>146930044</v>
      </c>
      <c r="D19">
        <v>140760225</v>
      </c>
      <c r="E19">
        <v>70</v>
      </c>
      <c r="F19">
        <v>1</v>
      </c>
      <c r="G19">
        <v>1</v>
      </c>
      <c r="H19">
        <v>1</v>
      </c>
      <c r="I19" t="s">
        <v>254</v>
      </c>
      <c r="J19" t="s">
        <v>3</v>
      </c>
      <c r="K19" t="s">
        <v>255</v>
      </c>
      <c r="L19">
        <v>1191</v>
      </c>
      <c r="N19">
        <v>1013</v>
      </c>
      <c r="O19" t="s">
        <v>253</v>
      </c>
      <c r="P19" t="s">
        <v>253</v>
      </c>
      <c r="Q19">
        <v>1</v>
      </c>
      <c r="X19">
        <v>19.3</v>
      </c>
      <c r="Y19">
        <v>0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2</v>
      </c>
      <c r="AF19" t="s">
        <v>79</v>
      </c>
      <c r="AG19">
        <v>27.743749999999999</v>
      </c>
      <c r="AH19">
        <v>2</v>
      </c>
      <c r="AI19">
        <v>146930046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ROW(Source!A32)</f>
        <v>32</v>
      </c>
      <c r="B20">
        <v>146930050</v>
      </c>
      <c r="C20">
        <v>146930044</v>
      </c>
      <c r="D20">
        <v>140922461</v>
      </c>
      <c r="E20">
        <v>1</v>
      </c>
      <c r="F20">
        <v>1</v>
      </c>
      <c r="G20">
        <v>1</v>
      </c>
      <c r="H20">
        <v>2</v>
      </c>
      <c r="I20" t="s">
        <v>287</v>
      </c>
      <c r="J20" t="s">
        <v>288</v>
      </c>
      <c r="K20" t="s">
        <v>289</v>
      </c>
      <c r="L20">
        <v>1367</v>
      </c>
      <c r="N20">
        <v>1011</v>
      </c>
      <c r="O20" t="s">
        <v>277</v>
      </c>
      <c r="P20" t="s">
        <v>277</v>
      </c>
      <c r="Q20">
        <v>1</v>
      </c>
      <c r="X20">
        <v>19.3</v>
      </c>
      <c r="Y20">
        <v>0</v>
      </c>
      <c r="Z20">
        <v>115.27</v>
      </c>
      <c r="AA20">
        <v>13.5</v>
      </c>
      <c r="AB20">
        <v>0</v>
      </c>
      <c r="AC20">
        <v>0</v>
      </c>
      <c r="AD20">
        <v>1</v>
      </c>
      <c r="AE20">
        <v>0</v>
      </c>
      <c r="AF20" t="s">
        <v>79</v>
      </c>
      <c r="AG20">
        <v>27.743749999999999</v>
      </c>
      <c r="AH20">
        <v>2</v>
      </c>
      <c r="AI20">
        <v>146930047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ROW(Source!A33)</f>
        <v>33</v>
      </c>
      <c r="B21">
        <v>146930333</v>
      </c>
      <c r="C21">
        <v>146930332</v>
      </c>
      <c r="D21">
        <v>140759950</v>
      </c>
      <c r="E21">
        <v>70</v>
      </c>
      <c r="F21">
        <v>1</v>
      </c>
      <c r="G21">
        <v>1</v>
      </c>
      <c r="H21">
        <v>1</v>
      </c>
      <c r="I21" t="s">
        <v>291</v>
      </c>
      <c r="J21" t="s">
        <v>3</v>
      </c>
      <c r="K21" t="s">
        <v>292</v>
      </c>
      <c r="L21">
        <v>1191</v>
      </c>
      <c r="N21">
        <v>1013</v>
      </c>
      <c r="O21" t="s">
        <v>253</v>
      </c>
      <c r="P21" t="s">
        <v>253</v>
      </c>
      <c r="Q21">
        <v>1</v>
      </c>
      <c r="X21">
        <v>14.4</v>
      </c>
      <c r="Y21">
        <v>0</v>
      </c>
      <c r="Z21">
        <v>0</v>
      </c>
      <c r="AA21">
        <v>0</v>
      </c>
      <c r="AB21">
        <v>8.02</v>
      </c>
      <c r="AC21">
        <v>0</v>
      </c>
      <c r="AD21">
        <v>1</v>
      </c>
      <c r="AE21">
        <v>1</v>
      </c>
      <c r="AF21" t="s">
        <v>80</v>
      </c>
      <c r="AG21">
        <v>19.043999999999997</v>
      </c>
      <c r="AH21">
        <v>2</v>
      </c>
      <c r="AI21">
        <v>146930333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ROW(Source!A33)</f>
        <v>33</v>
      </c>
      <c r="B22">
        <v>146930334</v>
      </c>
      <c r="C22">
        <v>146930332</v>
      </c>
      <c r="D22">
        <v>140760225</v>
      </c>
      <c r="E22">
        <v>70</v>
      </c>
      <c r="F22">
        <v>1</v>
      </c>
      <c r="G22">
        <v>1</v>
      </c>
      <c r="H22">
        <v>1</v>
      </c>
      <c r="I22" t="s">
        <v>254</v>
      </c>
      <c r="J22" t="s">
        <v>3</v>
      </c>
      <c r="K22" t="s">
        <v>255</v>
      </c>
      <c r="L22">
        <v>1191</v>
      </c>
      <c r="N22">
        <v>1013</v>
      </c>
      <c r="O22" t="s">
        <v>253</v>
      </c>
      <c r="P22" t="s">
        <v>253</v>
      </c>
      <c r="Q22">
        <v>1</v>
      </c>
      <c r="X22">
        <v>13.88</v>
      </c>
      <c r="Y22">
        <v>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2</v>
      </c>
      <c r="AF22" t="s">
        <v>79</v>
      </c>
      <c r="AG22">
        <v>19.952500000000001</v>
      </c>
      <c r="AH22">
        <v>2</v>
      </c>
      <c r="AI22">
        <v>146930334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ROW(Source!A33)</f>
        <v>33</v>
      </c>
      <c r="B23">
        <v>146930335</v>
      </c>
      <c r="C23">
        <v>146930332</v>
      </c>
      <c r="D23">
        <v>140922409</v>
      </c>
      <c r="E23">
        <v>1</v>
      </c>
      <c r="F23">
        <v>1</v>
      </c>
      <c r="G23">
        <v>1</v>
      </c>
      <c r="H23">
        <v>2</v>
      </c>
      <c r="I23" t="s">
        <v>293</v>
      </c>
      <c r="J23" t="s">
        <v>294</v>
      </c>
      <c r="K23" t="s">
        <v>295</v>
      </c>
      <c r="L23">
        <v>1367</v>
      </c>
      <c r="N23">
        <v>1011</v>
      </c>
      <c r="O23" t="s">
        <v>277</v>
      </c>
      <c r="P23" t="s">
        <v>277</v>
      </c>
      <c r="Q23">
        <v>1</v>
      </c>
      <c r="X23">
        <v>1.77</v>
      </c>
      <c r="Y23">
        <v>0</v>
      </c>
      <c r="Z23">
        <v>123</v>
      </c>
      <c r="AA23">
        <v>13.5</v>
      </c>
      <c r="AB23">
        <v>0</v>
      </c>
      <c r="AC23">
        <v>0</v>
      </c>
      <c r="AD23">
        <v>1</v>
      </c>
      <c r="AE23">
        <v>0</v>
      </c>
      <c r="AF23" t="s">
        <v>79</v>
      </c>
      <c r="AG23">
        <v>2.5443749999999996</v>
      </c>
      <c r="AH23">
        <v>2</v>
      </c>
      <c r="AI23">
        <v>146930335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ROW(Source!A33)</f>
        <v>33</v>
      </c>
      <c r="B24">
        <v>146930336</v>
      </c>
      <c r="C24">
        <v>146930332</v>
      </c>
      <c r="D24">
        <v>140923105</v>
      </c>
      <c r="E24">
        <v>1</v>
      </c>
      <c r="F24">
        <v>1</v>
      </c>
      <c r="G24">
        <v>1</v>
      </c>
      <c r="H24">
        <v>2</v>
      </c>
      <c r="I24" t="s">
        <v>296</v>
      </c>
      <c r="J24" t="s">
        <v>297</v>
      </c>
      <c r="K24" t="s">
        <v>298</v>
      </c>
      <c r="L24">
        <v>1367</v>
      </c>
      <c r="N24">
        <v>1011</v>
      </c>
      <c r="O24" t="s">
        <v>277</v>
      </c>
      <c r="P24" t="s">
        <v>277</v>
      </c>
      <c r="Q24">
        <v>1</v>
      </c>
      <c r="X24">
        <v>4.29</v>
      </c>
      <c r="Y24">
        <v>0</v>
      </c>
      <c r="Z24">
        <v>89.99</v>
      </c>
      <c r="AA24">
        <v>10.06</v>
      </c>
      <c r="AB24">
        <v>0</v>
      </c>
      <c r="AC24">
        <v>0</v>
      </c>
      <c r="AD24">
        <v>1</v>
      </c>
      <c r="AE24">
        <v>0</v>
      </c>
      <c r="AF24" t="s">
        <v>79</v>
      </c>
      <c r="AG24">
        <v>6.1668749999999992</v>
      </c>
      <c r="AH24">
        <v>2</v>
      </c>
      <c r="AI24">
        <v>146930336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ROW(Source!A33)</f>
        <v>33</v>
      </c>
      <c r="B25">
        <v>146930337</v>
      </c>
      <c r="C25">
        <v>146930332</v>
      </c>
      <c r="D25">
        <v>140923339</v>
      </c>
      <c r="E25">
        <v>1</v>
      </c>
      <c r="F25">
        <v>1</v>
      </c>
      <c r="G25">
        <v>1</v>
      </c>
      <c r="H25">
        <v>2</v>
      </c>
      <c r="I25" t="s">
        <v>299</v>
      </c>
      <c r="J25" t="s">
        <v>300</v>
      </c>
      <c r="K25" t="s">
        <v>301</v>
      </c>
      <c r="L25">
        <v>1367</v>
      </c>
      <c r="N25">
        <v>1011</v>
      </c>
      <c r="O25" t="s">
        <v>277</v>
      </c>
      <c r="P25" t="s">
        <v>277</v>
      </c>
      <c r="Q25">
        <v>1</v>
      </c>
      <c r="X25">
        <v>7.08</v>
      </c>
      <c r="Y25">
        <v>0</v>
      </c>
      <c r="Z25">
        <v>364.07</v>
      </c>
      <c r="AA25">
        <v>13.5</v>
      </c>
      <c r="AB25">
        <v>0</v>
      </c>
      <c r="AC25">
        <v>0</v>
      </c>
      <c r="AD25">
        <v>1</v>
      </c>
      <c r="AE25">
        <v>0</v>
      </c>
      <c r="AF25" t="s">
        <v>79</v>
      </c>
      <c r="AG25">
        <v>10.177499999999998</v>
      </c>
      <c r="AH25">
        <v>2</v>
      </c>
      <c r="AI25">
        <v>146930337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ROW(Source!A33)</f>
        <v>33</v>
      </c>
      <c r="B26">
        <v>146930338</v>
      </c>
      <c r="C26">
        <v>146930332</v>
      </c>
      <c r="D26">
        <v>140923832</v>
      </c>
      <c r="E26">
        <v>1</v>
      </c>
      <c r="F26">
        <v>1</v>
      </c>
      <c r="G26">
        <v>1</v>
      </c>
      <c r="H26">
        <v>2</v>
      </c>
      <c r="I26" t="s">
        <v>263</v>
      </c>
      <c r="J26" t="s">
        <v>264</v>
      </c>
      <c r="K26" t="s">
        <v>265</v>
      </c>
      <c r="L26">
        <v>1367</v>
      </c>
      <c r="N26">
        <v>1011</v>
      </c>
      <c r="O26" t="s">
        <v>277</v>
      </c>
      <c r="P26" t="s">
        <v>277</v>
      </c>
      <c r="Q26">
        <v>1</v>
      </c>
      <c r="X26">
        <v>0.74</v>
      </c>
      <c r="Y26">
        <v>0</v>
      </c>
      <c r="Z26">
        <v>110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79</v>
      </c>
      <c r="AG26">
        <v>1.06375</v>
      </c>
      <c r="AH26">
        <v>2</v>
      </c>
      <c r="AI26">
        <v>146930338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ROW(Source!A33)</f>
        <v>33</v>
      </c>
      <c r="B27">
        <v>146930339</v>
      </c>
      <c r="C27">
        <v>146930332</v>
      </c>
      <c r="D27">
        <v>140772680</v>
      </c>
      <c r="E27">
        <v>1</v>
      </c>
      <c r="F27">
        <v>1</v>
      </c>
      <c r="G27">
        <v>1</v>
      </c>
      <c r="H27">
        <v>3</v>
      </c>
      <c r="I27" t="s">
        <v>269</v>
      </c>
      <c r="J27" t="s">
        <v>270</v>
      </c>
      <c r="K27" t="s">
        <v>271</v>
      </c>
      <c r="L27">
        <v>1339</v>
      </c>
      <c r="N27">
        <v>1007</v>
      </c>
      <c r="O27" t="s">
        <v>68</v>
      </c>
      <c r="P27" t="s">
        <v>68</v>
      </c>
      <c r="Q27">
        <v>1</v>
      </c>
      <c r="X27">
        <v>5</v>
      </c>
      <c r="Y27">
        <v>2.44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5</v>
      </c>
      <c r="AH27">
        <v>2</v>
      </c>
      <c r="AI27">
        <v>146930339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ROW(Source!A33)</f>
        <v>33</v>
      </c>
      <c r="B28">
        <v>146930340</v>
      </c>
      <c r="C28">
        <v>146930332</v>
      </c>
      <c r="D28">
        <v>140760955</v>
      </c>
      <c r="E28">
        <v>70</v>
      </c>
      <c r="F28">
        <v>1</v>
      </c>
      <c r="G28">
        <v>1</v>
      </c>
      <c r="H28">
        <v>3</v>
      </c>
      <c r="I28" t="s">
        <v>302</v>
      </c>
      <c r="J28" t="s">
        <v>3</v>
      </c>
      <c r="K28" t="s">
        <v>303</v>
      </c>
      <c r="L28">
        <v>1339</v>
      </c>
      <c r="N28">
        <v>1007</v>
      </c>
      <c r="O28" t="s">
        <v>68</v>
      </c>
      <c r="P28" t="s">
        <v>68</v>
      </c>
      <c r="Q28">
        <v>1</v>
      </c>
      <c r="X28">
        <v>0</v>
      </c>
      <c r="Y28">
        <v>0</v>
      </c>
      <c r="Z28">
        <v>0</v>
      </c>
      <c r="AA28">
        <v>0</v>
      </c>
      <c r="AB28">
        <v>0</v>
      </c>
      <c r="AC28">
        <v>1</v>
      </c>
      <c r="AD28">
        <v>0</v>
      </c>
      <c r="AE28">
        <v>0</v>
      </c>
      <c r="AF28" t="s">
        <v>3</v>
      </c>
      <c r="AG28">
        <v>0</v>
      </c>
      <c r="AH28">
        <v>2</v>
      </c>
      <c r="AI28">
        <v>146930340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ROW(Source!A35)</f>
        <v>35</v>
      </c>
      <c r="B29">
        <v>146930061</v>
      </c>
      <c r="C29">
        <v>146930051</v>
      </c>
      <c r="D29">
        <v>140759950</v>
      </c>
      <c r="E29">
        <v>70</v>
      </c>
      <c r="F29">
        <v>1</v>
      </c>
      <c r="G29">
        <v>1</v>
      </c>
      <c r="H29">
        <v>1</v>
      </c>
      <c r="I29" t="s">
        <v>291</v>
      </c>
      <c r="J29" t="s">
        <v>3</v>
      </c>
      <c r="K29" t="s">
        <v>292</v>
      </c>
      <c r="L29">
        <v>1191</v>
      </c>
      <c r="N29">
        <v>1013</v>
      </c>
      <c r="O29" t="s">
        <v>253</v>
      </c>
      <c r="P29" t="s">
        <v>253</v>
      </c>
      <c r="Q29">
        <v>1</v>
      </c>
      <c r="X29">
        <v>21.6</v>
      </c>
      <c r="Y29">
        <v>0</v>
      </c>
      <c r="Z29">
        <v>0</v>
      </c>
      <c r="AA29">
        <v>0</v>
      </c>
      <c r="AB29">
        <v>8.02</v>
      </c>
      <c r="AC29">
        <v>0</v>
      </c>
      <c r="AD29">
        <v>1</v>
      </c>
      <c r="AE29">
        <v>1</v>
      </c>
      <c r="AF29" t="s">
        <v>80</v>
      </c>
      <c r="AG29">
        <v>28.565999999999999</v>
      </c>
      <c r="AH29">
        <v>2</v>
      </c>
      <c r="AI29">
        <v>146930052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ROW(Source!A35)</f>
        <v>35</v>
      </c>
      <c r="B30">
        <v>146930062</v>
      </c>
      <c r="C30">
        <v>146930051</v>
      </c>
      <c r="D30">
        <v>140760225</v>
      </c>
      <c r="E30">
        <v>70</v>
      </c>
      <c r="F30">
        <v>1</v>
      </c>
      <c r="G30">
        <v>1</v>
      </c>
      <c r="H30">
        <v>1</v>
      </c>
      <c r="I30" t="s">
        <v>254</v>
      </c>
      <c r="J30" t="s">
        <v>3</v>
      </c>
      <c r="K30" t="s">
        <v>255</v>
      </c>
      <c r="L30">
        <v>1191</v>
      </c>
      <c r="N30">
        <v>1013</v>
      </c>
      <c r="O30" t="s">
        <v>253</v>
      </c>
      <c r="P30" t="s">
        <v>253</v>
      </c>
      <c r="Q30">
        <v>1</v>
      </c>
      <c r="X30">
        <v>20.6</v>
      </c>
      <c r="Y30">
        <v>0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2</v>
      </c>
      <c r="AF30" t="s">
        <v>79</v>
      </c>
      <c r="AG30">
        <v>29.612499999999997</v>
      </c>
      <c r="AH30">
        <v>2</v>
      </c>
      <c r="AI30">
        <v>146930053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ROW(Source!A35)</f>
        <v>35</v>
      </c>
      <c r="B31">
        <v>146930063</v>
      </c>
      <c r="C31">
        <v>146930051</v>
      </c>
      <c r="D31">
        <v>140922396</v>
      </c>
      <c r="E31">
        <v>1</v>
      </c>
      <c r="F31">
        <v>1</v>
      </c>
      <c r="G31">
        <v>1</v>
      </c>
      <c r="H31">
        <v>2</v>
      </c>
      <c r="I31" t="s">
        <v>284</v>
      </c>
      <c r="J31" t="s">
        <v>285</v>
      </c>
      <c r="K31" t="s">
        <v>286</v>
      </c>
      <c r="L31">
        <v>1367</v>
      </c>
      <c r="N31">
        <v>1011</v>
      </c>
      <c r="O31" t="s">
        <v>277</v>
      </c>
      <c r="P31" t="s">
        <v>277</v>
      </c>
      <c r="Q31">
        <v>1</v>
      </c>
      <c r="X31">
        <v>2.59</v>
      </c>
      <c r="Y31">
        <v>0</v>
      </c>
      <c r="Z31">
        <v>79.069999999999993</v>
      </c>
      <c r="AA31">
        <v>13.5</v>
      </c>
      <c r="AB31">
        <v>0</v>
      </c>
      <c r="AC31">
        <v>0</v>
      </c>
      <c r="AD31">
        <v>1</v>
      </c>
      <c r="AE31">
        <v>0</v>
      </c>
      <c r="AF31" t="s">
        <v>79</v>
      </c>
      <c r="AG31">
        <v>3.7231249999999996</v>
      </c>
      <c r="AH31">
        <v>2</v>
      </c>
      <c r="AI31">
        <v>146930054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ROW(Source!A35)</f>
        <v>35</v>
      </c>
      <c r="B32">
        <v>146930064</v>
      </c>
      <c r="C32">
        <v>146930051</v>
      </c>
      <c r="D32">
        <v>140922409</v>
      </c>
      <c r="E32">
        <v>1</v>
      </c>
      <c r="F32">
        <v>1</v>
      </c>
      <c r="G32">
        <v>1</v>
      </c>
      <c r="H32">
        <v>2</v>
      </c>
      <c r="I32" t="s">
        <v>293</v>
      </c>
      <c r="J32" t="s">
        <v>294</v>
      </c>
      <c r="K32" t="s">
        <v>295</v>
      </c>
      <c r="L32">
        <v>1367</v>
      </c>
      <c r="N32">
        <v>1011</v>
      </c>
      <c r="O32" t="s">
        <v>277</v>
      </c>
      <c r="P32" t="s">
        <v>277</v>
      </c>
      <c r="Q32">
        <v>1</v>
      </c>
      <c r="X32">
        <v>2.2999999999999998</v>
      </c>
      <c r="Y32">
        <v>0</v>
      </c>
      <c r="Z32">
        <v>123</v>
      </c>
      <c r="AA32">
        <v>13.5</v>
      </c>
      <c r="AB32">
        <v>0</v>
      </c>
      <c r="AC32">
        <v>0</v>
      </c>
      <c r="AD32">
        <v>1</v>
      </c>
      <c r="AE32">
        <v>0</v>
      </c>
      <c r="AF32" t="s">
        <v>79</v>
      </c>
      <c r="AG32">
        <v>3.3062499999999999</v>
      </c>
      <c r="AH32">
        <v>2</v>
      </c>
      <c r="AI32">
        <v>146930055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ROW(Source!A35)</f>
        <v>35</v>
      </c>
      <c r="B33">
        <v>146930065</v>
      </c>
      <c r="C33">
        <v>146930051</v>
      </c>
      <c r="D33">
        <v>140923105</v>
      </c>
      <c r="E33">
        <v>1</v>
      </c>
      <c r="F33">
        <v>1</v>
      </c>
      <c r="G33">
        <v>1</v>
      </c>
      <c r="H33">
        <v>2</v>
      </c>
      <c r="I33" t="s">
        <v>296</v>
      </c>
      <c r="J33" t="s">
        <v>297</v>
      </c>
      <c r="K33" t="s">
        <v>298</v>
      </c>
      <c r="L33">
        <v>1367</v>
      </c>
      <c r="N33">
        <v>1011</v>
      </c>
      <c r="O33" t="s">
        <v>277</v>
      </c>
      <c r="P33" t="s">
        <v>277</v>
      </c>
      <c r="Q33">
        <v>1</v>
      </c>
      <c r="X33">
        <v>2.46</v>
      </c>
      <c r="Y33">
        <v>0</v>
      </c>
      <c r="Z33">
        <v>89.99</v>
      </c>
      <c r="AA33">
        <v>10.06</v>
      </c>
      <c r="AB33">
        <v>0</v>
      </c>
      <c r="AC33">
        <v>0</v>
      </c>
      <c r="AD33">
        <v>1</v>
      </c>
      <c r="AE33">
        <v>0</v>
      </c>
      <c r="AF33" t="s">
        <v>79</v>
      </c>
      <c r="AG33">
        <v>3.5362499999999999</v>
      </c>
      <c r="AH33">
        <v>2</v>
      </c>
      <c r="AI33">
        <v>146930056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ROW(Source!A35)</f>
        <v>35</v>
      </c>
      <c r="B34">
        <v>146930066</v>
      </c>
      <c r="C34">
        <v>146930051</v>
      </c>
      <c r="D34">
        <v>140923339</v>
      </c>
      <c r="E34">
        <v>1</v>
      </c>
      <c r="F34">
        <v>1</v>
      </c>
      <c r="G34">
        <v>1</v>
      </c>
      <c r="H34">
        <v>2</v>
      </c>
      <c r="I34" t="s">
        <v>299</v>
      </c>
      <c r="J34" t="s">
        <v>300</v>
      </c>
      <c r="K34" t="s">
        <v>301</v>
      </c>
      <c r="L34">
        <v>1367</v>
      </c>
      <c r="N34">
        <v>1011</v>
      </c>
      <c r="O34" t="s">
        <v>277</v>
      </c>
      <c r="P34" t="s">
        <v>277</v>
      </c>
      <c r="Q34">
        <v>1</v>
      </c>
      <c r="X34">
        <v>12.21</v>
      </c>
      <c r="Y34">
        <v>0</v>
      </c>
      <c r="Z34">
        <v>364.07</v>
      </c>
      <c r="AA34">
        <v>13.5</v>
      </c>
      <c r="AB34">
        <v>0</v>
      </c>
      <c r="AC34">
        <v>0</v>
      </c>
      <c r="AD34">
        <v>1</v>
      </c>
      <c r="AE34">
        <v>0</v>
      </c>
      <c r="AF34" t="s">
        <v>79</v>
      </c>
      <c r="AG34">
        <v>17.551874999999999</v>
      </c>
      <c r="AH34">
        <v>2</v>
      </c>
      <c r="AI34">
        <v>146930057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ROW(Source!A35)</f>
        <v>35</v>
      </c>
      <c r="B35">
        <v>146930067</v>
      </c>
      <c r="C35">
        <v>146930051</v>
      </c>
      <c r="D35">
        <v>140923832</v>
      </c>
      <c r="E35">
        <v>1</v>
      </c>
      <c r="F35">
        <v>1</v>
      </c>
      <c r="G35">
        <v>1</v>
      </c>
      <c r="H35">
        <v>2</v>
      </c>
      <c r="I35" t="s">
        <v>263</v>
      </c>
      <c r="J35" t="s">
        <v>264</v>
      </c>
      <c r="K35" t="s">
        <v>265</v>
      </c>
      <c r="L35">
        <v>1367</v>
      </c>
      <c r="N35">
        <v>1011</v>
      </c>
      <c r="O35" t="s">
        <v>277</v>
      </c>
      <c r="P35" t="s">
        <v>277</v>
      </c>
      <c r="Q35">
        <v>1</v>
      </c>
      <c r="X35">
        <v>1.04</v>
      </c>
      <c r="Y35">
        <v>0</v>
      </c>
      <c r="Z35">
        <v>110</v>
      </c>
      <c r="AA35">
        <v>11.6</v>
      </c>
      <c r="AB35">
        <v>0</v>
      </c>
      <c r="AC35">
        <v>0</v>
      </c>
      <c r="AD35">
        <v>1</v>
      </c>
      <c r="AE35">
        <v>0</v>
      </c>
      <c r="AF35" t="s">
        <v>79</v>
      </c>
      <c r="AG35">
        <v>1.4949999999999999</v>
      </c>
      <c r="AH35">
        <v>2</v>
      </c>
      <c r="AI35">
        <v>146930058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ROW(Source!A35)</f>
        <v>35</v>
      </c>
      <c r="B36">
        <v>146930068</v>
      </c>
      <c r="C36">
        <v>146930051</v>
      </c>
      <c r="D36">
        <v>140772680</v>
      </c>
      <c r="E36">
        <v>1</v>
      </c>
      <c r="F36">
        <v>1</v>
      </c>
      <c r="G36">
        <v>1</v>
      </c>
      <c r="H36">
        <v>3</v>
      </c>
      <c r="I36" t="s">
        <v>269</v>
      </c>
      <c r="J36" t="s">
        <v>270</v>
      </c>
      <c r="K36" t="s">
        <v>271</v>
      </c>
      <c r="L36">
        <v>1339</v>
      </c>
      <c r="N36">
        <v>1007</v>
      </c>
      <c r="O36" t="s">
        <v>68</v>
      </c>
      <c r="P36" t="s">
        <v>68</v>
      </c>
      <c r="Q36">
        <v>1</v>
      </c>
      <c r="X36">
        <v>7</v>
      </c>
      <c r="Y36">
        <v>2.44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7</v>
      </c>
      <c r="AH36">
        <v>2</v>
      </c>
      <c r="AI36">
        <v>146930059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ROW(Source!A35)</f>
        <v>35</v>
      </c>
      <c r="B37">
        <v>146930069</v>
      </c>
      <c r="C37">
        <v>146930051</v>
      </c>
      <c r="D37">
        <v>140760910</v>
      </c>
      <c r="E37">
        <v>70</v>
      </c>
      <c r="F37">
        <v>1</v>
      </c>
      <c r="G37">
        <v>1</v>
      </c>
      <c r="H37">
        <v>3</v>
      </c>
      <c r="I37" t="s">
        <v>304</v>
      </c>
      <c r="J37" t="s">
        <v>3</v>
      </c>
      <c r="K37" t="s">
        <v>305</v>
      </c>
      <c r="L37">
        <v>1339</v>
      </c>
      <c r="N37">
        <v>1007</v>
      </c>
      <c r="O37" t="s">
        <v>68</v>
      </c>
      <c r="P37" t="s">
        <v>68</v>
      </c>
      <c r="Q37">
        <v>1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0</v>
      </c>
      <c r="AE37">
        <v>0</v>
      </c>
      <c r="AF37" t="s">
        <v>3</v>
      </c>
      <c r="AG37">
        <v>0</v>
      </c>
      <c r="AH37">
        <v>2</v>
      </c>
      <c r="AI37">
        <v>146930060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ROW(Source!A37)</f>
        <v>37</v>
      </c>
      <c r="B38">
        <v>146930373</v>
      </c>
      <c r="C38">
        <v>146930372</v>
      </c>
      <c r="D38">
        <v>134450483</v>
      </c>
      <c r="E38">
        <v>56</v>
      </c>
      <c r="F38">
        <v>1</v>
      </c>
      <c r="G38">
        <v>1</v>
      </c>
      <c r="H38">
        <v>1</v>
      </c>
      <c r="I38" t="s">
        <v>306</v>
      </c>
      <c r="J38" t="s">
        <v>3</v>
      </c>
      <c r="K38" t="s">
        <v>307</v>
      </c>
      <c r="L38">
        <v>1191</v>
      </c>
      <c r="N38">
        <v>1013</v>
      </c>
      <c r="O38" t="s">
        <v>253</v>
      </c>
      <c r="P38" t="s">
        <v>253</v>
      </c>
      <c r="Q38">
        <v>1</v>
      </c>
      <c r="X38">
        <v>11.4</v>
      </c>
      <c r="Y38">
        <v>0</v>
      </c>
      <c r="Z38">
        <v>0</v>
      </c>
      <c r="AA38">
        <v>0</v>
      </c>
      <c r="AB38">
        <v>9.07</v>
      </c>
      <c r="AC38">
        <v>0</v>
      </c>
      <c r="AD38">
        <v>1</v>
      </c>
      <c r="AE38">
        <v>1</v>
      </c>
      <c r="AF38" t="s">
        <v>80</v>
      </c>
      <c r="AG38">
        <v>15.076499999999998</v>
      </c>
      <c r="AH38">
        <v>2</v>
      </c>
      <c r="AI38">
        <v>146930373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ROW(Source!A37)</f>
        <v>37</v>
      </c>
      <c r="B39">
        <v>146930374</v>
      </c>
      <c r="C39">
        <v>146930372</v>
      </c>
      <c r="D39">
        <v>134450693</v>
      </c>
      <c r="E39">
        <v>56</v>
      </c>
      <c r="F39">
        <v>1</v>
      </c>
      <c r="G39">
        <v>1</v>
      </c>
      <c r="H39">
        <v>1</v>
      </c>
      <c r="I39" t="s">
        <v>254</v>
      </c>
      <c r="J39" t="s">
        <v>3</v>
      </c>
      <c r="K39" t="s">
        <v>255</v>
      </c>
      <c r="L39">
        <v>1191</v>
      </c>
      <c r="N39">
        <v>1013</v>
      </c>
      <c r="O39" t="s">
        <v>253</v>
      </c>
      <c r="P39" t="s">
        <v>253</v>
      </c>
      <c r="Q39">
        <v>1</v>
      </c>
      <c r="X39">
        <v>0.16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2</v>
      </c>
      <c r="AF39" t="s">
        <v>79</v>
      </c>
      <c r="AG39">
        <v>0.22999999999999998</v>
      </c>
      <c r="AH39">
        <v>2</v>
      </c>
      <c r="AI39">
        <v>146930374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ROW(Source!A37)</f>
        <v>37</v>
      </c>
      <c r="B40">
        <v>146930375</v>
      </c>
      <c r="C40">
        <v>146930372</v>
      </c>
      <c r="D40">
        <v>134663890</v>
      </c>
      <c r="E40">
        <v>1</v>
      </c>
      <c r="F40">
        <v>1</v>
      </c>
      <c r="G40">
        <v>1</v>
      </c>
      <c r="H40">
        <v>2</v>
      </c>
      <c r="I40" t="s">
        <v>308</v>
      </c>
      <c r="J40" t="s">
        <v>309</v>
      </c>
      <c r="K40" t="s">
        <v>310</v>
      </c>
      <c r="L40">
        <v>1368</v>
      </c>
      <c r="N40">
        <v>1011</v>
      </c>
      <c r="O40" t="s">
        <v>259</v>
      </c>
      <c r="P40" t="s">
        <v>259</v>
      </c>
      <c r="Q40">
        <v>1</v>
      </c>
      <c r="X40">
        <v>7.0000000000000007E-2</v>
      </c>
      <c r="Y40">
        <v>0</v>
      </c>
      <c r="Z40">
        <v>115.4</v>
      </c>
      <c r="AA40">
        <v>13.5</v>
      </c>
      <c r="AB40">
        <v>0</v>
      </c>
      <c r="AC40">
        <v>0</v>
      </c>
      <c r="AD40">
        <v>1</v>
      </c>
      <c r="AE40">
        <v>0</v>
      </c>
      <c r="AF40" t="s">
        <v>79</v>
      </c>
      <c r="AG40">
        <v>0.10062500000000001</v>
      </c>
      <c r="AH40">
        <v>2</v>
      </c>
      <c r="AI40">
        <v>146930375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ROW(Source!A37)</f>
        <v>37</v>
      </c>
      <c r="B41">
        <v>146930376</v>
      </c>
      <c r="C41">
        <v>146930372</v>
      </c>
      <c r="D41">
        <v>134665167</v>
      </c>
      <c r="E41">
        <v>1</v>
      </c>
      <c r="F41">
        <v>1</v>
      </c>
      <c r="G41">
        <v>1</v>
      </c>
      <c r="H41">
        <v>2</v>
      </c>
      <c r="I41" t="s">
        <v>311</v>
      </c>
      <c r="J41" t="s">
        <v>312</v>
      </c>
      <c r="K41" t="s">
        <v>313</v>
      </c>
      <c r="L41">
        <v>1368</v>
      </c>
      <c r="N41">
        <v>1011</v>
      </c>
      <c r="O41" t="s">
        <v>259</v>
      </c>
      <c r="P41" t="s">
        <v>259</v>
      </c>
      <c r="Q41">
        <v>1</v>
      </c>
      <c r="X41">
        <v>0.09</v>
      </c>
      <c r="Y41">
        <v>0</v>
      </c>
      <c r="Z41">
        <v>65.709999999999994</v>
      </c>
      <c r="AA41">
        <v>11.6</v>
      </c>
      <c r="AB41">
        <v>0</v>
      </c>
      <c r="AC41">
        <v>0</v>
      </c>
      <c r="AD41">
        <v>1</v>
      </c>
      <c r="AE41">
        <v>0</v>
      </c>
      <c r="AF41" t="s">
        <v>79</v>
      </c>
      <c r="AG41">
        <v>0.12937499999999999</v>
      </c>
      <c r="AH41">
        <v>2</v>
      </c>
      <c r="AI41">
        <v>146930376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ROW(Source!A37)</f>
        <v>37</v>
      </c>
      <c r="B42">
        <v>146930377</v>
      </c>
      <c r="C42">
        <v>146930372</v>
      </c>
      <c r="D42">
        <v>134452893</v>
      </c>
      <c r="E42">
        <v>56</v>
      </c>
      <c r="F42">
        <v>1</v>
      </c>
      <c r="G42">
        <v>1</v>
      </c>
      <c r="H42">
        <v>3</v>
      </c>
      <c r="I42" t="s">
        <v>314</v>
      </c>
      <c r="J42" t="s">
        <v>3</v>
      </c>
      <c r="K42" t="s">
        <v>315</v>
      </c>
      <c r="L42">
        <v>1348</v>
      </c>
      <c r="N42">
        <v>1009</v>
      </c>
      <c r="O42" t="s">
        <v>95</v>
      </c>
      <c r="P42" t="s">
        <v>95</v>
      </c>
      <c r="Q42">
        <v>1000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0</v>
      </c>
      <c r="AE42">
        <v>0</v>
      </c>
      <c r="AF42" t="s">
        <v>3</v>
      </c>
      <c r="AG42">
        <v>0</v>
      </c>
      <c r="AH42">
        <v>2</v>
      </c>
      <c r="AI42">
        <v>146930377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ROW(Source!A40)</f>
        <v>40</v>
      </c>
      <c r="B43">
        <v>146930092</v>
      </c>
      <c r="C43">
        <v>146930071</v>
      </c>
      <c r="D43">
        <v>140759974</v>
      </c>
      <c r="E43">
        <v>70</v>
      </c>
      <c r="F43">
        <v>1</v>
      </c>
      <c r="G43">
        <v>1</v>
      </c>
      <c r="H43">
        <v>1</v>
      </c>
      <c r="I43" t="s">
        <v>316</v>
      </c>
      <c r="J43" t="s">
        <v>3</v>
      </c>
      <c r="K43" t="s">
        <v>317</v>
      </c>
      <c r="L43">
        <v>1191</v>
      </c>
      <c r="N43">
        <v>1013</v>
      </c>
      <c r="O43" t="s">
        <v>253</v>
      </c>
      <c r="P43" t="s">
        <v>253</v>
      </c>
      <c r="Q43">
        <v>1</v>
      </c>
      <c r="X43">
        <v>302</v>
      </c>
      <c r="Y43">
        <v>0</v>
      </c>
      <c r="Z43">
        <v>0</v>
      </c>
      <c r="AA43">
        <v>0</v>
      </c>
      <c r="AB43">
        <v>8.4600000000000009</v>
      </c>
      <c r="AC43">
        <v>0</v>
      </c>
      <c r="AD43">
        <v>1</v>
      </c>
      <c r="AE43">
        <v>1</v>
      </c>
      <c r="AF43" t="s">
        <v>80</v>
      </c>
      <c r="AG43">
        <v>399.39499999999992</v>
      </c>
      <c r="AH43">
        <v>2</v>
      </c>
      <c r="AI43">
        <v>146930072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ROW(Source!A40)</f>
        <v>40</v>
      </c>
      <c r="B44">
        <v>146930093</v>
      </c>
      <c r="C44">
        <v>146930071</v>
      </c>
      <c r="D44">
        <v>140760225</v>
      </c>
      <c r="E44">
        <v>70</v>
      </c>
      <c r="F44">
        <v>1</v>
      </c>
      <c r="G44">
        <v>1</v>
      </c>
      <c r="H44">
        <v>1</v>
      </c>
      <c r="I44" t="s">
        <v>254</v>
      </c>
      <c r="J44" t="s">
        <v>3</v>
      </c>
      <c r="K44" t="s">
        <v>255</v>
      </c>
      <c r="L44">
        <v>1191</v>
      </c>
      <c r="N44">
        <v>1013</v>
      </c>
      <c r="O44" t="s">
        <v>253</v>
      </c>
      <c r="P44" t="s">
        <v>253</v>
      </c>
      <c r="Q44">
        <v>1</v>
      </c>
      <c r="X44">
        <v>48.23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2</v>
      </c>
      <c r="AF44" t="s">
        <v>79</v>
      </c>
      <c r="AG44">
        <v>69.330624999999984</v>
      </c>
      <c r="AH44">
        <v>2</v>
      </c>
      <c r="AI44">
        <v>146930073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ROW(Source!A40)</f>
        <v>40</v>
      </c>
      <c r="B45">
        <v>146930094</v>
      </c>
      <c r="C45">
        <v>146930071</v>
      </c>
      <c r="D45">
        <v>140922951</v>
      </c>
      <c r="E45">
        <v>1</v>
      </c>
      <c r="F45">
        <v>1</v>
      </c>
      <c r="G45">
        <v>1</v>
      </c>
      <c r="H45">
        <v>2</v>
      </c>
      <c r="I45" t="s">
        <v>308</v>
      </c>
      <c r="J45" t="s">
        <v>309</v>
      </c>
      <c r="K45" t="s">
        <v>310</v>
      </c>
      <c r="L45">
        <v>1367</v>
      </c>
      <c r="N45">
        <v>1011</v>
      </c>
      <c r="O45" t="s">
        <v>277</v>
      </c>
      <c r="P45" t="s">
        <v>277</v>
      </c>
      <c r="Q45">
        <v>1</v>
      </c>
      <c r="X45">
        <v>1.1399999999999999</v>
      </c>
      <c r="Y45">
        <v>0</v>
      </c>
      <c r="Z45">
        <v>115.4</v>
      </c>
      <c r="AA45">
        <v>13.5</v>
      </c>
      <c r="AB45">
        <v>0</v>
      </c>
      <c r="AC45">
        <v>0</v>
      </c>
      <c r="AD45">
        <v>1</v>
      </c>
      <c r="AE45">
        <v>0</v>
      </c>
      <c r="AF45" t="s">
        <v>79</v>
      </c>
      <c r="AG45">
        <v>1.6387499999999997</v>
      </c>
      <c r="AH45">
        <v>2</v>
      </c>
      <c r="AI45">
        <v>146930074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ROW(Source!A40)</f>
        <v>40</v>
      </c>
      <c r="B46">
        <v>146930095</v>
      </c>
      <c r="C46">
        <v>146930071</v>
      </c>
      <c r="D46">
        <v>140923105</v>
      </c>
      <c r="E46">
        <v>1</v>
      </c>
      <c r="F46">
        <v>1</v>
      </c>
      <c r="G46">
        <v>1</v>
      </c>
      <c r="H46">
        <v>2</v>
      </c>
      <c r="I46" t="s">
        <v>296</v>
      </c>
      <c r="J46" t="s">
        <v>297</v>
      </c>
      <c r="K46" t="s">
        <v>298</v>
      </c>
      <c r="L46">
        <v>1367</v>
      </c>
      <c r="N46">
        <v>1011</v>
      </c>
      <c r="O46" t="s">
        <v>277</v>
      </c>
      <c r="P46" t="s">
        <v>277</v>
      </c>
      <c r="Q46">
        <v>1</v>
      </c>
      <c r="X46">
        <v>2.88</v>
      </c>
      <c r="Y46">
        <v>0</v>
      </c>
      <c r="Z46">
        <v>89.99</v>
      </c>
      <c r="AA46">
        <v>10.06</v>
      </c>
      <c r="AB46">
        <v>0</v>
      </c>
      <c r="AC46">
        <v>0</v>
      </c>
      <c r="AD46">
        <v>1</v>
      </c>
      <c r="AE46">
        <v>0</v>
      </c>
      <c r="AF46" t="s">
        <v>79</v>
      </c>
      <c r="AG46">
        <v>4.1399999999999997</v>
      </c>
      <c r="AH46">
        <v>2</v>
      </c>
      <c r="AI46">
        <v>146930075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ROW(Source!A40)</f>
        <v>40</v>
      </c>
      <c r="B47">
        <v>146930096</v>
      </c>
      <c r="C47">
        <v>146930071</v>
      </c>
      <c r="D47">
        <v>140923229</v>
      </c>
      <c r="E47">
        <v>1</v>
      </c>
      <c r="F47">
        <v>1</v>
      </c>
      <c r="G47">
        <v>1</v>
      </c>
      <c r="H47">
        <v>2</v>
      </c>
      <c r="I47" t="s">
        <v>318</v>
      </c>
      <c r="J47" t="s">
        <v>319</v>
      </c>
      <c r="K47" t="s">
        <v>320</v>
      </c>
      <c r="L47">
        <v>1367</v>
      </c>
      <c r="N47">
        <v>1011</v>
      </c>
      <c r="O47" t="s">
        <v>277</v>
      </c>
      <c r="P47" t="s">
        <v>277</v>
      </c>
      <c r="Q47">
        <v>1</v>
      </c>
      <c r="X47">
        <v>18.71</v>
      </c>
      <c r="Y47">
        <v>0</v>
      </c>
      <c r="Z47">
        <v>0.5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79</v>
      </c>
      <c r="AG47">
        <v>26.895625000000003</v>
      </c>
      <c r="AH47">
        <v>2</v>
      </c>
      <c r="AI47">
        <v>146930076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ROW(Source!A40)</f>
        <v>40</v>
      </c>
      <c r="B48">
        <v>146930097</v>
      </c>
      <c r="C48">
        <v>146930071</v>
      </c>
      <c r="D48">
        <v>140923353</v>
      </c>
      <c r="E48">
        <v>1</v>
      </c>
      <c r="F48">
        <v>1</v>
      </c>
      <c r="G48">
        <v>1</v>
      </c>
      <c r="H48">
        <v>2</v>
      </c>
      <c r="I48" t="s">
        <v>321</v>
      </c>
      <c r="J48" t="s">
        <v>322</v>
      </c>
      <c r="K48" t="s">
        <v>323</v>
      </c>
      <c r="L48">
        <v>1367</v>
      </c>
      <c r="N48">
        <v>1011</v>
      </c>
      <c r="O48" t="s">
        <v>277</v>
      </c>
      <c r="P48" t="s">
        <v>277</v>
      </c>
      <c r="Q48">
        <v>1</v>
      </c>
      <c r="X48">
        <v>6.25</v>
      </c>
      <c r="Y48">
        <v>0</v>
      </c>
      <c r="Z48">
        <v>30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79</v>
      </c>
      <c r="AG48">
        <v>8.984375</v>
      </c>
      <c r="AH48">
        <v>2</v>
      </c>
      <c r="AI48">
        <v>146930077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ROW(Source!A40)</f>
        <v>40</v>
      </c>
      <c r="B49">
        <v>146930098</v>
      </c>
      <c r="C49">
        <v>146930071</v>
      </c>
      <c r="D49">
        <v>140923832</v>
      </c>
      <c r="E49">
        <v>1</v>
      </c>
      <c r="F49">
        <v>1</v>
      </c>
      <c r="G49">
        <v>1</v>
      </c>
      <c r="H49">
        <v>2</v>
      </c>
      <c r="I49" t="s">
        <v>263</v>
      </c>
      <c r="J49" t="s">
        <v>264</v>
      </c>
      <c r="K49" t="s">
        <v>265</v>
      </c>
      <c r="L49">
        <v>1367</v>
      </c>
      <c r="N49">
        <v>1011</v>
      </c>
      <c r="O49" t="s">
        <v>277</v>
      </c>
      <c r="P49" t="s">
        <v>277</v>
      </c>
      <c r="Q49">
        <v>1</v>
      </c>
      <c r="X49">
        <v>22.3</v>
      </c>
      <c r="Y49">
        <v>0</v>
      </c>
      <c r="Z49">
        <v>110</v>
      </c>
      <c r="AA49">
        <v>11.6</v>
      </c>
      <c r="AB49">
        <v>0</v>
      </c>
      <c r="AC49">
        <v>0</v>
      </c>
      <c r="AD49">
        <v>1</v>
      </c>
      <c r="AE49">
        <v>0</v>
      </c>
      <c r="AF49" t="s">
        <v>79</v>
      </c>
      <c r="AG49">
        <v>32.056249999999999</v>
      </c>
      <c r="AH49">
        <v>2</v>
      </c>
      <c r="AI49">
        <v>146930078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ROW(Source!A40)</f>
        <v>40</v>
      </c>
      <c r="B50">
        <v>146930099</v>
      </c>
      <c r="C50">
        <v>146930071</v>
      </c>
      <c r="D50">
        <v>140923885</v>
      </c>
      <c r="E50">
        <v>1</v>
      </c>
      <c r="F50">
        <v>1</v>
      </c>
      <c r="G50">
        <v>1</v>
      </c>
      <c r="H50">
        <v>2</v>
      </c>
      <c r="I50" t="s">
        <v>311</v>
      </c>
      <c r="J50" t="s">
        <v>312</v>
      </c>
      <c r="K50" t="s">
        <v>313</v>
      </c>
      <c r="L50">
        <v>1367</v>
      </c>
      <c r="N50">
        <v>1011</v>
      </c>
      <c r="O50" t="s">
        <v>277</v>
      </c>
      <c r="P50" t="s">
        <v>277</v>
      </c>
      <c r="Q50">
        <v>1</v>
      </c>
      <c r="X50">
        <v>3.2</v>
      </c>
      <c r="Y50">
        <v>0</v>
      </c>
      <c r="Z50">
        <v>65.709999999999994</v>
      </c>
      <c r="AA50">
        <v>11.6</v>
      </c>
      <c r="AB50">
        <v>0</v>
      </c>
      <c r="AC50">
        <v>0</v>
      </c>
      <c r="AD50">
        <v>1</v>
      </c>
      <c r="AE50">
        <v>0</v>
      </c>
      <c r="AF50" t="s">
        <v>79</v>
      </c>
      <c r="AG50">
        <v>4.5999999999999996</v>
      </c>
      <c r="AH50">
        <v>2</v>
      </c>
      <c r="AI50">
        <v>146930079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ROW(Source!A40)</f>
        <v>40</v>
      </c>
      <c r="B51">
        <v>146930100</v>
      </c>
      <c r="C51">
        <v>146930071</v>
      </c>
      <c r="D51">
        <v>140923974</v>
      </c>
      <c r="E51">
        <v>1</v>
      </c>
      <c r="F51">
        <v>1</v>
      </c>
      <c r="G51">
        <v>1</v>
      </c>
      <c r="H51">
        <v>2</v>
      </c>
      <c r="I51" t="s">
        <v>324</v>
      </c>
      <c r="J51" t="s">
        <v>325</v>
      </c>
      <c r="K51" t="s">
        <v>326</v>
      </c>
      <c r="L51">
        <v>1367</v>
      </c>
      <c r="N51">
        <v>1011</v>
      </c>
      <c r="O51" t="s">
        <v>277</v>
      </c>
      <c r="P51" t="s">
        <v>277</v>
      </c>
      <c r="Q51">
        <v>1</v>
      </c>
      <c r="X51">
        <v>18.71</v>
      </c>
      <c r="Y51">
        <v>0</v>
      </c>
      <c r="Z51">
        <v>22.29</v>
      </c>
      <c r="AA51">
        <v>11.6</v>
      </c>
      <c r="AB51">
        <v>0</v>
      </c>
      <c r="AC51">
        <v>0</v>
      </c>
      <c r="AD51">
        <v>1</v>
      </c>
      <c r="AE51">
        <v>0</v>
      </c>
      <c r="AF51" t="s">
        <v>79</v>
      </c>
      <c r="AG51">
        <v>26.895625000000003</v>
      </c>
      <c r="AH51">
        <v>2</v>
      </c>
      <c r="AI51">
        <v>146930080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ROW(Source!A40)</f>
        <v>40</v>
      </c>
      <c r="B52">
        <v>146930101</v>
      </c>
      <c r="C52">
        <v>146930071</v>
      </c>
      <c r="D52">
        <v>140770690</v>
      </c>
      <c r="E52">
        <v>1</v>
      </c>
      <c r="F52">
        <v>1</v>
      </c>
      <c r="G52">
        <v>1</v>
      </c>
      <c r="H52">
        <v>3</v>
      </c>
      <c r="I52" t="s">
        <v>327</v>
      </c>
      <c r="J52" t="s">
        <v>328</v>
      </c>
      <c r="K52" t="s">
        <v>329</v>
      </c>
      <c r="L52">
        <v>1348</v>
      </c>
      <c r="N52">
        <v>1009</v>
      </c>
      <c r="O52" t="s">
        <v>95</v>
      </c>
      <c r="P52" t="s">
        <v>95</v>
      </c>
      <c r="Q52">
        <v>1000</v>
      </c>
      <c r="X52">
        <v>7.0000000000000001E-3</v>
      </c>
      <c r="Y52">
        <v>1690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7.0000000000000001E-3</v>
      </c>
      <c r="AH52">
        <v>2</v>
      </c>
      <c r="AI52">
        <v>146930081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ROW(Source!A40)</f>
        <v>40</v>
      </c>
      <c r="B53">
        <v>146930102</v>
      </c>
      <c r="C53">
        <v>146930071</v>
      </c>
      <c r="D53">
        <v>140772680</v>
      </c>
      <c r="E53">
        <v>1</v>
      </c>
      <c r="F53">
        <v>1</v>
      </c>
      <c r="G53">
        <v>1</v>
      </c>
      <c r="H53">
        <v>3</v>
      </c>
      <c r="I53" t="s">
        <v>269</v>
      </c>
      <c r="J53" t="s">
        <v>270</v>
      </c>
      <c r="K53" t="s">
        <v>271</v>
      </c>
      <c r="L53">
        <v>1339</v>
      </c>
      <c r="N53">
        <v>1007</v>
      </c>
      <c r="O53" t="s">
        <v>68</v>
      </c>
      <c r="P53" t="s">
        <v>68</v>
      </c>
      <c r="Q53">
        <v>1</v>
      </c>
      <c r="X53">
        <v>178</v>
      </c>
      <c r="Y53">
        <v>2.44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178</v>
      </c>
      <c r="AH53">
        <v>2</v>
      </c>
      <c r="AI53">
        <v>146930082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ROW(Source!A40)</f>
        <v>40</v>
      </c>
      <c r="B54">
        <v>146930103</v>
      </c>
      <c r="C54">
        <v>146930071</v>
      </c>
      <c r="D54">
        <v>140776245</v>
      </c>
      <c r="E54">
        <v>1</v>
      </c>
      <c r="F54">
        <v>1</v>
      </c>
      <c r="G54">
        <v>1</v>
      </c>
      <c r="H54">
        <v>3</v>
      </c>
      <c r="I54" t="s">
        <v>330</v>
      </c>
      <c r="J54" t="s">
        <v>331</v>
      </c>
      <c r="K54" t="s">
        <v>332</v>
      </c>
      <c r="L54">
        <v>1330</v>
      </c>
      <c r="N54">
        <v>1005</v>
      </c>
      <c r="O54" t="s">
        <v>333</v>
      </c>
      <c r="P54" t="s">
        <v>333</v>
      </c>
      <c r="Q54">
        <v>10</v>
      </c>
      <c r="X54">
        <v>11</v>
      </c>
      <c r="Y54">
        <v>84.75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3</v>
      </c>
      <c r="AG54">
        <v>11</v>
      </c>
      <c r="AH54">
        <v>2</v>
      </c>
      <c r="AI54">
        <v>146930083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ROW(Source!A40)</f>
        <v>40</v>
      </c>
      <c r="B55">
        <v>146930104</v>
      </c>
      <c r="C55">
        <v>146930071</v>
      </c>
      <c r="D55">
        <v>140777059</v>
      </c>
      <c r="E55">
        <v>1</v>
      </c>
      <c r="F55">
        <v>1</v>
      </c>
      <c r="G55">
        <v>1</v>
      </c>
      <c r="H55">
        <v>3</v>
      </c>
      <c r="I55" t="s">
        <v>334</v>
      </c>
      <c r="J55" t="s">
        <v>335</v>
      </c>
      <c r="K55" t="s">
        <v>336</v>
      </c>
      <c r="L55">
        <v>1339</v>
      </c>
      <c r="N55">
        <v>1007</v>
      </c>
      <c r="O55" t="s">
        <v>68</v>
      </c>
      <c r="P55" t="s">
        <v>68</v>
      </c>
      <c r="Q55">
        <v>1</v>
      </c>
      <c r="X55">
        <v>40</v>
      </c>
      <c r="Y55">
        <v>59.99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40</v>
      </c>
      <c r="AH55">
        <v>2</v>
      </c>
      <c r="AI55">
        <v>146930084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ROW(Source!A40)</f>
        <v>40</v>
      </c>
      <c r="B56">
        <v>146930105</v>
      </c>
      <c r="C56">
        <v>146930071</v>
      </c>
      <c r="D56">
        <v>140761041</v>
      </c>
      <c r="E56">
        <v>70</v>
      </c>
      <c r="F56">
        <v>1</v>
      </c>
      <c r="G56">
        <v>1</v>
      </c>
      <c r="H56">
        <v>3</v>
      </c>
      <c r="I56" t="s">
        <v>337</v>
      </c>
      <c r="J56" t="s">
        <v>3</v>
      </c>
      <c r="K56" t="s">
        <v>338</v>
      </c>
      <c r="L56">
        <v>1339</v>
      </c>
      <c r="N56">
        <v>1007</v>
      </c>
      <c r="O56" t="s">
        <v>68</v>
      </c>
      <c r="P56" t="s">
        <v>68</v>
      </c>
      <c r="Q56">
        <v>1</v>
      </c>
      <c r="X56">
        <v>204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 t="s">
        <v>3</v>
      </c>
      <c r="AG56">
        <v>204</v>
      </c>
      <c r="AH56">
        <v>2</v>
      </c>
      <c r="AI56">
        <v>146930085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ROW(Source!A40)</f>
        <v>40</v>
      </c>
      <c r="B57">
        <v>146930106</v>
      </c>
      <c r="C57">
        <v>146930071</v>
      </c>
      <c r="D57">
        <v>140762426</v>
      </c>
      <c r="E57">
        <v>70</v>
      </c>
      <c r="F57">
        <v>1</v>
      </c>
      <c r="G57">
        <v>1</v>
      </c>
      <c r="H57">
        <v>3</v>
      </c>
      <c r="I57" t="s">
        <v>339</v>
      </c>
      <c r="J57" t="s">
        <v>3</v>
      </c>
      <c r="K57" t="s">
        <v>340</v>
      </c>
      <c r="L57">
        <v>1348</v>
      </c>
      <c r="N57">
        <v>1009</v>
      </c>
      <c r="O57" t="s">
        <v>95</v>
      </c>
      <c r="P57" t="s">
        <v>95</v>
      </c>
      <c r="Q57">
        <v>1000</v>
      </c>
      <c r="X57">
        <v>0</v>
      </c>
      <c r="Y57">
        <v>0</v>
      </c>
      <c r="Z57">
        <v>0</v>
      </c>
      <c r="AA57">
        <v>0</v>
      </c>
      <c r="AB57">
        <v>0</v>
      </c>
      <c r="AC57">
        <v>1</v>
      </c>
      <c r="AD57">
        <v>0</v>
      </c>
      <c r="AE57">
        <v>0</v>
      </c>
      <c r="AF57" t="s">
        <v>3</v>
      </c>
      <c r="AG57">
        <v>0</v>
      </c>
      <c r="AH57">
        <v>2</v>
      </c>
      <c r="AI57">
        <v>146930086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ROW(Source!A40)</f>
        <v>40</v>
      </c>
      <c r="B58">
        <v>146930107</v>
      </c>
      <c r="C58">
        <v>146930071</v>
      </c>
      <c r="D58">
        <v>140796472</v>
      </c>
      <c r="E58">
        <v>1</v>
      </c>
      <c r="F58">
        <v>1</v>
      </c>
      <c r="G58">
        <v>1</v>
      </c>
      <c r="H58">
        <v>3</v>
      </c>
      <c r="I58" t="s">
        <v>341</v>
      </c>
      <c r="J58" t="s">
        <v>342</v>
      </c>
      <c r="K58" t="s">
        <v>343</v>
      </c>
      <c r="L58">
        <v>1339</v>
      </c>
      <c r="N58">
        <v>1007</v>
      </c>
      <c r="O58" t="s">
        <v>68</v>
      </c>
      <c r="P58" t="s">
        <v>68</v>
      </c>
      <c r="Q58">
        <v>1</v>
      </c>
      <c r="X58">
        <v>0.24</v>
      </c>
      <c r="Y58">
        <v>1320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0.24</v>
      </c>
      <c r="AH58">
        <v>2</v>
      </c>
      <c r="AI58">
        <v>146930087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ROW(Source!A40)</f>
        <v>40</v>
      </c>
      <c r="B59">
        <v>146930108</v>
      </c>
      <c r="C59">
        <v>146930071</v>
      </c>
      <c r="D59">
        <v>140796533</v>
      </c>
      <c r="E59">
        <v>1</v>
      </c>
      <c r="F59">
        <v>1</v>
      </c>
      <c r="G59">
        <v>1</v>
      </c>
      <c r="H59">
        <v>3</v>
      </c>
      <c r="I59" t="s">
        <v>344</v>
      </c>
      <c r="J59" t="s">
        <v>345</v>
      </c>
      <c r="K59" t="s">
        <v>346</v>
      </c>
      <c r="L59">
        <v>1339</v>
      </c>
      <c r="N59">
        <v>1007</v>
      </c>
      <c r="O59" t="s">
        <v>68</v>
      </c>
      <c r="P59" t="s">
        <v>68</v>
      </c>
      <c r="Q59">
        <v>1</v>
      </c>
      <c r="X59">
        <v>0.19</v>
      </c>
      <c r="Y59">
        <v>1100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0.19</v>
      </c>
      <c r="AH59">
        <v>2</v>
      </c>
      <c r="AI59">
        <v>146930088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ROW(Source!A40)</f>
        <v>40</v>
      </c>
      <c r="B60">
        <v>146930109</v>
      </c>
      <c r="C60">
        <v>146930071</v>
      </c>
      <c r="D60">
        <v>140797731</v>
      </c>
      <c r="E60">
        <v>1</v>
      </c>
      <c r="F60">
        <v>1</v>
      </c>
      <c r="G60">
        <v>1</v>
      </c>
      <c r="H60">
        <v>3</v>
      </c>
      <c r="I60" t="s">
        <v>347</v>
      </c>
      <c r="J60" t="s">
        <v>348</v>
      </c>
      <c r="K60" t="s">
        <v>349</v>
      </c>
      <c r="L60">
        <v>1327</v>
      </c>
      <c r="N60">
        <v>1005</v>
      </c>
      <c r="O60" t="s">
        <v>111</v>
      </c>
      <c r="P60" t="s">
        <v>111</v>
      </c>
      <c r="Q60">
        <v>1</v>
      </c>
      <c r="X60">
        <v>12.2</v>
      </c>
      <c r="Y60">
        <v>57.63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12.2</v>
      </c>
      <c r="AH60">
        <v>2</v>
      </c>
      <c r="AI60">
        <v>146930089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ROW(Source!A40)</f>
        <v>40</v>
      </c>
      <c r="B61">
        <v>146930110</v>
      </c>
      <c r="C61">
        <v>146930071</v>
      </c>
      <c r="D61">
        <v>140798954</v>
      </c>
      <c r="E61">
        <v>1</v>
      </c>
      <c r="F61">
        <v>1</v>
      </c>
      <c r="G61">
        <v>1</v>
      </c>
      <c r="H61">
        <v>3</v>
      </c>
      <c r="I61" t="s">
        <v>350</v>
      </c>
      <c r="J61" t="s">
        <v>351</v>
      </c>
      <c r="K61" t="s">
        <v>352</v>
      </c>
      <c r="L61">
        <v>1327</v>
      </c>
      <c r="N61">
        <v>1005</v>
      </c>
      <c r="O61" t="s">
        <v>111</v>
      </c>
      <c r="P61" t="s">
        <v>111</v>
      </c>
      <c r="Q61">
        <v>1</v>
      </c>
      <c r="X61">
        <v>7.58</v>
      </c>
      <c r="Y61">
        <v>7.46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7.58</v>
      </c>
      <c r="AH61">
        <v>2</v>
      </c>
      <c r="AI61">
        <v>146930090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ROW(Source!A40)</f>
        <v>40</v>
      </c>
      <c r="B62">
        <v>146930111</v>
      </c>
      <c r="C62">
        <v>146930071</v>
      </c>
      <c r="D62">
        <v>140804938</v>
      </c>
      <c r="E62">
        <v>1</v>
      </c>
      <c r="F62">
        <v>1</v>
      </c>
      <c r="G62">
        <v>1</v>
      </c>
      <c r="H62">
        <v>3</v>
      </c>
      <c r="I62" t="s">
        <v>353</v>
      </c>
      <c r="J62" t="s">
        <v>354</v>
      </c>
      <c r="K62" t="s">
        <v>355</v>
      </c>
      <c r="L62">
        <v>1346</v>
      </c>
      <c r="N62">
        <v>1009</v>
      </c>
      <c r="O62" t="s">
        <v>356</v>
      </c>
      <c r="P62" t="s">
        <v>356</v>
      </c>
      <c r="Q62">
        <v>1</v>
      </c>
      <c r="X62">
        <v>130</v>
      </c>
      <c r="Y62">
        <v>7.59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130</v>
      </c>
      <c r="AH62">
        <v>2</v>
      </c>
      <c r="AI62">
        <v>146930091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256" width="9.140625" customWidth="1"/>
  </cols>
  <sheetData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Смета 12 гр. по ФЕР</vt:lpstr>
      <vt:lpstr>Source</vt:lpstr>
      <vt:lpstr>SourceObSm</vt:lpstr>
      <vt:lpstr>SmtRes</vt:lpstr>
      <vt:lpstr>EtalonRes</vt:lpstr>
      <vt:lpstr>SrcKA</vt:lpstr>
      <vt:lpstr>'Смета 12 гр. по ФЕР'!Заголовки_для_печати</vt:lpstr>
      <vt:lpstr>'Смета 12 гр. по ФЕР'!Область_печати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Холодова Екатерина Юрьевна</dc:creator>
  <cp:lastModifiedBy>Холодова Екатерина Юрьевна</cp:lastModifiedBy>
  <cp:lastPrinted>2024-10-29T08:34:33Z</cp:lastPrinted>
  <dcterms:created xsi:type="dcterms:W3CDTF">2024-10-29T08:32:04Z</dcterms:created>
  <dcterms:modified xsi:type="dcterms:W3CDTF">2024-10-29T09:21:22Z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